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LM\"/>
    </mc:Choice>
  </mc:AlternateContent>
  <xr:revisionPtr revIDLastSave="0" documentId="13_ncr:1_{5620E389-6862-42EB-BE6D-B650A9268984}" xr6:coauthVersionLast="46" xr6:coauthVersionMax="46" xr10:uidLastSave="{00000000-0000-0000-0000-000000000000}"/>
  <bookViews>
    <workbookView xWindow="29775" yWindow="2640" windowWidth="21600" windowHeight="11385" activeTab="2" xr2:uid="{00000000-000D-0000-FFFF-FFFF00000000}"/>
  </bookViews>
  <sheets>
    <sheet name="Readme" sheetId="6" r:id="rId1"/>
    <sheet name="Weights and Seed Amounts" sheetId="1" r:id="rId2"/>
    <sheet name="Pullman shipment" sheetId="7" r:id="rId3"/>
    <sheet name="Germination Protocol" sheetId="2" r:id="rId4"/>
    <sheet name="Xtradata" sheetId="5" r:id="rId5"/>
    <sheet name="Germination Results" sheetId="3" r:id="rId6"/>
  </sheets>
  <definedNames>
    <definedName name="_xlnm._FilterDatabase" localSheetId="3" hidden="1">'Germination Protocol'!$A$1:$K$354</definedName>
    <definedName name="_xlnm._FilterDatabase" localSheetId="5" hidden="1">'Germination Results'!$A$1:$AF$1</definedName>
    <definedName name="_xlnm._FilterDatabase" localSheetId="2" hidden="1">'Pullman shipment'!$A$1:$X$1</definedName>
    <definedName name="_xlnm._FilterDatabase" localSheetId="1" hidden="1">'Weights and Seed Amounts'!$A$1:$U$354</definedName>
    <definedName name="_xlnm._FilterDatabase" localSheetId="4" hidden="1">Xtradata!$A$1:$U$354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4" i="7" l="1"/>
  <c r="V354" i="7"/>
  <c r="U354" i="7"/>
  <c r="T354" i="7"/>
  <c r="S354" i="7"/>
  <c r="W353" i="7"/>
  <c r="V353" i="7"/>
  <c r="U353" i="7"/>
  <c r="T353" i="7"/>
  <c r="S353" i="7"/>
  <c r="W352" i="7"/>
  <c r="V352" i="7"/>
  <c r="U352" i="7"/>
  <c r="T352" i="7"/>
  <c r="S352" i="7"/>
  <c r="W351" i="7"/>
  <c r="V351" i="7"/>
  <c r="U351" i="7"/>
  <c r="T351" i="7"/>
  <c r="S351" i="7"/>
  <c r="W350" i="7"/>
  <c r="V350" i="7"/>
  <c r="U350" i="7"/>
  <c r="T350" i="7"/>
  <c r="S350" i="7"/>
  <c r="W349" i="7"/>
  <c r="V349" i="7"/>
  <c r="U349" i="7"/>
  <c r="T349" i="7"/>
  <c r="S349" i="7"/>
  <c r="W348" i="7"/>
  <c r="V348" i="7"/>
  <c r="U348" i="7"/>
  <c r="T348" i="7"/>
  <c r="S348" i="7"/>
  <c r="W347" i="7"/>
  <c r="V347" i="7"/>
  <c r="U347" i="7"/>
  <c r="T347" i="7"/>
  <c r="S347" i="7"/>
  <c r="W346" i="7"/>
  <c r="V346" i="7"/>
  <c r="U346" i="7"/>
  <c r="T346" i="7"/>
  <c r="S346" i="7"/>
  <c r="W345" i="7"/>
  <c r="V345" i="7"/>
  <c r="U345" i="7"/>
  <c r="T345" i="7"/>
  <c r="S345" i="7"/>
  <c r="W344" i="7"/>
  <c r="V344" i="7"/>
  <c r="U344" i="7"/>
  <c r="T344" i="7"/>
  <c r="S344" i="7"/>
  <c r="W343" i="7"/>
  <c r="V343" i="7"/>
  <c r="U343" i="7"/>
  <c r="T343" i="7"/>
  <c r="S343" i="7"/>
  <c r="W342" i="7"/>
  <c r="V342" i="7"/>
  <c r="U342" i="7"/>
  <c r="T342" i="7"/>
  <c r="S342" i="7"/>
  <c r="W341" i="7"/>
  <c r="V341" i="7"/>
  <c r="U341" i="7"/>
  <c r="T341" i="7"/>
  <c r="S341" i="7"/>
  <c r="W340" i="7"/>
  <c r="V340" i="7"/>
  <c r="U340" i="7"/>
  <c r="T340" i="7"/>
  <c r="S340" i="7"/>
  <c r="W339" i="7"/>
  <c r="V339" i="7"/>
  <c r="U339" i="7"/>
  <c r="T339" i="7"/>
  <c r="S339" i="7"/>
  <c r="W338" i="7"/>
  <c r="V338" i="7"/>
  <c r="U338" i="7"/>
  <c r="T338" i="7"/>
  <c r="S338" i="7"/>
  <c r="W337" i="7"/>
  <c r="V337" i="7"/>
  <c r="U337" i="7"/>
  <c r="T337" i="7"/>
  <c r="S337" i="7"/>
  <c r="W336" i="7"/>
  <c r="V336" i="7"/>
  <c r="U336" i="7"/>
  <c r="T336" i="7"/>
  <c r="S336" i="7"/>
  <c r="W335" i="7"/>
  <c r="V335" i="7"/>
  <c r="U335" i="7"/>
  <c r="T335" i="7"/>
  <c r="S335" i="7"/>
  <c r="W334" i="7"/>
  <c r="V334" i="7"/>
  <c r="U334" i="7"/>
  <c r="T334" i="7"/>
  <c r="S334" i="7"/>
  <c r="W333" i="7"/>
  <c r="V333" i="7"/>
  <c r="U333" i="7"/>
  <c r="T333" i="7"/>
  <c r="S333" i="7"/>
  <c r="W332" i="7"/>
  <c r="V332" i="7"/>
  <c r="U332" i="7"/>
  <c r="T332" i="7"/>
  <c r="S332" i="7"/>
  <c r="W331" i="7"/>
  <c r="V331" i="7"/>
  <c r="U331" i="7"/>
  <c r="T331" i="7"/>
  <c r="S331" i="7"/>
  <c r="W330" i="7"/>
  <c r="V330" i="7"/>
  <c r="U330" i="7"/>
  <c r="T330" i="7"/>
  <c r="S330" i="7"/>
  <c r="W329" i="7"/>
  <c r="V329" i="7"/>
  <c r="U329" i="7"/>
  <c r="T329" i="7"/>
  <c r="S329" i="7"/>
  <c r="W328" i="7"/>
  <c r="V328" i="7"/>
  <c r="U328" i="7"/>
  <c r="T328" i="7"/>
  <c r="S328" i="7"/>
  <c r="W327" i="7"/>
  <c r="V327" i="7"/>
  <c r="U327" i="7"/>
  <c r="T327" i="7"/>
  <c r="S327" i="7"/>
  <c r="W326" i="7"/>
  <c r="V326" i="7"/>
  <c r="U326" i="7"/>
  <c r="T326" i="7"/>
  <c r="S326" i="7"/>
  <c r="W325" i="7"/>
  <c r="V325" i="7"/>
  <c r="U325" i="7"/>
  <c r="T325" i="7"/>
  <c r="S325" i="7"/>
  <c r="W324" i="7"/>
  <c r="V324" i="7"/>
  <c r="U324" i="7"/>
  <c r="T324" i="7"/>
  <c r="S324" i="7"/>
  <c r="W323" i="7"/>
  <c r="V323" i="7"/>
  <c r="U323" i="7"/>
  <c r="T323" i="7"/>
  <c r="S323" i="7"/>
  <c r="W322" i="7"/>
  <c r="V322" i="7"/>
  <c r="U322" i="7"/>
  <c r="T322" i="7"/>
  <c r="S322" i="7"/>
  <c r="W321" i="7"/>
  <c r="V321" i="7"/>
  <c r="U321" i="7"/>
  <c r="T321" i="7"/>
  <c r="S321" i="7"/>
  <c r="W320" i="7"/>
  <c r="V320" i="7"/>
  <c r="U320" i="7"/>
  <c r="T320" i="7"/>
  <c r="S320" i="7"/>
  <c r="W319" i="7"/>
  <c r="V319" i="7"/>
  <c r="U319" i="7"/>
  <c r="T319" i="7"/>
  <c r="S319" i="7"/>
  <c r="W318" i="7"/>
  <c r="V318" i="7"/>
  <c r="U318" i="7"/>
  <c r="T318" i="7"/>
  <c r="S318" i="7"/>
  <c r="W317" i="7"/>
  <c r="V317" i="7"/>
  <c r="U317" i="7"/>
  <c r="T317" i="7"/>
  <c r="S317" i="7"/>
  <c r="W316" i="7"/>
  <c r="V316" i="7"/>
  <c r="U316" i="7"/>
  <c r="T316" i="7"/>
  <c r="S316" i="7"/>
  <c r="W315" i="7"/>
  <c r="V315" i="7"/>
  <c r="U315" i="7"/>
  <c r="T315" i="7"/>
  <c r="S315" i="7"/>
  <c r="W312" i="7"/>
  <c r="V312" i="7"/>
  <c r="U312" i="7"/>
  <c r="T312" i="7"/>
  <c r="S312" i="7"/>
  <c r="W314" i="7"/>
  <c r="V314" i="7"/>
  <c r="U314" i="7"/>
  <c r="T314" i="7"/>
  <c r="S314" i="7"/>
  <c r="W313" i="7"/>
  <c r="V313" i="7"/>
  <c r="U313" i="7"/>
  <c r="T313" i="7"/>
  <c r="S313" i="7"/>
  <c r="W311" i="7"/>
  <c r="V311" i="7"/>
  <c r="U311" i="7"/>
  <c r="T311" i="7"/>
  <c r="S311" i="7"/>
  <c r="W310" i="7"/>
  <c r="V310" i="7"/>
  <c r="U310" i="7"/>
  <c r="T310" i="7"/>
  <c r="S310" i="7"/>
  <c r="W309" i="7"/>
  <c r="V309" i="7"/>
  <c r="U309" i="7"/>
  <c r="T309" i="7"/>
  <c r="S309" i="7"/>
  <c r="W308" i="7"/>
  <c r="V308" i="7"/>
  <c r="U308" i="7"/>
  <c r="T308" i="7"/>
  <c r="S308" i="7"/>
  <c r="W307" i="7"/>
  <c r="V307" i="7"/>
  <c r="U307" i="7"/>
  <c r="T307" i="7"/>
  <c r="S307" i="7"/>
  <c r="W306" i="7"/>
  <c r="V306" i="7"/>
  <c r="U306" i="7"/>
  <c r="T306" i="7"/>
  <c r="S306" i="7"/>
  <c r="W305" i="7"/>
  <c r="V305" i="7"/>
  <c r="U305" i="7"/>
  <c r="T305" i="7"/>
  <c r="S305" i="7"/>
  <c r="W304" i="7"/>
  <c r="V304" i="7"/>
  <c r="U304" i="7"/>
  <c r="T304" i="7"/>
  <c r="S304" i="7"/>
  <c r="W303" i="7"/>
  <c r="V303" i="7"/>
  <c r="U303" i="7"/>
  <c r="T303" i="7"/>
  <c r="S303" i="7"/>
  <c r="W302" i="7"/>
  <c r="V302" i="7"/>
  <c r="U302" i="7"/>
  <c r="T302" i="7"/>
  <c r="S302" i="7"/>
  <c r="W301" i="7"/>
  <c r="V301" i="7"/>
  <c r="U301" i="7"/>
  <c r="T301" i="7"/>
  <c r="S301" i="7"/>
  <c r="W300" i="7"/>
  <c r="V300" i="7"/>
  <c r="U300" i="7"/>
  <c r="T300" i="7"/>
  <c r="S300" i="7"/>
  <c r="W299" i="7"/>
  <c r="V299" i="7"/>
  <c r="U299" i="7"/>
  <c r="T299" i="7"/>
  <c r="S299" i="7"/>
  <c r="W298" i="7"/>
  <c r="V298" i="7"/>
  <c r="U298" i="7"/>
  <c r="T298" i="7"/>
  <c r="S298" i="7"/>
  <c r="W297" i="7"/>
  <c r="V297" i="7"/>
  <c r="U297" i="7"/>
  <c r="T297" i="7"/>
  <c r="S297" i="7"/>
  <c r="W296" i="7"/>
  <c r="V296" i="7"/>
  <c r="U296" i="7"/>
  <c r="T296" i="7"/>
  <c r="S296" i="7"/>
  <c r="W295" i="7"/>
  <c r="V295" i="7"/>
  <c r="U295" i="7"/>
  <c r="T295" i="7"/>
  <c r="S295" i="7"/>
  <c r="W294" i="7"/>
  <c r="V294" i="7"/>
  <c r="U294" i="7"/>
  <c r="T294" i="7"/>
  <c r="S294" i="7"/>
  <c r="W293" i="7"/>
  <c r="V293" i="7"/>
  <c r="U293" i="7"/>
  <c r="T293" i="7"/>
  <c r="S293" i="7"/>
  <c r="W292" i="7"/>
  <c r="V292" i="7"/>
  <c r="U292" i="7"/>
  <c r="T292" i="7"/>
  <c r="S292" i="7"/>
  <c r="W291" i="7"/>
  <c r="V291" i="7"/>
  <c r="U291" i="7"/>
  <c r="T291" i="7"/>
  <c r="S291" i="7"/>
  <c r="W290" i="7"/>
  <c r="V290" i="7"/>
  <c r="U290" i="7"/>
  <c r="T290" i="7"/>
  <c r="S290" i="7"/>
  <c r="W289" i="7"/>
  <c r="V289" i="7"/>
  <c r="U289" i="7"/>
  <c r="T289" i="7"/>
  <c r="S289" i="7"/>
  <c r="W288" i="7"/>
  <c r="V288" i="7"/>
  <c r="U288" i="7"/>
  <c r="T288" i="7"/>
  <c r="S288" i="7"/>
  <c r="W287" i="7"/>
  <c r="V287" i="7"/>
  <c r="U287" i="7"/>
  <c r="T287" i="7"/>
  <c r="S287" i="7"/>
  <c r="W286" i="7"/>
  <c r="V286" i="7"/>
  <c r="U286" i="7"/>
  <c r="T286" i="7"/>
  <c r="S286" i="7"/>
  <c r="W285" i="7"/>
  <c r="V285" i="7"/>
  <c r="U285" i="7"/>
  <c r="T285" i="7"/>
  <c r="S285" i="7"/>
  <c r="W284" i="7"/>
  <c r="V284" i="7"/>
  <c r="U284" i="7"/>
  <c r="T284" i="7"/>
  <c r="S284" i="7"/>
  <c r="W283" i="7"/>
  <c r="V283" i="7"/>
  <c r="U283" i="7"/>
  <c r="T283" i="7"/>
  <c r="S283" i="7"/>
  <c r="W282" i="7"/>
  <c r="V282" i="7"/>
  <c r="U282" i="7"/>
  <c r="T282" i="7"/>
  <c r="S282" i="7"/>
  <c r="W281" i="7"/>
  <c r="V281" i="7"/>
  <c r="U281" i="7"/>
  <c r="T281" i="7"/>
  <c r="S281" i="7"/>
  <c r="W280" i="7"/>
  <c r="V280" i="7"/>
  <c r="U280" i="7"/>
  <c r="T280" i="7"/>
  <c r="S280" i="7"/>
  <c r="W279" i="7"/>
  <c r="V279" i="7"/>
  <c r="U279" i="7"/>
  <c r="T279" i="7"/>
  <c r="S279" i="7"/>
  <c r="W278" i="7"/>
  <c r="V278" i="7"/>
  <c r="U278" i="7"/>
  <c r="T278" i="7"/>
  <c r="S278" i="7"/>
  <c r="W277" i="7"/>
  <c r="V277" i="7"/>
  <c r="U277" i="7"/>
  <c r="T277" i="7"/>
  <c r="S277" i="7"/>
  <c r="W276" i="7"/>
  <c r="V276" i="7"/>
  <c r="U276" i="7"/>
  <c r="T276" i="7"/>
  <c r="S276" i="7"/>
  <c r="W275" i="7"/>
  <c r="V275" i="7"/>
  <c r="U275" i="7"/>
  <c r="T275" i="7"/>
  <c r="S275" i="7"/>
  <c r="W274" i="7"/>
  <c r="V274" i="7"/>
  <c r="U274" i="7"/>
  <c r="T274" i="7"/>
  <c r="S274" i="7"/>
  <c r="W273" i="7"/>
  <c r="V273" i="7"/>
  <c r="U273" i="7"/>
  <c r="T273" i="7"/>
  <c r="S273" i="7"/>
  <c r="W272" i="7"/>
  <c r="V272" i="7"/>
  <c r="U272" i="7"/>
  <c r="T272" i="7"/>
  <c r="S272" i="7"/>
  <c r="W271" i="7"/>
  <c r="V271" i="7"/>
  <c r="U271" i="7"/>
  <c r="T271" i="7"/>
  <c r="S271" i="7"/>
  <c r="W270" i="7"/>
  <c r="V270" i="7"/>
  <c r="U270" i="7"/>
  <c r="T270" i="7"/>
  <c r="S270" i="7"/>
  <c r="W269" i="7"/>
  <c r="V269" i="7"/>
  <c r="U269" i="7"/>
  <c r="T269" i="7"/>
  <c r="S269" i="7"/>
  <c r="W268" i="7"/>
  <c r="V268" i="7"/>
  <c r="U268" i="7"/>
  <c r="T268" i="7"/>
  <c r="S268" i="7"/>
  <c r="W267" i="7"/>
  <c r="V267" i="7"/>
  <c r="U267" i="7"/>
  <c r="T267" i="7"/>
  <c r="S267" i="7"/>
  <c r="W266" i="7"/>
  <c r="V266" i="7"/>
  <c r="U266" i="7"/>
  <c r="T266" i="7"/>
  <c r="S266" i="7"/>
  <c r="W265" i="7"/>
  <c r="V265" i="7"/>
  <c r="U265" i="7"/>
  <c r="T265" i="7"/>
  <c r="S265" i="7"/>
  <c r="W264" i="7"/>
  <c r="V264" i="7"/>
  <c r="U264" i="7"/>
  <c r="T264" i="7"/>
  <c r="S264" i="7"/>
  <c r="W263" i="7"/>
  <c r="V263" i="7"/>
  <c r="U263" i="7"/>
  <c r="T263" i="7"/>
  <c r="S263" i="7"/>
  <c r="W262" i="7"/>
  <c r="V262" i="7"/>
  <c r="U262" i="7"/>
  <c r="T262" i="7"/>
  <c r="S262" i="7"/>
  <c r="W261" i="7"/>
  <c r="V261" i="7"/>
  <c r="U261" i="7"/>
  <c r="T261" i="7"/>
  <c r="S261" i="7"/>
  <c r="W260" i="7"/>
  <c r="V260" i="7"/>
  <c r="U260" i="7"/>
  <c r="T260" i="7"/>
  <c r="S260" i="7"/>
  <c r="W259" i="7"/>
  <c r="V259" i="7"/>
  <c r="U259" i="7"/>
  <c r="T259" i="7"/>
  <c r="S259" i="7"/>
  <c r="W258" i="7"/>
  <c r="V258" i="7"/>
  <c r="U258" i="7"/>
  <c r="T258" i="7"/>
  <c r="S258" i="7"/>
  <c r="W257" i="7"/>
  <c r="V257" i="7"/>
  <c r="U257" i="7"/>
  <c r="T257" i="7"/>
  <c r="S257" i="7"/>
  <c r="W256" i="7"/>
  <c r="V256" i="7"/>
  <c r="U256" i="7"/>
  <c r="T256" i="7"/>
  <c r="S256" i="7"/>
  <c r="W255" i="7"/>
  <c r="V255" i="7"/>
  <c r="U255" i="7"/>
  <c r="T255" i="7"/>
  <c r="S255" i="7"/>
  <c r="W254" i="7"/>
  <c r="V254" i="7"/>
  <c r="U254" i="7"/>
  <c r="T254" i="7"/>
  <c r="S254" i="7"/>
  <c r="W253" i="7"/>
  <c r="V253" i="7"/>
  <c r="U253" i="7"/>
  <c r="T253" i="7"/>
  <c r="S253" i="7"/>
  <c r="W252" i="7"/>
  <c r="V252" i="7"/>
  <c r="U252" i="7"/>
  <c r="T252" i="7"/>
  <c r="S252" i="7"/>
  <c r="W251" i="7"/>
  <c r="V251" i="7"/>
  <c r="U251" i="7"/>
  <c r="T251" i="7"/>
  <c r="S251" i="7"/>
  <c r="W250" i="7"/>
  <c r="V250" i="7"/>
  <c r="U250" i="7"/>
  <c r="T250" i="7"/>
  <c r="S250" i="7"/>
  <c r="W249" i="7"/>
  <c r="V249" i="7"/>
  <c r="U249" i="7"/>
  <c r="T249" i="7"/>
  <c r="S249" i="7"/>
  <c r="W248" i="7"/>
  <c r="V248" i="7"/>
  <c r="U248" i="7"/>
  <c r="T248" i="7"/>
  <c r="S248" i="7"/>
  <c r="W247" i="7"/>
  <c r="V247" i="7"/>
  <c r="U247" i="7"/>
  <c r="T247" i="7"/>
  <c r="S247" i="7"/>
  <c r="W246" i="7"/>
  <c r="V246" i="7"/>
  <c r="U246" i="7"/>
  <c r="T246" i="7"/>
  <c r="S246" i="7"/>
  <c r="W245" i="7"/>
  <c r="V245" i="7"/>
  <c r="U245" i="7"/>
  <c r="T245" i="7"/>
  <c r="S245" i="7"/>
  <c r="W244" i="7"/>
  <c r="V244" i="7"/>
  <c r="U244" i="7"/>
  <c r="T244" i="7"/>
  <c r="S244" i="7"/>
  <c r="W243" i="7"/>
  <c r="V243" i="7"/>
  <c r="U243" i="7"/>
  <c r="T243" i="7"/>
  <c r="S243" i="7"/>
  <c r="W242" i="7"/>
  <c r="V242" i="7"/>
  <c r="U242" i="7"/>
  <c r="T242" i="7"/>
  <c r="S242" i="7"/>
  <c r="W241" i="7"/>
  <c r="V241" i="7"/>
  <c r="U241" i="7"/>
  <c r="T241" i="7"/>
  <c r="S241" i="7"/>
  <c r="W240" i="7"/>
  <c r="V240" i="7"/>
  <c r="U240" i="7"/>
  <c r="T240" i="7"/>
  <c r="S240" i="7"/>
  <c r="W239" i="7"/>
  <c r="V239" i="7"/>
  <c r="U239" i="7"/>
  <c r="T239" i="7"/>
  <c r="S239" i="7"/>
  <c r="W238" i="7"/>
  <c r="V238" i="7"/>
  <c r="U238" i="7"/>
  <c r="T238" i="7"/>
  <c r="S238" i="7"/>
  <c r="W237" i="7"/>
  <c r="V237" i="7"/>
  <c r="U237" i="7"/>
  <c r="T237" i="7"/>
  <c r="S237" i="7"/>
  <c r="W236" i="7"/>
  <c r="V236" i="7"/>
  <c r="U236" i="7"/>
  <c r="T236" i="7"/>
  <c r="S236" i="7"/>
  <c r="W235" i="7"/>
  <c r="V235" i="7"/>
  <c r="U235" i="7"/>
  <c r="T235" i="7"/>
  <c r="S235" i="7"/>
  <c r="W234" i="7"/>
  <c r="V234" i="7"/>
  <c r="U234" i="7"/>
  <c r="T234" i="7"/>
  <c r="S234" i="7"/>
  <c r="W233" i="7"/>
  <c r="V233" i="7"/>
  <c r="U233" i="7"/>
  <c r="T233" i="7"/>
  <c r="S233" i="7"/>
  <c r="W232" i="7"/>
  <c r="V232" i="7"/>
  <c r="U232" i="7"/>
  <c r="T232" i="7"/>
  <c r="S232" i="7"/>
  <c r="W231" i="7"/>
  <c r="V231" i="7"/>
  <c r="U231" i="7"/>
  <c r="T231" i="7"/>
  <c r="S231" i="7"/>
  <c r="W230" i="7"/>
  <c r="V230" i="7"/>
  <c r="U230" i="7"/>
  <c r="T230" i="7"/>
  <c r="S230" i="7"/>
  <c r="W229" i="7"/>
  <c r="V229" i="7"/>
  <c r="U229" i="7"/>
  <c r="T229" i="7"/>
  <c r="S229" i="7"/>
  <c r="W228" i="7"/>
  <c r="V228" i="7"/>
  <c r="U228" i="7"/>
  <c r="T228" i="7"/>
  <c r="S228" i="7"/>
  <c r="W227" i="7"/>
  <c r="V227" i="7"/>
  <c r="U227" i="7"/>
  <c r="T227" i="7"/>
  <c r="S227" i="7"/>
  <c r="W226" i="7"/>
  <c r="V226" i="7"/>
  <c r="U226" i="7"/>
  <c r="T226" i="7"/>
  <c r="S226" i="7"/>
  <c r="W225" i="7"/>
  <c r="V225" i="7"/>
  <c r="U225" i="7"/>
  <c r="T225" i="7"/>
  <c r="S225" i="7"/>
  <c r="W224" i="7"/>
  <c r="V224" i="7"/>
  <c r="U224" i="7"/>
  <c r="T224" i="7"/>
  <c r="S224" i="7"/>
  <c r="W223" i="7"/>
  <c r="V223" i="7"/>
  <c r="U223" i="7"/>
  <c r="T223" i="7"/>
  <c r="S223" i="7"/>
  <c r="W222" i="7"/>
  <c r="V222" i="7"/>
  <c r="U222" i="7"/>
  <c r="T222" i="7"/>
  <c r="S222" i="7"/>
  <c r="W221" i="7"/>
  <c r="V221" i="7"/>
  <c r="U221" i="7"/>
  <c r="T221" i="7"/>
  <c r="S221" i="7"/>
  <c r="W220" i="7"/>
  <c r="V220" i="7"/>
  <c r="U220" i="7"/>
  <c r="T220" i="7"/>
  <c r="S220" i="7"/>
  <c r="W219" i="7"/>
  <c r="V219" i="7"/>
  <c r="U219" i="7"/>
  <c r="T219" i="7"/>
  <c r="S219" i="7"/>
  <c r="W218" i="7"/>
  <c r="V218" i="7"/>
  <c r="U218" i="7"/>
  <c r="T218" i="7"/>
  <c r="S218" i="7"/>
  <c r="W217" i="7"/>
  <c r="V217" i="7"/>
  <c r="U217" i="7"/>
  <c r="T217" i="7"/>
  <c r="S217" i="7"/>
  <c r="W216" i="7"/>
  <c r="V216" i="7"/>
  <c r="U216" i="7"/>
  <c r="T216" i="7"/>
  <c r="S216" i="7"/>
  <c r="W215" i="7"/>
  <c r="V215" i="7"/>
  <c r="U215" i="7"/>
  <c r="T215" i="7"/>
  <c r="S215" i="7"/>
  <c r="W214" i="7"/>
  <c r="V214" i="7"/>
  <c r="U214" i="7"/>
  <c r="T214" i="7"/>
  <c r="S214" i="7"/>
  <c r="W213" i="7"/>
  <c r="V213" i="7"/>
  <c r="U213" i="7"/>
  <c r="T213" i="7"/>
  <c r="S213" i="7"/>
  <c r="W212" i="7"/>
  <c r="V212" i="7"/>
  <c r="U212" i="7"/>
  <c r="T212" i="7"/>
  <c r="S212" i="7"/>
  <c r="W211" i="7"/>
  <c r="V211" i="7"/>
  <c r="U211" i="7"/>
  <c r="T211" i="7"/>
  <c r="S211" i="7"/>
  <c r="W210" i="7"/>
  <c r="V210" i="7"/>
  <c r="U210" i="7"/>
  <c r="T210" i="7"/>
  <c r="S210" i="7"/>
  <c r="W209" i="7"/>
  <c r="V209" i="7"/>
  <c r="U209" i="7"/>
  <c r="T209" i="7"/>
  <c r="S209" i="7"/>
  <c r="W208" i="7"/>
  <c r="V208" i="7"/>
  <c r="U208" i="7"/>
  <c r="T208" i="7"/>
  <c r="S208" i="7"/>
  <c r="W207" i="7"/>
  <c r="V207" i="7"/>
  <c r="U207" i="7"/>
  <c r="T207" i="7"/>
  <c r="S207" i="7"/>
  <c r="W206" i="7"/>
  <c r="V206" i="7"/>
  <c r="U206" i="7"/>
  <c r="T206" i="7"/>
  <c r="S206" i="7"/>
  <c r="W205" i="7"/>
  <c r="V205" i="7"/>
  <c r="U205" i="7"/>
  <c r="T205" i="7"/>
  <c r="S205" i="7"/>
  <c r="W204" i="7"/>
  <c r="V204" i="7"/>
  <c r="U204" i="7"/>
  <c r="T204" i="7"/>
  <c r="S204" i="7"/>
  <c r="W203" i="7"/>
  <c r="V203" i="7"/>
  <c r="U203" i="7"/>
  <c r="T203" i="7"/>
  <c r="S203" i="7"/>
  <c r="W202" i="7"/>
  <c r="V202" i="7"/>
  <c r="U202" i="7"/>
  <c r="T202" i="7"/>
  <c r="S202" i="7"/>
  <c r="W201" i="7"/>
  <c r="V201" i="7"/>
  <c r="U201" i="7"/>
  <c r="T201" i="7"/>
  <c r="S201" i="7"/>
  <c r="W200" i="7"/>
  <c r="V200" i="7"/>
  <c r="U200" i="7"/>
  <c r="T200" i="7"/>
  <c r="S200" i="7"/>
  <c r="W199" i="7"/>
  <c r="V199" i="7"/>
  <c r="U199" i="7"/>
  <c r="T199" i="7"/>
  <c r="S199" i="7"/>
  <c r="W198" i="7"/>
  <c r="V198" i="7"/>
  <c r="U198" i="7"/>
  <c r="T198" i="7"/>
  <c r="S198" i="7"/>
  <c r="W197" i="7"/>
  <c r="V197" i="7"/>
  <c r="U197" i="7"/>
  <c r="T197" i="7"/>
  <c r="S197" i="7"/>
  <c r="W196" i="7"/>
  <c r="V196" i="7"/>
  <c r="U196" i="7"/>
  <c r="T196" i="7"/>
  <c r="S196" i="7"/>
  <c r="W195" i="7"/>
  <c r="V195" i="7"/>
  <c r="U195" i="7"/>
  <c r="T195" i="7"/>
  <c r="S195" i="7"/>
  <c r="W194" i="7"/>
  <c r="V194" i="7"/>
  <c r="U194" i="7"/>
  <c r="T194" i="7"/>
  <c r="S194" i="7"/>
  <c r="W193" i="7"/>
  <c r="V193" i="7"/>
  <c r="U193" i="7"/>
  <c r="T193" i="7"/>
  <c r="S193" i="7"/>
  <c r="W192" i="7"/>
  <c r="V192" i="7"/>
  <c r="U192" i="7"/>
  <c r="T192" i="7"/>
  <c r="S192" i="7"/>
  <c r="W191" i="7"/>
  <c r="V191" i="7"/>
  <c r="U191" i="7"/>
  <c r="T191" i="7"/>
  <c r="S191" i="7"/>
  <c r="W190" i="7"/>
  <c r="V190" i="7"/>
  <c r="U190" i="7"/>
  <c r="T190" i="7"/>
  <c r="S190" i="7"/>
  <c r="W189" i="7"/>
  <c r="V189" i="7"/>
  <c r="U189" i="7"/>
  <c r="T189" i="7"/>
  <c r="S189" i="7"/>
  <c r="W188" i="7"/>
  <c r="V188" i="7"/>
  <c r="U188" i="7"/>
  <c r="T188" i="7"/>
  <c r="S188" i="7"/>
  <c r="W187" i="7"/>
  <c r="V187" i="7"/>
  <c r="U187" i="7"/>
  <c r="T187" i="7"/>
  <c r="S187" i="7"/>
  <c r="W186" i="7"/>
  <c r="V186" i="7"/>
  <c r="U186" i="7"/>
  <c r="T186" i="7"/>
  <c r="S186" i="7"/>
  <c r="W185" i="7"/>
  <c r="V185" i="7"/>
  <c r="U185" i="7"/>
  <c r="T185" i="7"/>
  <c r="S185" i="7"/>
  <c r="W184" i="7"/>
  <c r="V184" i="7"/>
  <c r="U184" i="7"/>
  <c r="T184" i="7"/>
  <c r="S184" i="7"/>
  <c r="W183" i="7"/>
  <c r="V183" i="7"/>
  <c r="U183" i="7"/>
  <c r="T183" i="7"/>
  <c r="S183" i="7"/>
  <c r="W182" i="7"/>
  <c r="V182" i="7"/>
  <c r="U182" i="7"/>
  <c r="T182" i="7"/>
  <c r="S182" i="7"/>
  <c r="W181" i="7"/>
  <c r="V181" i="7"/>
  <c r="U181" i="7"/>
  <c r="T181" i="7"/>
  <c r="S181" i="7"/>
  <c r="W180" i="7"/>
  <c r="V180" i="7"/>
  <c r="U180" i="7"/>
  <c r="T180" i="7"/>
  <c r="S180" i="7"/>
  <c r="W179" i="7"/>
  <c r="V179" i="7"/>
  <c r="U179" i="7"/>
  <c r="T179" i="7"/>
  <c r="S179" i="7"/>
  <c r="W178" i="7"/>
  <c r="V178" i="7"/>
  <c r="U178" i="7"/>
  <c r="T178" i="7"/>
  <c r="S178" i="7"/>
  <c r="W177" i="7"/>
  <c r="V177" i="7"/>
  <c r="U177" i="7"/>
  <c r="T177" i="7"/>
  <c r="S177" i="7"/>
  <c r="W176" i="7"/>
  <c r="V176" i="7"/>
  <c r="U176" i="7"/>
  <c r="T176" i="7"/>
  <c r="S176" i="7"/>
  <c r="W175" i="7"/>
  <c r="V175" i="7"/>
  <c r="U175" i="7"/>
  <c r="T175" i="7"/>
  <c r="S175" i="7"/>
  <c r="W174" i="7"/>
  <c r="V174" i="7"/>
  <c r="U174" i="7"/>
  <c r="T174" i="7"/>
  <c r="S174" i="7"/>
  <c r="W173" i="7"/>
  <c r="V173" i="7"/>
  <c r="U173" i="7"/>
  <c r="T173" i="7"/>
  <c r="S173" i="7"/>
  <c r="W172" i="7"/>
  <c r="V172" i="7"/>
  <c r="U172" i="7"/>
  <c r="T172" i="7"/>
  <c r="S172" i="7"/>
  <c r="W171" i="7"/>
  <c r="V171" i="7"/>
  <c r="U171" i="7"/>
  <c r="T171" i="7"/>
  <c r="S171" i="7"/>
  <c r="W170" i="7"/>
  <c r="V170" i="7"/>
  <c r="U170" i="7"/>
  <c r="T170" i="7"/>
  <c r="S170" i="7"/>
  <c r="W169" i="7"/>
  <c r="V169" i="7"/>
  <c r="U169" i="7"/>
  <c r="T169" i="7"/>
  <c r="S169" i="7"/>
  <c r="W168" i="7"/>
  <c r="V168" i="7"/>
  <c r="U168" i="7"/>
  <c r="T168" i="7"/>
  <c r="S168" i="7"/>
  <c r="W167" i="7"/>
  <c r="V167" i="7"/>
  <c r="U167" i="7"/>
  <c r="T167" i="7"/>
  <c r="S167" i="7"/>
  <c r="W166" i="7"/>
  <c r="V166" i="7"/>
  <c r="U166" i="7"/>
  <c r="T166" i="7"/>
  <c r="S166" i="7"/>
  <c r="W165" i="7"/>
  <c r="V165" i="7"/>
  <c r="U165" i="7"/>
  <c r="T165" i="7"/>
  <c r="S165" i="7"/>
  <c r="W164" i="7"/>
  <c r="V164" i="7"/>
  <c r="U164" i="7"/>
  <c r="T164" i="7"/>
  <c r="S164" i="7"/>
  <c r="W163" i="7"/>
  <c r="V163" i="7"/>
  <c r="U163" i="7"/>
  <c r="T163" i="7"/>
  <c r="S163" i="7"/>
  <c r="W162" i="7"/>
  <c r="V162" i="7"/>
  <c r="U162" i="7"/>
  <c r="T162" i="7"/>
  <c r="S162" i="7"/>
  <c r="W161" i="7"/>
  <c r="V161" i="7"/>
  <c r="U161" i="7"/>
  <c r="T161" i="7"/>
  <c r="S161" i="7"/>
  <c r="W160" i="7"/>
  <c r="V160" i="7"/>
  <c r="U160" i="7"/>
  <c r="T160" i="7"/>
  <c r="S160" i="7"/>
  <c r="W159" i="7"/>
  <c r="V159" i="7"/>
  <c r="U159" i="7"/>
  <c r="T159" i="7"/>
  <c r="S159" i="7"/>
  <c r="W158" i="7"/>
  <c r="V158" i="7"/>
  <c r="U158" i="7"/>
  <c r="T158" i="7"/>
  <c r="S158" i="7"/>
  <c r="W157" i="7"/>
  <c r="V157" i="7"/>
  <c r="U157" i="7"/>
  <c r="T157" i="7"/>
  <c r="S157" i="7"/>
  <c r="W156" i="7"/>
  <c r="V156" i="7"/>
  <c r="U156" i="7"/>
  <c r="T156" i="7"/>
  <c r="S156" i="7"/>
  <c r="W155" i="7"/>
  <c r="V155" i="7"/>
  <c r="U155" i="7"/>
  <c r="T155" i="7"/>
  <c r="S155" i="7"/>
  <c r="W154" i="7"/>
  <c r="V154" i="7"/>
  <c r="U154" i="7"/>
  <c r="T154" i="7"/>
  <c r="S154" i="7"/>
  <c r="W153" i="7"/>
  <c r="V153" i="7"/>
  <c r="U153" i="7"/>
  <c r="T153" i="7"/>
  <c r="S153" i="7"/>
  <c r="W152" i="7"/>
  <c r="V152" i="7"/>
  <c r="U152" i="7"/>
  <c r="T152" i="7"/>
  <c r="S152" i="7"/>
  <c r="W151" i="7"/>
  <c r="V151" i="7"/>
  <c r="U151" i="7"/>
  <c r="T151" i="7"/>
  <c r="S151" i="7"/>
  <c r="W150" i="7"/>
  <c r="V150" i="7"/>
  <c r="U150" i="7"/>
  <c r="T150" i="7"/>
  <c r="S150" i="7"/>
  <c r="W149" i="7"/>
  <c r="V149" i="7"/>
  <c r="U149" i="7"/>
  <c r="T149" i="7"/>
  <c r="S149" i="7"/>
  <c r="W148" i="7"/>
  <c r="V148" i="7"/>
  <c r="U148" i="7"/>
  <c r="T148" i="7"/>
  <c r="S148" i="7"/>
  <c r="W147" i="7"/>
  <c r="V147" i="7"/>
  <c r="U147" i="7"/>
  <c r="T147" i="7"/>
  <c r="S147" i="7"/>
  <c r="W146" i="7"/>
  <c r="V146" i="7"/>
  <c r="U146" i="7"/>
  <c r="T146" i="7"/>
  <c r="S146" i="7"/>
  <c r="W145" i="7"/>
  <c r="V145" i="7"/>
  <c r="U145" i="7"/>
  <c r="T145" i="7"/>
  <c r="S145" i="7"/>
  <c r="W144" i="7"/>
  <c r="V144" i="7"/>
  <c r="U144" i="7"/>
  <c r="T144" i="7"/>
  <c r="S144" i="7"/>
  <c r="W143" i="7"/>
  <c r="V143" i="7"/>
  <c r="U143" i="7"/>
  <c r="T143" i="7"/>
  <c r="S143" i="7"/>
  <c r="W142" i="7"/>
  <c r="V142" i="7"/>
  <c r="U142" i="7"/>
  <c r="T142" i="7"/>
  <c r="S142" i="7"/>
  <c r="W141" i="7"/>
  <c r="V141" i="7"/>
  <c r="U141" i="7"/>
  <c r="T141" i="7"/>
  <c r="S141" i="7"/>
  <c r="W140" i="7"/>
  <c r="V140" i="7"/>
  <c r="U140" i="7"/>
  <c r="T140" i="7"/>
  <c r="S140" i="7"/>
  <c r="W139" i="7"/>
  <c r="V139" i="7"/>
  <c r="U139" i="7"/>
  <c r="T139" i="7"/>
  <c r="S139" i="7"/>
  <c r="W138" i="7"/>
  <c r="V138" i="7"/>
  <c r="U138" i="7"/>
  <c r="T138" i="7"/>
  <c r="S138" i="7"/>
  <c r="W137" i="7"/>
  <c r="V137" i="7"/>
  <c r="U137" i="7"/>
  <c r="T137" i="7"/>
  <c r="S137" i="7"/>
  <c r="W136" i="7"/>
  <c r="V136" i="7"/>
  <c r="U136" i="7"/>
  <c r="T136" i="7"/>
  <c r="S136" i="7"/>
  <c r="W135" i="7"/>
  <c r="V135" i="7"/>
  <c r="U135" i="7"/>
  <c r="T135" i="7"/>
  <c r="S135" i="7"/>
  <c r="W134" i="7"/>
  <c r="V134" i="7"/>
  <c r="U134" i="7"/>
  <c r="T134" i="7"/>
  <c r="S134" i="7"/>
  <c r="W133" i="7"/>
  <c r="V133" i="7"/>
  <c r="U133" i="7"/>
  <c r="T133" i="7"/>
  <c r="S133" i="7"/>
  <c r="W132" i="7"/>
  <c r="V132" i="7"/>
  <c r="U132" i="7"/>
  <c r="T132" i="7"/>
  <c r="S132" i="7"/>
  <c r="W131" i="7"/>
  <c r="V131" i="7"/>
  <c r="U131" i="7"/>
  <c r="T131" i="7"/>
  <c r="S131" i="7"/>
  <c r="W130" i="7"/>
  <c r="V130" i="7"/>
  <c r="U130" i="7"/>
  <c r="T130" i="7"/>
  <c r="S130" i="7"/>
  <c r="W129" i="7"/>
  <c r="V129" i="7"/>
  <c r="U129" i="7"/>
  <c r="T129" i="7"/>
  <c r="S129" i="7"/>
  <c r="W128" i="7"/>
  <c r="V128" i="7"/>
  <c r="U128" i="7"/>
  <c r="T128" i="7"/>
  <c r="S128" i="7"/>
  <c r="W127" i="7"/>
  <c r="V127" i="7"/>
  <c r="U127" i="7"/>
  <c r="T127" i="7"/>
  <c r="S127" i="7"/>
  <c r="W126" i="7"/>
  <c r="V126" i="7"/>
  <c r="U126" i="7"/>
  <c r="T126" i="7"/>
  <c r="S126" i="7"/>
  <c r="W125" i="7"/>
  <c r="V125" i="7"/>
  <c r="U125" i="7"/>
  <c r="T125" i="7"/>
  <c r="S125" i="7"/>
  <c r="W124" i="7"/>
  <c r="V124" i="7"/>
  <c r="U124" i="7"/>
  <c r="T124" i="7"/>
  <c r="S124" i="7"/>
  <c r="W123" i="7"/>
  <c r="V123" i="7"/>
  <c r="U123" i="7"/>
  <c r="T123" i="7"/>
  <c r="S123" i="7"/>
  <c r="W122" i="7"/>
  <c r="V122" i="7"/>
  <c r="U122" i="7"/>
  <c r="T122" i="7"/>
  <c r="S122" i="7"/>
  <c r="W121" i="7"/>
  <c r="V121" i="7"/>
  <c r="U121" i="7"/>
  <c r="T121" i="7"/>
  <c r="S121" i="7"/>
  <c r="W120" i="7"/>
  <c r="V120" i="7"/>
  <c r="U120" i="7"/>
  <c r="T120" i="7"/>
  <c r="S120" i="7"/>
  <c r="W119" i="7"/>
  <c r="V119" i="7"/>
  <c r="U119" i="7"/>
  <c r="T119" i="7"/>
  <c r="S119" i="7"/>
  <c r="W118" i="7"/>
  <c r="V118" i="7"/>
  <c r="U118" i="7"/>
  <c r="T118" i="7"/>
  <c r="S118" i="7"/>
  <c r="W117" i="7"/>
  <c r="V117" i="7"/>
  <c r="U117" i="7"/>
  <c r="T117" i="7"/>
  <c r="S117" i="7"/>
  <c r="W116" i="7"/>
  <c r="V116" i="7"/>
  <c r="U116" i="7"/>
  <c r="T116" i="7"/>
  <c r="S116" i="7"/>
  <c r="W115" i="7"/>
  <c r="V115" i="7"/>
  <c r="U115" i="7"/>
  <c r="T115" i="7"/>
  <c r="S115" i="7"/>
  <c r="W114" i="7"/>
  <c r="V114" i="7"/>
  <c r="U114" i="7"/>
  <c r="T114" i="7"/>
  <c r="S114" i="7"/>
  <c r="W113" i="7"/>
  <c r="V113" i="7"/>
  <c r="U113" i="7"/>
  <c r="T113" i="7"/>
  <c r="S113" i="7"/>
  <c r="W112" i="7"/>
  <c r="V112" i="7"/>
  <c r="U112" i="7"/>
  <c r="T112" i="7"/>
  <c r="S112" i="7"/>
  <c r="W111" i="7"/>
  <c r="V111" i="7"/>
  <c r="U111" i="7"/>
  <c r="T111" i="7"/>
  <c r="S111" i="7"/>
  <c r="W110" i="7"/>
  <c r="V110" i="7"/>
  <c r="U110" i="7"/>
  <c r="T110" i="7"/>
  <c r="S110" i="7"/>
  <c r="W109" i="7"/>
  <c r="V109" i="7"/>
  <c r="U109" i="7"/>
  <c r="T109" i="7"/>
  <c r="S109" i="7"/>
  <c r="W108" i="7"/>
  <c r="V108" i="7"/>
  <c r="U108" i="7"/>
  <c r="T108" i="7"/>
  <c r="S108" i="7"/>
  <c r="W107" i="7"/>
  <c r="V107" i="7"/>
  <c r="U107" i="7"/>
  <c r="T107" i="7"/>
  <c r="S107" i="7"/>
  <c r="W106" i="7"/>
  <c r="V106" i="7"/>
  <c r="U106" i="7"/>
  <c r="T106" i="7"/>
  <c r="S106" i="7"/>
  <c r="W105" i="7"/>
  <c r="V105" i="7"/>
  <c r="U105" i="7"/>
  <c r="T105" i="7"/>
  <c r="S105" i="7"/>
  <c r="W104" i="7"/>
  <c r="V104" i="7"/>
  <c r="U104" i="7"/>
  <c r="T104" i="7"/>
  <c r="S104" i="7"/>
  <c r="W103" i="7"/>
  <c r="V103" i="7"/>
  <c r="U103" i="7"/>
  <c r="T103" i="7"/>
  <c r="S103" i="7"/>
  <c r="W102" i="7"/>
  <c r="V102" i="7"/>
  <c r="U102" i="7"/>
  <c r="T102" i="7"/>
  <c r="S102" i="7"/>
  <c r="W101" i="7"/>
  <c r="V101" i="7"/>
  <c r="U101" i="7"/>
  <c r="T101" i="7"/>
  <c r="S101" i="7"/>
  <c r="W100" i="7"/>
  <c r="V100" i="7"/>
  <c r="U100" i="7"/>
  <c r="T100" i="7"/>
  <c r="S100" i="7"/>
  <c r="W99" i="7"/>
  <c r="V99" i="7"/>
  <c r="U99" i="7"/>
  <c r="T99" i="7"/>
  <c r="S99" i="7"/>
  <c r="W98" i="7"/>
  <c r="V98" i="7"/>
  <c r="U98" i="7"/>
  <c r="T98" i="7"/>
  <c r="S98" i="7"/>
  <c r="W97" i="7"/>
  <c r="V97" i="7"/>
  <c r="U97" i="7"/>
  <c r="T97" i="7"/>
  <c r="S97" i="7"/>
  <c r="W96" i="7"/>
  <c r="V96" i="7"/>
  <c r="U96" i="7"/>
  <c r="T96" i="7"/>
  <c r="S96" i="7"/>
  <c r="W95" i="7"/>
  <c r="V95" i="7"/>
  <c r="U95" i="7"/>
  <c r="T95" i="7"/>
  <c r="S95" i="7"/>
  <c r="W94" i="7"/>
  <c r="V94" i="7"/>
  <c r="U94" i="7"/>
  <c r="T94" i="7"/>
  <c r="S94" i="7"/>
  <c r="W93" i="7"/>
  <c r="V93" i="7"/>
  <c r="U93" i="7"/>
  <c r="T93" i="7"/>
  <c r="S93" i="7"/>
  <c r="W92" i="7"/>
  <c r="V92" i="7"/>
  <c r="U92" i="7"/>
  <c r="T92" i="7"/>
  <c r="S92" i="7"/>
  <c r="W91" i="7"/>
  <c r="V91" i="7"/>
  <c r="U91" i="7"/>
  <c r="T91" i="7"/>
  <c r="S91" i="7"/>
  <c r="W90" i="7"/>
  <c r="V90" i="7"/>
  <c r="U90" i="7"/>
  <c r="T90" i="7"/>
  <c r="S90" i="7"/>
  <c r="W89" i="7"/>
  <c r="V89" i="7"/>
  <c r="U89" i="7"/>
  <c r="T89" i="7"/>
  <c r="S89" i="7"/>
  <c r="W88" i="7"/>
  <c r="V88" i="7"/>
  <c r="U88" i="7"/>
  <c r="T88" i="7"/>
  <c r="S88" i="7"/>
  <c r="W87" i="7"/>
  <c r="V87" i="7"/>
  <c r="U87" i="7"/>
  <c r="T87" i="7"/>
  <c r="S87" i="7"/>
  <c r="W86" i="7"/>
  <c r="V86" i="7"/>
  <c r="U86" i="7"/>
  <c r="T86" i="7"/>
  <c r="S86" i="7"/>
  <c r="W85" i="7"/>
  <c r="V85" i="7"/>
  <c r="U85" i="7"/>
  <c r="T85" i="7"/>
  <c r="S85" i="7"/>
  <c r="W84" i="7"/>
  <c r="V84" i="7"/>
  <c r="U84" i="7"/>
  <c r="T84" i="7"/>
  <c r="S84" i="7"/>
  <c r="W83" i="7"/>
  <c r="V83" i="7"/>
  <c r="U83" i="7"/>
  <c r="T83" i="7"/>
  <c r="S83" i="7"/>
  <c r="W82" i="7"/>
  <c r="V82" i="7"/>
  <c r="U82" i="7"/>
  <c r="T82" i="7"/>
  <c r="S82" i="7"/>
  <c r="W81" i="7"/>
  <c r="V81" i="7"/>
  <c r="U81" i="7"/>
  <c r="T81" i="7"/>
  <c r="S81" i="7"/>
  <c r="W80" i="7"/>
  <c r="V80" i="7"/>
  <c r="U80" i="7"/>
  <c r="T80" i="7"/>
  <c r="S80" i="7"/>
  <c r="W79" i="7"/>
  <c r="V79" i="7"/>
  <c r="U79" i="7"/>
  <c r="T79" i="7"/>
  <c r="S79" i="7"/>
  <c r="W78" i="7"/>
  <c r="V78" i="7"/>
  <c r="U78" i="7"/>
  <c r="T78" i="7"/>
  <c r="S78" i="7"/>
  <c r="W77" i="7"/>
  <c r="V77" i="7"/>
  <c r="U77" i="7"/>
  <c r="T77" i="7"/>
  <c r="S77" i="7"/>
  <c r="W76" i="7"/>
  <c r="V76" i="7"/>
  <c r="U76" i="7"/>
  <c r="T76" i="7"/>
  <c r="S76" i="7"/>
  <c r="W75" i="7"/>
  <c r="V75" i="7"/>
  <c r="U75" i="7"/>
  <c r="T75" i="7"/>
  <c r="S75" i="7"/>
  <c r="W74" i="7"/>
  <c r="V74" i="7"/>
  <c r="U74" i="7"/>
  <c r="T74" i="7"/>
  <c r="S74" i="7"/>
  <c r="W73" i="7"/>
  <c r="V73" i="7"/>
  <c r="U73" i="7"/>
  <c r="T73" i="7"/>
  <c r="S73" i="7"/>
  <c r="W72" i="7"/>
  <c r="V72" i="7"/>
  <c r="U72" i="7"/>
  <c r="T72" i="7"/>
  <c r="S72" i="7"/>
  <c r="W71" i="7"/>
  <c r="V71" i="7"/>
  <c r="U71" i="7"/>
  <c r="T71" i="7"/>
  <c r="S71" i="7"/>
  <c r="W70" i="7"/>
  <c r="V70" i="7"/>
  <c r="U70" i="7"/>
  <c r="T70" i="7"/>
  <c r="S70" i="7"/>
  <c r="W69" i="7"/>
  <c r="V69" i="7"/>
  <c r="U69" i="7"/>
  <c r="T69" i="7"/>
  <c r="S69" i="7"/>
  <c r="W68" i="7"/>
  <c r="V68" i="7"/>
  <c r="U68" i="7"/>
  <c r="T68" i="7"/>
  <c r="S68" i="7"/>
  <c r="W67" i="7"/>
  <c r="V67" i="7"/>
  <c r="U67" i="7"/>
  <c r="T67" i="7"/>
  <c r="S67" i="7"/>
  <c r="W66" i="7"/>
  <c r="V66" i="7"/>
  <c r="U66" i="7"/>
  <c r="T66" i="7"/>
  <c r="S66" i="7"/>
  <c r="W65" i="7"/>
  <c r="V65" i="7"/>
  <c r="U65" i="7"/>
  <c r="T65" i="7"/>
  <c r="S65" i="7"/>
  <c r="W64" i="7"/>
  <c r="V64" i="7"/>
  <c r="U64" i="7"/>
  <c r="T64" i="7"/>
  <c r="S64" i="7"/>
  <c r="W63" i="7"/>
  <c r="V63" i="7"/>
  <c r="U63" i="7"/>
  <c r="T63" i="7"/>
  <c r="S63" i="7"/>
  <c r="W62" i="7"/>
  <c r="V62" i="7"/>
  <c r="U62" i="7"/>
  <c r="T62" i="7"/>
  <c r="S62" i="7"/>
  <c r="W61" i="7"/>
  <c r="V61" i="7"/>
  <c r="U61" i="7"/>
  <c r="T61" i="7"/>
  <c r="S61" i="7"/>
  <c r="W60" i="7"/>
  <c r="V60" i="7"/>
  <c r="U60" i="7"/>
  <c r="T60" i="7"/>
  <c r="S60" i="7"/>
  <c r="W59" i="7"/>
  <c r="V59" i="7"/>
  <c r="U59" i="7"/>
  <c r="T59" i="7"/>
  <c r="S59" i="7"/>
  <c r="W58" i="7"/>
  <c r="V58" i="7"/>
  <c r="U58" i="7"/>
  <c r="T58" i="7"/>
  <c r="S58" i="7"/>
  <c r="W57" i="7"/>
  <c r="V57" i="7"/>
  <c r="U57" i="7"/>
  <c r="T57" i="7"/>
  <c r="S57" i="7"/>
  <c r="W56" i="7"/>
  <c r="V56" i="7"/>
  <c r="U56" i="7"/>
  <c r="T56" i="7"/>
  <c r="S56" i="7"/>
  <c r="W55" i="7"/>
  <c r="V55" i="7"/>
  <c r="U55" i="7"/>
  <c r="T55" i="7"/>
  <c r="S55" i="7"/>
  <c r="W54" i="7"/>
  <c r="V54" i="7"/>
  <c r="U54" i="7"/>
  <c r="T54" i="7"/>
  <c r="S54" i="7"/>
  <c r="W53" i="7"/>
  <c r="V53" i="7"/>
  <c r="U53" i="7"/>
  <c r="T53" i="7"/>
  <c r="S53" i="7"/>
  <c r="W52" i="7"/>
  <c r="V52" i="7"/>
  <c r="U52" i="7"/>
  <c r="T52" i="7"/>
  <c r="S52" i="7"/>
  <c r="W51" i="7"/>
  <c r="V51" i="7"/>
  <c r="U51" i="7"/>
  <c r="T51" i="7"/>
  <c r="S51" i="7"/>
  <c r="W50" i="7"/>
  <c r="V50" i="7"/>
  <c r="U50" i="7"/>
  <c r="T50" i="7"/>
  <c r="S50" i="7"/>
  <c r="W49" i="7"/>
  <c r="V49" i="7"/>
  <c r="U49" i="7"/>
  <c r="T49" i="7"/>
  <c r="S49" i="7"/>
  <c r="W48" i="7"/>
  <c r="V48" i="7"/>
  <c r="U48" i="7"/>
  <c r="T48" i="7"/>
  <c r="S48" i="7"/>
  <c r="W47" i="7"/>
  <c r="V47" i="7"/>
  <c r="U47" i="7"/>
  <c r="T47" i="7"/>
  <c r="S47" i="7"/>
  <c r="W46" i="7"/>
  <c r="V46" i="7"/>
  <c r="U46" i="7"/>
  <c r="T46" i="7"/>
  <c r="S46" i="7"/>
  <c r="W45" i="7"/>
  <c r="V45" i="7"/>
  <c r="U45" i="7"/>
  <c r="T45" i="7"/>
  <c r="S45" i="7"/>
  <c r="W44" i="7"/>
  <c r="V44" i="7"/>
  <c r="U44" i="7"/>
  <c r="T44" i="7"/>
  <c r="S44" i="7"/>
  <c r="W43" i="7"/>
  <c r="V43" i="7"/>
  <c r="U43" i="7"/>
  <c r="T43" i="7"/>
  <c r="S43" i="7"/>
  <c r="W42" i="7"/>
  <c r="V42" i="7"/>
  <c r="U42" i="7"/>
  <c r="T42" i="7"/>
  <c r="S42" i="7"/>
  <c r="W41" i="7"/>
  <c r="V41" i="7"/>
  <c r="U41" i="7"/>
  <c r="T41" i="7"/>
  <c r="S41" i="7"/>
  <c r="W40" i="7"/>
  <c r="V40" i="7"/>
  <c r="U40" i="7"/>
  <c r="T40" i="7"/>
  <c r="S40" i="7"/>
  <c r="W39" i="7"/>
  <c r="V39" i="7"/>
  <c r="U39" i="7"/>
  <c r="T39" i="7"/>
  <c r="S39" i="7"/>
  <c r="W38" i="7"/>
  <c r="V38" i="7"/>
  <c r="U38" i="7"/>
  <c r="T38" i="7"/>
  <c r="S38" i="7"/>
  <c r="W37" i="7"/>
  <c r="V37" i="7"/>
  <c r="U37" i="7"/>
  <c r="T37" i="7"/>
  <c r="S37" i="7"/>
  <c r="W36" i="7"/>
  <c r="V36" i="7"/>
  <c r="U36" i="7"/>
  <c r="T36" i="7"/>
  <c r="S36" i="7"/>
  <c r="W35" i="7"/>
  <c r="V35" i="7"/>
  <c r="U35" i="7"/>
  <c r="T35" i="7"/>
  <c r="S35" i="7"/>
  <c r="W34" i="7"/>
  <c r="V34" i="7"/>
  <c r="U34" i="7"/>
  <c r="T34" i="7"/>
  <c r="S34" i="7"/>
  <c r="W33" i="7"/>
  <c r="V33" i="7"/>
  <c r="U33" i="7"/>
  <c r="T33" i="7"/>
  <c r="S33" i="7"/>
  <c r="W32" i="7"/>
  <c r="V32" i="7"/>
  <c r="U32" i="7"/>
  <c r="T32" i="7"/>
  <c r="S32" i="7"/>
  <c r="W31" i="7"/>
  <c r="V31" i="7"/>
  <c r="U31" i="7"/>
  <c r="T31" i="7"/>
  <c r="S31" i="7"/>
  <c r="W30" i="7"/>
  <c r="V30" i="7"/>
  <c r="U30" i="7"/>
  <c r="T30" i="7"/>
  <c r="S30" i="7"/>
  <c r="W29" i="7"/>
  <c r="V29" i="7"/>
  <c r="U29" i="7"/>
  <c r="T29" i="7"/>
  <c r="S29" i="7"/>
  <c r="W28" i="7"/>
  <c r="V28" i="7"/>
  <c r="U28" i="7"/>
  <c r="T28" i="7"/>
  <c r="S28" i="7"/>
  <c r="W27" i="7"/>
  <c r="V27" i="7"/>
  <c r="U27" i="7"/>
  <c r="T27" i="7"/>
  <c r="S27" i="7"/>
  <c r="W26" i="7"/>
  <c r="V26" i="7"/>
  <c r="U26" i="7"/>
  <c r="T26" i="7"/>
  <c r="S26" i="7"/>
  <c r="W25" i="7"/>
  <c r="V25" i="7"/>
  <c r="U25" i="7"/>
  <c r="T25" i="7"/>
  <c r="S25" i="7"/>
  <c r="W24" i="7"/>
  <c r="V24" i="7"/>
  <c r="U24" i="7"/>
  <c r="T24" i="7"/>
  <c r="S24" i="7"/>
  <c r="W23" i="7"/>
  <c r="V23" i="7"/>
  <c r="U23" i="7"/>
  <c r="T23" i="7"/>
  <c r="S23" i="7"/>
  <c r="W22" i="7"/>
  <c r="V22" i="7"/>
  <c r="U22" i="7"/>
  <c r="T22" i="7"/>
  <c r="S22" i="7"/>
  <c r="W21" i="7"/>
  <c r="V21" i="7"/>
  <c r="U21" i="7"/>
  <c r="T21" i="7"/>
  <c r="S21" i="7"/>
  <c r="W20" i="7"/>
  <c r="V20" i="7"/>
  <c r="U20" i="7"/>
  <c r="T20" i="7"/>
  <c r="S20" i="7"/>
  <c r="W19" i="7"/>
  <c r="V19" i="7"/>
  <c r="U19" i="7"/>
  <c r="T19" i="7"/>
  <c r="S19" i="7"/>
  <c r="W18" i="7"/>
  <c r="V18" i="7"/>
  <c r="U18" i="7"/>
  <c r="T18" i="7"/>
  <c r="S18" i="7"/>
  <c r="W17" i="7"/>
  <c r="V17" i="7"/>
  <c r="U17" i="7"/>
  <c r="T17" i="7"/>
  <c r="S17" i="7"/>
  <c r="W16" i="7"/>
  <c r="V16" i="7"/>
  <c r="U16" i="7"/>
  <c r="T16" i="7"/>
  <c r="S16" i="7"/>
  <c r="W15" i="7"/>
  <c r="V15" i="7"/>
  <c r="U15" i="7"/>
  <c r="T15" i="7"/>
  <c r="S15" i="7"/>
  <c r="W14" i="7"/>
  <c r="V14" i="7"/>
  <c r="U14" i="7"/>
  <c r="T14" i="7"/>
  <c r="S14" i="7"/>
  <c r="W13" i="7"/>
  <c r="V13" i="7"/>
  <c r="U13" i="7"/>
  <c r="T13" i="7"/>
  <c r="S13" i="7"/>
  <c r="W12" i="7"/>
  <c r="V12" i="7"/>
  <c r="U12" i="7"/>
  <c r="T12" i="7"/>
  <c r="S12" i="7"/>
  <c r="W11" i="7"/>
  <c r="V11" i="7"/>
  <c r="U11" i="7"/>
  <c r="T11" i="7"/>
  <c r="S11" i="7"/>
  <c r="W10" i="7"/>
  <c r="V10" i="7"/>
  <c r="U10" i="7"/>
  <c r="T10" i="7"/>
  <c r="S10" i="7"/>
  <c r="W9" i="7"/>
  <c r="V9" i="7"/>
  <c r="U9" i="7"/>
  <c r="T9" i="7"/>
  <c r="S9" i="7"/>
  <c r="W8" i="7"/>
  <c r="V8" i="7"/>
  <c r="U8" i="7"/>
  <c r="T8" i="7"/>
  <c r="S8" i="7"/>
  <c r="W7" i="7"/>
  <c r="V7" i="7"/>
  <c r="U7" i="7"/>
  <c r="T7" i="7"/>
  <c r="S7" i="7"/>
  <c r="W6" i="7"/>
  <c r="V6" i="7"/>
  <c r="U6" i="7"/>
  <c r="T6" i="7"/>
  <c r="S6" i="7"/>
  <c r="W5" i="7"/>
  <c r="V5" i="7"/>
  <c r="U5" i="7"/>
  <c r="T5" i="7"/>
  <c r="S5" i="7"/>
  <c r="W4" i="7"/>
  <c r="V4" i="7"/>
  <c r="U4" i="7"/>
  <c r="T4" i="7"/>
  <c r="S4" i="7"/>
  <c r="W3" i="7"/>
  <c r="V3" i="7"/>
  <c r="U3" i="7"/>
  <c r="T3" i="7"/>
  <c r="S3" i="7"/>
  <c r="W2" i="7"/>
  <c r="V2" i="7"/>
  <c r="U2" i="7"/>
  <c r="T2" i="7"/>
  <c r="S2" i="7"/>
  <c r="S66" i="3" l="1"/>
  <c r="S67" i="3"/>
  <c r="S78" i="3"/>
  <c r="S79" i="3"/>
  <c r="S95" i="3"/>
  <c r="S101" i="3"/>
  <c r="S126" i="3"/>
  <c r="S132" i="3"/>
  <c r="S146" i="3"/>
  <c r="S158" i="3"/>
  <c r="S180" i="3"/>
  <c r="S200" i="3"/>
  <c r="S202" i="3"/>
  <c r="S217" i="3"/>
  <c r="S218" i="3"/>
  <c r="S219" i="3"/>
  <c r="S258" i="3"/>
  <c r="S262" i="3"/>
  <c r="S267" i="3"/>
  <c r="S310" i="3"/>
  <c r="S311" i="3"/>
  <c r="S319" i="3"/>
  <c r="S320" i="3"/>
  <c r="S344" i="3"/>
  <c r="S345" i="3"/>
  <c r="S346" i="3"/>
  <c r="S347" i="3"/>
  <c r="S348" i="3"/>
  <c r="S3" i="3"/>
  <c r="S2" i="3"/>
  <c r="U5" i="3"/>
  <c r="U6" i="3"/>
  <c r="U7" i="3"/>
  <c r="U8" i="3"/>
  <c r="U10" i="3"/>
  <c r="U11" i="3"/>
  <c r="U12" i="3"/>
  <c r="U13" i="3"/>
  <c r="U14" i="3"/>
  <c r="U16" i="3"/>
  <c r="U17" i="3"/>
  <c r="U18" i="3"/>
  <c r="U19" i="3"/>
  <c r="U20" i="3"/>
  <c r="U21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7" i="3"/>
  <c r="U38" i="3"/>
  <c r="U39" i="3"/>
  <c r="U40" i="3"/>
  <c r="U41" i="3"/>
  <c r="U42" i="3"/>
  <c r="U44" i="3"/>
  <c r="U45" i="3"/>
  <c r="U46" i="3"/>
  <c r="U47" i="3"/>
  <c r="U49" i="3"/>
  <c r="U50" i="3"/>
  <c r="U51" i="3"/>
  <c r="U52" i="3"/>
  <c r="U53" i="3"/>
  <c r="U54" i="3"/>
  <c r="U55" i="3"/>
  <c r="U56" i="3"/>
  <c r="U57" i="3"/>
  <c r="U59" i="3"/>
  <c r="U61" i="3"/>
  <c r="U62" i="3"/>
  <c r="U63" i="3"/>
  <c r="U64" i="3"/>
  <c r="U65" i="3"/>
  <c r="U68" i="3"/>
  <c r="U69" i="3"/>
  <c r="U70" i="3"/>
  <c r="U72" i="3"/>
  <c r="U73" i="3"/>
  <c r="U74" i="3"/>
  <c r="U75" i="3"/>
  <c r="U77" i="3"/>
  <c r="U80" i="3"/>
  <c r="U81" i="3"/>
  <c r="U82" i="3"/>
  <c r="U84" i="3"/>
  <c r="U85" i="3"/>
  <c r="U86" i="3"/>
  <c r="U87" i="3"/>
  <c r="U88" i="3"/>
  <c r="U89" i="3"/>
  <c r="U90" i="3"/>
  <c r="U91" i="3"/>
  <c r="U93" i="3"/>
  <c r="U96" i="3"/>
  <c r="U97" i="3"/>
  <c r="U99" i="3"/>
  <c r="U100" i="3"/>
  <c r="U102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7" i="3"/>
  <c r="U118" i="3"/>
  <c r="U119" i="3"/>
  <c r="U120" i="3"/>
  <c r="U121" i="3"/>
  <c r="U122" i="3"/>
  <c r="U123" i="3"/>
  <c r="U124" i="3"/>
  <c r="U125" i="3"/>
  <c r="U127" i="3"/>
  <c r="U128" i="3"/>
  <c r="U129" i="3"/>
  <c r="U130" i="3"/>
  <c r="U131" i="3"/>
  <c r="U133" i="3"/>
  <c r="U134" i="3"/>
  <c r="U135" i="3"/>
  <c r="U138" i="3"/>
  <c r="U141" i="3"/>
  <c r="U142" i="3"/>
  <c r="U143" i="3"/>
  <c r="U144" i="3"/>
  <c r="U145" i="3"/>
  <c r="U147" i="3"/>
  <c r="U148" i="3"/>
  <c r="U149" i="3"/>
  <c r="U150" i="3"/>
  <c r="U151" i="3"/>
  <c r="U152" i="3"/>
  <c r="U153" i="3"/>
  <c r="U154" i="3"/>
  <c r="U155" i="3"/>
  <c r="U156" i="3"/>
  <c r="U157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1" i="3"/>
  <c r="U182" i="3"/>
  <c r="U183" i="3"/>
  <c r="U184" i="3"/>
  <c r="U185" i="3"/>
  <c r="U186" i="3"/>
  <c r="U187" i="3"/>
  <c r="U188" i="3"/>
  <c r="U190" i="3"/>
  <c r="U191" i="3"/>
  <c r="U192" i="3"/>
  <c r="U193" i="3"/>
  <c r="U194" i="3"/>
  <c r="U195" i="3"/>
  <c r="U196" i="3"/>
  <c r="U197" i="3"/>
  <c r="U199" i="3"/>
  <c r="U201" i="3"/>
  <c r="U203" i="3"/>
  <c r="U204" i="3"/>
  <c r="U205" i="3"/>
  <c r="U207" i="3"/>
  <c r="U208" i="3"/>
  <c r="U209" i="3"/>
  <c r="U210" i="3"/>
  <c r="U211" i="3"/>
  <c r="U212" i="3"/>
  <c r="U213" i="3"/>
  <c r="U214" i="3"/>
  <c r="U215" i="3"/>
  <c r="U216" i="3"/>
  <c r="U220" i="3"/>
  <c r="U221" i="3"/>
  <c r="U222" i="3"/>
  <c r="U223" i="3"/>
  <c r="U224" i="3"/>
  <c r="U225" i="3"/>
  <c r="U226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8" i="3"/>
  <c r="U249" i="3"/>
  <c r="U250" i="3"/>
  <c r="U251" i="3"/>
  <c r="U252" i="3"/>
  <c r="U253" i="3"/>
  <c r="U254" i="3"/>
  <c r="U255" i="3"/>
  <c r="U256" i="3"/>
  <c r="U257" i="3"/>
  <c r="U259" i="3"/>
  <c r="U260" i="3"/>
  <c r="U261" i="3"/>
  <c r="U263" i="3"/>
  <c r="U264" i="3"/>
  <c r="U265" i="3"/>
  <c r="U266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9" i="3"/>
  <c r="U300" i="3"/>
  <c r="U301" i="3"/>
  <c r="U302" i="3"/>
  <c r="U303" i="3"/>
  <c r="U304" i="3"/>
  <c r="U305" i="3"/>
  <c r="U306" i="3"/>
  <c r="U307" i="3"/>
  <c r="U308" i="3"/>
  <c r="U309" i="3"/>
  <c r="U313" i="3"/>
  <c r="U314" i="3"/>
  <c r="U315" i="3"/>
  <c r="U316" i="3"/>
  <c r="U317" i="3"/>
  <c r="U318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9" i="3"/>
  <c r="U350" i="3"/>
  <c r="U351" i="3"/>
  <c r="U352" i="3"/>
  <c r="U353" i="3"/>
  <c r="U354" i="3"/>
  <c r="X3" i="3"/>
  <c r="Y3" i="3" s="1"/>
  <c r="X4" i="3"/>
  <c r="Y4" i="3" s="1"/>
  <c r="X5" i="3"/>
  <c r="Y5" i="3" s="1"/>
  <c r="X6" i="3"/>
  <c r="Y6" i="3" s="1"/>
  <c r="X7" i="3"/>
  <c r="Y7" i="3" s="1"/>
  <c r="X8" i="3"/>
  <c r="Y8" i="3" s="1"/>
  <c r="X9" i="3"/>
  <c r="Y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Y15" i="3" s="1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Y23" i="3" s="1"/>
  <c r="X24" i="3"/>
  <c r="Y24" i="3" s="1"/>
  <c r="X25" i="3"/>
  <c r="Y25" i="3" s="1"/>
  <c r="X26" i="3"/>
  <c r="Y26" i="3" s="1"/>
  <c r="X27" i="3"/>
  <c r="Y27" i="3" s="1"/>
  <c r="X28" i="3"/>
  <c r="Y28" i="3" s="1"/>
  <c r="X29" i="3"/>
  <c r="Y29" i="3" s="1"/>
  <c r="X30" i="3"/>
  <c r="Y30" i="3" s="1"/>
  <c r="X31" i="3"/>
  <c r="Y31" i="3" s="1"/>
  <c r="X32" i="3"/>
  <c r="Y32" i="3" s="1"/>
  <c r="X33" i="3"/>
  <c r="Y33" i="3" s="1"/>
  <c r="X34" i="3"/>
  <c r="Y34" i="3" s="1"/>
  <c r="X35" i="3"/>
  <c r="Y35" i="3" s="1"/>
  <c r="X36" i="3"/>
  <c r="Y36" i="3" s="1"/>
  <c r="X37" i="3"/>
  <c r="Y37" i="3" s="1"/>
  <c r="X38" i="3"/>
  <c r="Y38" i="3" s="1"/>
  <c r="X39" i="3"/>
  <c r="Y39" i="3" s="1"/>
  <c r="X40" i="3"/>
  <c r="Y40" i="3" s="1"/>
  <c r="X41" i="3"/>
  <c r="Y41" i="3" s="1"/>
  <c r="X42" i="3"/>
  <c r="Y42" i="3" s="1"/>
  <c r="X43" i="3"/>
  <c r="Y43" i="3" s="1"/>
  <c r="X44" i="3"/>
  <c r="Y44" i="3" s="1"/>
  <c r="X45" i="3"/>
  <c r="Y45" i="3" s="1"/>
  <c r="X46" i="3"/>
  <c r="Y46" i="3" s="1"/>
  <c r="X47" i="3"/>
  <c r="Y47" i="3" s="1"/>
  <c r="X48" i="3"/>
  <c r="Y48" i="3" s="1"/>
  <c r="X49" i="3"/>
  <c r="Y49" i="3" s="1"/>
  <c r="X50" i="3"/>
  <c r="Y50" i="3" s="1"/>
  <c r="X51" i="3"/>
  <c r="Y51" i="3" s="1"/>
  <c r="X52" i="3"/>
  <c r="Y52" i="3" s="1"/>
  <c r="X53" i="3"/>
  <c r="Y53" i="3" s="1"/>
  <c r="X54" i="3"/>
  <c r="Y54" i="3" s="1"/>
  <c r="X55" i="3"/>
  <c r="Y55" i="3" s="1"/>
  <c r="X56" i="3"/>
  <c r="Y56" i="3" s="1"/>
  <c r="X57" i="3"/>
  <c r="Y57" i="3" s="1"/>
  <c r="X58" i="3"/>
  <c r="Y58" i="3" s="1"/>
  <c r="X59" i="3"/>
  <c r="Y59" i="3" s="1"/>
  <c r="X60" i="3"/>
  <c r="Y60" i="3" s="1"/>
  <c r="X61" i="3"/>
  <c r="Y61" i="3" s="1"/>
  <c r="X62" i="3"/>
  <c r="Y62" i="3" s="1"/>
  <c r="X63" i="3"/>
  <c r="Y63" i="3" s="1"/>
  <c r="X64" i="3"/>
  <c r="Y64" i="3" s="1"/>
  <c r="X65" i="3"/>
  <c r="Y65" i="3" s="1"/>
  <c r="X66" i="3"/>
  <c r="Y66" i="3" s="1"/>
  <c r="X67" i="3"/>
  <c r="Y67" i="3" s="1"/>
  <c r="X68" i="3"/>
  <c r="Y68" i="3" s="1"/>
  <c r="X69" i="3"/>
  <c r="Y69" i="3" s="1"/>
  <c r="X70" i="3"/>
  <c r="Y70" i="3" s="1"/>
  <c r="X71" i="3"/>
  <c r="Y71" i="3" s="1"/>
  <c r="X72" i="3"/>
  <c r="Y72" i="3" s="1"/>
  <c r="X73" i="3"/>
  <c r="Y73" i="3" s="1"/>
  <c r="X74" i="3"/>
  <c r="Y74" i="3" s="1"/>
  <c r="X75" i="3"/>
  <c r="Y75" i="3" s="1"/>
  <c r="X76" i="3"/>
  <c r="Y76" i="3" s="1"/>
  <c r="X77" i="3"/>
  <c r="Y77" i="3" s="1"/>
  <c r="X78" i="3"/>
  <c r="Y78" i="3" s="1"/>
  <c r="X79" i="3"/>
  <c r="Y79" i="3" s="1"/>
  <c r="X80" i="3"/>
  <c r="Y80" i="3" s="1"/>
  <c r="X81" i="3"/>
  <c r="Y81" i="3" s="1"/>
  <c r="X82" i="3"/>
  <c r="Y82" i="3" s="1"/>
  <c r="X83" i="3"/>
  <c r="Y83" i="3" s="1"/>
  <c r="X84" i="3"/>
  <c r="Y84" i="3" s="1"/>
  <c r="X85" i="3"/>
  <c r="Y85" i="3" s="1"/>
  <c r="X86" i="3"/>
  <c r="Y86" i="3" s="1"/>
  <c r="X87" i="3"/>
  <c r="Y87" i="3" s="1"/>
  <c r="X88" i="3"/>
  <c r="Y88" i="3" s="1"/>
  <c r="X89" i="3"/>
  <c r="Y89" i="3" s="1"/>
  <c r="X90" i="3"/>
  <c r="Y90" i="3" s="1"/>
  <c r="X91" i="3"/>
  <c r="Y91" i="3" s="1"/>
  <c r="X92" i="3"/>
  <c r="Y92" i="3" s="1"/>
  <c r="X93" i="3"/>
  <c r="Y93" i="3" s="1"/>
  <c r="X94" i="3"/>
  <c r="Y94" i="3" s="1"/>
  <c r="X95" i="3"/>
  <c r="Y95" i="3" s="1"/>
  <c r="X96" i="3"/>
  <c r="Y96" i="3" s="1"/>
  <c r="X97" i="3"/>
  <c r="Y97" i="3" s="1"/>
  <c r="X98" i="3"/>
  <c r="Y98" i="3" s="1"/>
  <c r="X99" i="3"/>
  <c r="Y99" i="3" s="1"/>
  <c r="X100" i="3"/>
  <c r="Y100" i="3" s="1"/>
  <c r="X101" i="3"/>
  <c r="Y101" i="3" s="1"/>
  <c r="X102" i="3"/>
  <c r="Y102" i="3" s="1"/>
  <c r="X103" i="3"/>
  <c r="Y103" i="3" s="1"/>
  <c r="X104" i="3"/>
  <c r="Y104" i="3" s="1"/>
  <c r="X105" i="3"/>
  <c r="Y105" i="3" s="1"/>
  <c r="X106" i="3"/>
  <c r="Y106" i="3" s="1"/>
  <c r="X107" i="3"/>
  <c r="Y107" i="3" s="1"/>
  <c r="X108" i="3"/>
  <c r="Y108" i="3" s="1"/>
  <c r="X109" i="3"/>
  <c r="Y109" i="3" s="1"/>
  <c r="X110" i="3"/>
  <c r="Y110" i="3" s="1"/>
  <c r="X111" i="3"/>
  <c r="Y111" i="3" s="1"/>
  <c r="X112" i="3"/>
  <c r="Y112" i="3" s="1"/>
  <c r="X113" i="3"/>
  <c r="Y113" i="3" s="1"/>
  <c r="X114" i="3"/>
  <c r="Y114" i="3" s="1"/>
  <c r="X115" i="3"/>
  <c r="Y115" i="3" s="1"/>
  <c r="X116" i="3"/>
  <c r="Y116" i="3" s="1"/>
  <c r="X117" i="3"/>
  <c r="Y117" i="3" s="1"/>
  <c r="X118" i="3"/>
  <c r="Y118" i="3" s="1"/>
  <c r="X119" i="3"/>
  <c r="Y119" i="3" s="1"/>
  <c r="X120" i="3"/>
  <c r="Y120" i="3" s="1"/>
  <c r="X121" i="3"/>
  <c r="Y121" i="3" s="1"/>
  <c r="X122" i="3"/>
  <c r="Y122" i="3" s="1"/>
  <c r="X123" i="3"/>
  <c r="Y123" i="3" s="1"/>
  <c r="X124" i="3"/>
  <c r="Y124" i="3" s="1"/>
  <c r="X125" i="3"/>
  <c r="Y125" i="3" s="1"/>
  <c r="X126" i="3"/>
  <c r="Y126" i="3" s="1"/>
  <c r="X127" i="3"/>
  <c r="Y127" i="3" s="1"/>
  <c r="X128" i="3"/>
  <c r="Y128" i="3" s="1"/>
  <c r="X129" i="3"/>
  <c r="Y129" i="3" s="1"/>
  <c r="X130" i="3"/>
  <c r="Y130" i="3" s="1"/>
  <c r="X131" i="3"/>
  <c r="Y131" i="3" s="1"/>
  <c r="X132" i="3"/>
  <c r="Y132" i="3" s="1"/>
  <c r="X133" i="3"/>
  <c r="Y133" i="3" s="1"/>
  <c r="X134" i="3"/>
  <c r="Y134" i="3" s="1"/>
  <c r="X135" i="3"/>
  <c r="Y135" i="3" s="1"/>
  <c r="X136" i="3"/>
  <c r="Y136" i="3" s="1"/>
  <c r="X137" i="3"/>
  <c r="Y137" i="3" s="1"/>
  <c r="X138" i="3"/>
  <c r="Y138" i="3" s="1"/>
  <c r="X139" i="3"/>
  <c r="Y139" i="3" s="1"/>
  <c r="X140" i="3"/>
  <c r="Y140" i="3" s="1"/>
  <c r="X141" i="3"/>
  <c r="Y141" i="3" s="1"/>
  <c r="X142" i="3"/>
  <c r="Y142" i="3" s="1"/>
  <c r="X143" i="3"/>
  <c r="Y143" i="3" s="1"/>
  <c r="X144" i="3"/>
  <c r="Y144" i="3" s="1"/>
  <c r="X145" i="3"/>
  <c r="Y145" i="3" s="1"/>
  <c r="X146" i="3"/>
  <c r="Y146" i="3" s="1"/>
  <c r="X147" i="3"/>
  <c r="Y147" i="3" s="1"/>
  <c r="X148" i="3"/>
  <c r="Y148" i="3" s="1"/>
  <c r="X149" i="3"/>
  <c r="Y149" i="3" s="1"/>
  <c r="X150" i="3"/>
  <c r="Y150" i="3" s="1"/>
  <c r="X151" i="3"/>
  <c r="Y151" i="3" s="1"/>
  <c r="X152" i="3"/>
  <c r="Y152" i="3" s="1"/>
  <c r="X153" i="3"/>
  <c r="Y153" i="3" s="1"/>
  <c r="X154" i="3"/>
  <c r="Y154" i="3" s="1"/>
  <c r="X155" i="3"/>
  <c r="Y155" i="3" s="1"/>
  <c r="X156" i="3"/>
  <c r="Y156" i="3" s="1"/>
  <c r="X157" i="3"/>
  <c r="Y157" i="3" s="1"/>
  <c r="X158" i="3"/>
  <c r="Y158" i="3" s="1"/>
  <c r="X159" i="3"/>
  <c r="Y159" i="3" s="1"/>
  <c r="X160" i="3"/>
  <c r="Y160" i="3" s="1"/>
  <c r="X161" i="3"/>
  <c r="Y161" i="3" s="1"/>
  <c r="X162" i="3"/>
  <c r="Y162" i="3" s="1"/>
  <c r="X163" i="3"/>
  <c r="Y163" i="3" s="1"/>
  <c r="X164" i="3"/>
  <c r="Y164" i="3" s="1"/>
  <c r="X165" i="3"/>
  <c r="Y165" i="3" s="1"/>
  <c r="X166" i="3"/>
  <c r="Y166" i="3" s="1"/>
  <c r="X167" i="3"/>
  <c r="Y167" i="3" s="1"/>
  <c r="X168" i="3"/>
  <c r="Y168" i="3" s="1"/>
  <c r="X169" i="3"/>
  <c r="Y169" i="3" s="1"/>
  <c r="X170" i="3"/>
  <c r="Y170" i="3" s="1"/>
  <c r="X171" i="3"/>
  <c r="Y171" i="3" s="1"/>
  <c r="X172" i="3"/>
  <c r="Y172" i="3" s="1"/>
  <c r="X173" i="3"/>
  <c r="Y173" i="3" s="1"/>
  <c r="X174" i="3"/>
  <c r="Y174" i="3" s="1"/>
  <c r="X175" i="3"/>
  <c r="Y175" i="3" s="1"/>
  <c r="X176" i="3"/>
  <c r="Y176" i="3" s="1"/>
  <c r="X177" i="3"/>
  <c r="Y177" i="3" s="1"/>
  <c r="X178" i="3"/>
  <c r="Y178" i="3" s="1"/>
  <c r="X179" i="3"/>
  <c r="Y179" i="3" s="1"/>
  <c r="X180" i="3"/>
  <c r="Y180" i="3" s="1"/>
  <c r="X181" i="3"/>
  <c r="Y181" i="3" s="1"/>
  <c r="X182" i="3"/>
  <c r="Y182" i="3" s="1"/>
  <c r="X183" i="3"/>
  <c r="Y183" i="3" s="1"/>
  <c r="X184" i="3"/>
  <c r="Y184" i="3" s="1"/>
  <c r="X185" i="3"/>
  <c r="Y185" i="3" s="1"/>
  <c r="X186" i="3"/>
  <c r="Y186" i="3" s="1"/>
  <c r="X187" i="3"/>
  <c r="Y187" i="3" s="1"/>
  <c r="X188" i="3"/>
  <c r="Y188" i="3" s="1"/>
  <c r="X189" i="3"/>
  <c r="Y189" i="3" s="1"/>
  <c r="X190" i="3"/>
  <c r="Y190" i="3" s="1"/>
  <c r="X191" i="3"/>
  <c r="Y191" i="3" s="1"/>
  <c r="X192" i="3"/>
  <c r="Y192" i="3" s="1"/>
  <c r="X193" i="3"/>
  <c r="Y193" i="3" s="1"/>
  <c r="X194" i="3"/>
  <c r="Y194" i="3" s="1"/>
  <c r="X195" i="3"/>
  <c r="Y195" i="3" s="1"/>
  <c r="X196" i="3"/>
  <c r="Y196" i="3" s="1"/>
  <c r="X197" i="3"/>
  <c r="Y197" i="3" s="1"/>
  <c r="X198" i="3"/>
  <c r="Y198" i="3" s="1"/>
  <c r="X199" i="3"/>
  <c r="Y199" i="3" s="1"/>
  <c r="X200" i="3"/>
  <c r="Y200" i="3" s="1"/>
  <c r="X201" i="3"/>
  <c r="Y201" i="3" s="1"/>
  <c r="X202" i="3"/>
  <c r="Y202" i="3" s="1"/>
  <c r="X203" i="3"/>
  <c r="Y203" i="3" s="1"/>
  <c r="X204" i="3"/>
  <c r="Y204" i="3" s="1"/>
  <c r="X205" i="3"/>
  <c r="Y205" i="3" s="1"/>
  <c r="X206" i="3"/>
  <c r="Y206" i="3" s="1"/>
  <c r="X207" i="3"/>
  <c r="Y207" i="3" s="1"/>
  <c r="X208" i="3"/>
  <c r="Y208" i="3" s="1"/>
  <c r="X209" i="3"/>
  <c r="Y209" i="3" s="1"/>
  <c r="X210" i="3"/>
  <c r="Y210" i="3" s="1"/>
  <c r="X211" i="3"/>
  <c r="Y211" i="3" s="1"/>
  <c r="X212" i="3"/>
  <c r="Y212" i="3" s="1"/>
  <c r="X213" i="3"/>
  <c r="Y213" i="3" s="1"/>
  <c r="X214" i="3"/>
  <c r="Y214" i="3" s="1"/>
  <c r="X215" i="3"/>
  <c r="Y215" i="3" s="1"/>
  <c r="X216" i="3"/>
  <c r="Y216" i="3" s="1"/>
  <c r="X217" i="3"/>
  <c r="Y217" i="3" s="1"/>
  <c r="X218" i="3"/>
  <c r="Y218" i="3" s="1"/>
  <c r="X219" i="3"/>
  <c r="Y219" i="3" s="1"/>
  <c r="X220" i="3"/>
  <c r="Y220" i="3" s="1"/>
  <c r="X221" i="3"/>
  <c r="Y221" i="3" s="1"/>
  <c r="X222" i="3"/>
  <c r="Y222" i="3" s="1"/>
  <c r="X223" i="3"/>
  <c r="Y223" i="3" s="1"/>
  <c r="X224" i="3"/>
  <c r="Y224" i="3" s="1"/>
  <c r="X225" i="3"/>
  <c r="Y225" i="3" s="1"/>
  <c r="X226" i="3"/>
  <c r="Y226" i="3" s="1"/>
  <c r="X227" i="3"/>
  <c r="Y227" i="3" s="1"/>
  <c r="X228" i="3"/>
  <c r="Y228" i="3" s="1"/>
  <c r="X229" i="3"/>
  <c r="Y229" i="3" s="1"/>
  <c r="X230" i="3"/>
  <c r="Y230" i="3" s="1"/>
  <c r="X231" i="3"/>
  <c r="Y231" i="3" s="1"/>
  <c r="X232" i="3"/>
  <c r="Y232" i="3" s="1"/>
  <c r="X233" i="3"/>
  <c r="Y233" i="3" s="1"/>
  <c r="X234" i="3"/>
  <c r="Y234" i="3" s="1"/>
  <c r="X235" i="3"/>
  <c r="Y235" i="3" s="1"/>
  <c r="X236" i="3"/>
  <c r="Y236" i="3" s="1"/>
  <c r="X237" i="3"/>
  <c r="Y237" i="3" s="1"/>
  <c r="X238" i="3"/>
  <c r="Y238" i="3" s="1"/>
  <c r="X239" i="3"/>
  <c r="Y239" i="3" s="1"/>
  <c r="X240" i="3"/>
  <c r="Y240" i="3" s="1"/>
  <c r="X241" i="3"/>
  <c r="Y241" i="3" s="1"/>
  <c r="X242" i="3"/>
  <c r="Y242" i="3" s="1"/>
  <c r="X243" i="3"/>
  <c r="Y243" i="3" s="1"/>
  <c r="X244" i="3"/>
  <c r="Y244" i="3" s="1"/>
  <c r="X245" i="3"/>
  <c r="Y245" i="3" s="1"/>
  <c r="X246" i="3"/>
  <c r="Y246" i="3" s="1"/>
  <c r="X247" i="3"/>
  <c r="Y247" i="3" s="1"/>
  <c r="X248" i="3"/>
  <c r="Y248" i="3" s="1"/>
  <c r="X249" i="3"/>
  <c r="Y249" i="3" s="1"/>
  <c r="X250" i="3"/>
  <c r="Y250" i="3" s="1"/>
  <c r="X251" i="3"/>
  <c r="Y251" i="3" s="1"/>
  <c r="X252" i="3"/>
  <c r="Y252" i="3" s="1"/>
  <c r="X253" i="3"/>
  <c r="Y253" i="3" s="1"/>
  <c r="X254" i="3"/>
  <c r="Y254" i="3" s="1"/>
  <c r="X255" i="3"/>
  <c r="Y255" i="3" s="1"/>
  <c r="X256" i="3"/>
  <c r="Y256" i="3" s="1"/>
  <c r="X257" i="3"/>
  <c r="Y257" i="3" s="1"/>
  <c r="X258" i="3"/>
  <c r="Y258" i="3" s="1"/>
  <c r="X259" i="3"/>
  <c r="Y259" i="3" s="1"/>
  <c r="X260" i="3"/>
  <c r="Y260" i="3" s="1"/>
  <c r="X261" i="3"/>
  <c r="Y261" i="3" s="1"/>
  <c r="X262" i="3"/>
  <c r="Y262" i="3" s="1"/>
  <c r="X263" i="3"/>
  <c r="Y263" i="3" s="1"/>
  <c r="X264" i="3"/>
  <c r="Y264" i="3" s="1"/>
  <c r="X265" i="3"/>
  <c r="Y265" i="3" s="1"/>
  <c r="X266" i="3"/>
  <c r="Y266" i="3" s="1"/>
  <c r="X267" i="3"/>
  <c r="Y267" i="3" s="1"/>
  <c r="X268" i="3"/>
  <c r="Y268" i="3" s="1"/>
  <c r="X269" i="3"/>
  <c r="Y269" i="3" s="1"/>
  <c r="X270" i="3"/>
  <c r="Y270" i="3" s="1"/>
  <c r="X271" i="3"/>
  <c r="Y271" i="3" s="1"/>
  <c r="X272" i="3"/>
  <c r="Y272" i="3" s="1"/>
  <c r="X273" i="3"/>
  <c r="Y273" i="3" s="1"/>
  <c r="X274" i="3"/>
  <c r="Y274" i="3" s="1"/>
  <c r="X275" i="3"/>
  <c r="Y275" i="3" s="1"/>
  <c r="X276" i="3"/>
  <c r="Y276" i="3" s="1"/>
  <c r="X277" i="3"/>
  <c r="Y277" i="3" s="1"/>
  <c r="X278" i="3"/>
  <c r="Y278" i="3" s="1"/>
  <c r="X279" i="3"/>
  <c r="Y279" i="3" s="1"/>
  <c r="X280" i="3"/>
  <c r="Y280" i="3" s="1"/>
  <c r="X281" i="3"/>
  <c r="Y281" i="3" s="1"/>
  <c r="X282" i="3"/>
  <c r="Y282" i="3" s="1"/>
  <c r="X283" i="3"/>
  <c r="Y283" i="3" s="1"/>
  <c r="X284" i="3"/>
  <c r="Y284" i="3" s="1"/>
  <c r="X285" i="3"/>
  <c r="Y285" i="3" s="1"/>
  <c r="X286" i="3"/>
  <c r="Y286" i="3" s="1"/>
  <c r="X287" i="3"/>
  <c r="Y287" i="3" s="1"/>
  <c r="X288" i="3"/>
  <c r="Y288" i="3" s="1"/>
  <c r="X289" i="3"/>
  <c r="Y289" i="3" s="1"/>
  <c r="X290" i="3"/>
  <c r="Y290" i="3" s="1"/>
  <c r="X291" i="3"/>
  <c r="Y291" i="3" s="1"/>
  <c r="X292" i="3"/>
  <c r="Y292" i="3" s="1"/>
  <c r="X293" i="3"/>
  <c r="Y293" i="3" s="1"/>
  <c r="X294" i="3"/>
  <c r="Y294" i="3" s="1"/>
  <c r="X295" i="3"/>
  <c r="Y295" i="3" s="1"/>
  <c r="X296" i="3"/>
  <c r="Y296" i="3" s="1"/>
  <c r="X297" i="3"/>
  <c r="Y297" i="3" s="1"/>
  <c r="X298" i="3"/>
  <c r="Y298" i="3" s="1"/>
  <c r="X299" i="3"/>
  <c r="Y299" i="3" s="1"/>
  <c r="X300" i="3"/>
  <c r="Y300" i="3" s="1"/>
  <c r="X301" i="3"/>
  <c r="Y301" i="3" s="1"/>
  <c r="X302" i="3"/>
  <c r="Y302" i="3" s="1"/>
  <c r="X303" i="3"/>
  <c r="Y303" i="3" s="1"/>
  <c r="X304" i="3"/>
  <c r="Y304" i="3" s="1"/>
  <c r="X305" i="3"/>
  <c r="Y305" i="3" s="1"/>
  <c r="X306" i="3"/>
  <c r="Y306" i="3" s="1"/>
  <c r="X307" i="3"/>
  <c r="Y307" i="3" s="1"/>
  <c r="X308" i="3"/>
  <c r="Y308" i="3" s="1"/>
  <c r="X309" i="3"/>
  <c r="Y309" i="3" s="1"/>
  <c r="X310" i="3"/>
  <c r="Y310" i="3" s="1"/>
  <c r="X311" i="3"/>
  <c r="Y311" i="3" s="1"/>
  <c r="X312" i="3"/>
  <c r="Y312" i="3" s="1"/>
  <c r="X313" i="3"/>
  <c r="Y313" i="3" s="1"/>
  <c r="X314" i="3"/>
  <c r="Y314" i="3" s="1"/>
  <c r="X315" i="3"/>
  <c r="Y315" i="3" s="1"/>
  <c r="X316" i="3"/>
  <c r="Y316" i="3" s="1"/>
  <c r="X317" i="3"/>
  <c r="Y317" i="3" s="1"/>
  <c r="X318" i="3"/>
  <c r="Y318" i="3" s="1"/>
  <c r="X319" i="3"/>
  <c r="Y319" i="3" s="1"/>
  <c r="X320" i="3"/>
  <c r="Y320" i="3" s="1"/>
  <c r="X321" i="3"/>
  <c r="Y321" i="3" s="1"/>
  <c r="X322" i="3"/>
  <c r="Y322" i="3" s="1"/>
  <c r="X323" i="3"/>
  <c r="Y323" i="3" s="1"/>
  <c r="X324" i="3"/>
  <c r="Y324" i="3" s="1"/>
  <c r="X325" i="3"/>
  <c r="Y325" i="3" s="1"/>
  <c r="X326" i="3"/>
  <c r="Y326" i="3" s="1"/>
  <c r="X327" i="3"/>
  <c r="Y327" i="3" s="1"/>
  <c r="X328" i="3"/>
  <c r="Y328" i="3" s="1"/>
  <c r="X329" i="3"/>
  <c r="Y329" i="3" s="1"/>
  <c r="X330" i="3"/>
  <c r="Y330" i="3" s="1"/>
  <c r="X331" i="3"/>
  <c r="Y331" i="3" s="1"/>
  <c r="X332" i="3"/>
  <c r="Y332" i="3" s="1"/>
  <c r="X333" i="3"/>
  <c r="Y333" i="3" s="1"/>
  <c r="X334" i="3"/>
  <c r="Y334" i="3" s="1"/>
  <c r="X335" i="3"/>
  <c r="Y335" i="3" s="1"/>
  <c r="X336" i="3"/>
  <c r="Y336" i="3" s="1"/>
  <c r="X337" i="3"/>
  <c r="Y337" i="3" s="1"/>
  <c r="X338" i="3"/>
  <c r="Y338" i="3" s="1"/>
  <c r="X339" i="3"/>
  <c r="Y339" i="3" s="1"/>
  <c r="X340" i="3"/>
  <c r="Y340" i="3" s="1"/>
  <c r="X341" i="3"/>
  <c r="Y341" i="3" s="1"/>
  <c r="X342" i="3"/>
  <c r="Y342" i="3" s="1"/>
  <c r="X343" i="3"/>
  <c r="Y343" i="3" s="1"/>
  <c r="X344" i="3"/>
  <c r="Y344" i="3" s="1"/>
  <c r="X345" i="3"/>
  <c r="Y345" i="3" s="1"/>
  <c r="X346" i="3"/>
  <c r="Y346" i="3" s="1"/>
  <c r="X347" i="3"/>
  <c r="Y347" i="3" s="1"/>
  <c r="X348" i="3"/>
  <c r="Y348" i="3" s="1"/>
  <c r="X349" i="3"/>
  <c r="Y349" i="3" s="1"/>
  <c r="X350" i="3"/>
  <c r="Y350" i="3" s="1"/>
  <c r="X351" i="3"/>
  <c r="Y351" i="3" s="1"/>
  <c r="X352" i="3"/>
  <c r="Y352" i="3" s="1"/>
  <c r="X353" i="3"/>
  <c r="Y353" i="3" s="1"/>
  <c r="X354" i="3"/>
  <c r="Y354" i="3" s="1"/>
  <c r="X2" i="3"/>
  <c r="Y2" i="3" s="1"/>
  <c r="V2" i="1"/>
  <c r="R3" i="3"/>
  <c r="R66" i="3"/>
  <c r="R67" i="3"/>
  <c r="R78" i="3"/>
  <c r="R79" i="3"/>
  <c r="R95" i="3"/>
  <c r="R101" i="3"/>
  <c r="R126" i="3"/>
  <c r="R132" i="3"/>
  <c r="R146" i="3"/>
  <c r="R158" i="3"/>
  <c r="R180" i="3"/>
  <c r="R200" i="3"/>
  <c r="R202" i="3"/>
  <c r="R217" i="3"/>
  <c r="R218" i="3"/>
  <c r="R219" i="3"/>
  <c r="R258" i="3"/>
  <c r="R262" i="3"/>
  <c r="R267" i="3"/>
  <c r="R310" i="3"/>
  <c r="R311" i="3"/>
  <c r="R319" i="3"/>
  <c r="R320" i="3"/>
  <c r="R344" i="3"/>
  <c r="R345" i="3"/>
  <c r="R346" i="3"/>
  <c r="R347" i="3"/>
  <c r="R348" i="3"/>
  <c r="R2" i="3"/>
  <c r="Q3" i="3"/>
  <c r="Q5" i="3"/>
  <c r="Q6" i="3"/>
  <c r="Q7" i="3"/>
  <c r="Q8" i="3"/>
  <c r="Q10" i="3"/>
  <c r="Q11" i="3"/>
  <c r="Q12" i="3"/>
  <c r="Q13" i="3"/>
  <c r="Q14" i="3"/>
  <c r="Q16" i="3"/>
  <c r="Q17" i="3"/>
  <c r="Q18" i="3"/>
  <c r="Q19" i="3"/>
  <c r="Q20" i="3"/>
  <c r="Q21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7" i="3"/>
  <c r="Q38" i="3"/>
  <c r="Q39" i="3"/>
  <c r="Q40" i="3"/>
  <c r="Q41" i="3"/>
  <c r="Q42" i="3"/>
  <c r="Q44" i="3"/>
  <c r="Q45" i="3"/>
  <c r="Q46" i="3"/>
  <c r="Q47" i="3"/>
  <c r="Q49" i="3"/>
  <c r="Q50" i="3"/>
  <c r="Q51" i="3"/>
  <c r="Q52" i="3"/>
  <c r="Q53" i="3"/>
  <c r="Q54" i="3"/>
  <c r="Q55" i="3"/>
  <c r="Q56" i="3"/>
  <c r="Q57" i="3"/>
  <c r="Q59" i="3"/>
  <c r="Q61" i="3"/>
  <c r="Q62" i="3"/>
  <c r="Q63" i="3"/>
  <c r="Q64" i="3"/>
  <c r="Q65" i="3"/>
  <c r="Q66" i="3"/>
  <c r="Q67" i="3"/>
  <c r="Q68" i="3"/>
  <c r="Q69" i="3"/>
  <c r="Q70" i="3"/>
  <c r="Q72" i="3"/>
  <c r="Q73" i="3"/>
  <c r="Q74" i="3"/>
  <c r="Q75" i="3"/>
  <c r="Q77" i="3"/>
  <c r="Q78" i="3"/>
  <c r="Q79" i="3"/>
  <c r="Q80" i="3"/>
  <c r="Q81" i="3"/>
  <c r="Q82" i="3"/>
  <c r="Q84" i="3"/>
  <c r="Q85" i="3"/>
  <c r="Q86" i="3"/>
  <c r="Q87" i="3"/>
  <c r="Q88" i="3"/>
  <c r="Q89" i="3"/>
  <c r="Q90" i="3"/>
  <c r="Q91" i="3"/>
  <c r="Q93" i="3"/>
  <c r="Q95" i="3"/>
  <c r="Q96" i="3"/>
  <c r="Q97" i="3"/>
  <c r="Q99" i="3"/>
  <c r="Q100" i="3"/>
  <c r="Q101" i="3"/>
  <c r="Q102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8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90" i="3"/>
  <c r="Q191" i="3"/>
  <c r="Q192" i="3"/>
  <c r="Q193" i="3"/>
  <c r="Q194" i="3"/>
  <c r="Q195" i="3"/>
  <c r="Q196" i="3"/>
  <c r="Q197" i="3"/>
  <c r="Q199" i="3"/>
  <c r="Q200" i="3"/>
  <c r="Q201" i="3"/>
  <c r="Q202" i="3"/>
  <c r="Q203" i="3"/>
  <c r="Q204" i="3"/>
  <c r="Q205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4" i="3"/>
  <c r="Q345" i="3"/>
  <c r="Q346" i="3"/>
  <c r="Q347" i="3"/>
  <c r="Q348" i="3"/>
  <c r="Q349" i="3"/>
  <c r="Q350" i="3"/>
  <c r="Q351" i="3"/>
  <c r="Q352" i="3"/>
  <c r="Q353" i="3"/>
  <c r="Q354" i="3"/>
  <c r="Q2" i="3"/>
  <c r="G298" i="3"/>
  <c r="G247" i="3"/>
  <c r="G227" i="3"/>
  <c r="G198" i="3"/>
  <c r="G103" i="3"/>
  <c r="G71" i="3"/>
  <c r="G60" i="3"/>
  <c r="Q60" i="3" s="1"/>
  <c r="G43" i="3"/>
  <c r="G4" i="3"/>
  <c r="G312" i="3"/>
  <c r="U312" i="3" s="1"/>
  <c r="G189" i="3"/>
  <c r="G206" i="3"/>
  <c r="G139" i="3"/>
  <c r="G137" i="3"/>
  <c r="G136" i="3"/>
  <c r="U136" i="3" s="1"/>
  <c r="G98" i="3"/>
  <c r="G94" i="3"/>
  <c r="G92" i="3"/>
  <c r="U92" i="3" s="1"/>
  <c r="G83" i="3"/>
  <c r="G22" i="3"/>
  <c r="G9" i="3"/>
  <c r="G343" i="3"/>
  <c r="G342" i="3"/>
  <c r="G140" i="3"/>
  <c r="Q140" i="3" s="1"/>
  <c r="G76" i="3"/>
  <c r="U76" i="3" s="1"/>
  <c r="G15" i="3"/>
  <c r="G341" i="3"/>
  <c r="G58" i="3"/>
  <c r="G116" i="3"/>
  <c r="U116" i="3" s="1"/>
  <c r="G48" i="3"/>
  <c r="U48" i="3" s="1"/>
  <c r="G36" i="3"/>
  <c r="U36" i="3" s="1"/>
  <c r="Q40" i="5"/>
  <c r="R39" i="5"/>
  <c r="R37" i="5"/>
  <c r="U247" i="3" l="1"/>
  <c r="U15" i="3"/>
  <c r="U343" i="3"/>
  <c r="U137" i="3"/>
  <c r="U71" i="3"/>
  <c r="AD6" i="3"/>
  <c r="U94" i="3"/>
  <c r="U4" i="3"/>
  <c r="U298" i="3"/>
  <c r="U206" i="3"/>
  <c r="U198" i="3"/>
  <c r="U9" i="3"/>
  <c r="U139" i="3"/>
  <c r="U103" i="3"/>
  <c r="U58" i="3"/>
  <c r="U22" i="3"/>
  <c r="U98" i="3"/>
  <c r="U43" i="3"/>
  <c r="U341" i="3"/>
  <c r="Q342" i="3"/>
  <c r="Q83" i="3"/>
  <c r="U189" i="3"/>
  <c r="Q227" i="3"/>
  <c r="U60" i="3"/>
  <c r="Q189" i="3"/>
  <c r="Q341" i="3"/>
  <c r="U140" i="3"/>
  <c r="U227" i="3"/>
  <c r="U83" i="3"/>
  <c r="U342" i="3"/>
  <c r="AD3" i="3"/>
  <c r="Q9" i="3"/>
  <c r="Q312" i="3"/>
  <c r="Q136" i="3"/>
  <c r="Q116" i="3"/>
  <c r="Q92" i="3"/>
  <c r="Q76" i="3"/>
  <c r="Q48" i="3"/>
  <c r="Q36" i="3"/>
  <c r="Q4" i="3"/>
  <c r="Q137" i="3"/>
  <c r="Q343" i="3"/>
  <c r="Q247" i="3"/>
  <c r="Q139" i="3"/>
  <c r="Q103" i="3"/>
  <c r="Q71" i="3"/>
  <c r="Q43" i="3"/>
  <c r="Q15" i="3"/>
  <c r="Q298" i="3"/>
  <c r="Q206" i="3"/>
  <c r="Q198" i="3"/>
  <c r="Q98" i="3"/>
  <c r="Q94" i="3"/>
  <c r="Q58" i="3"/>
  <c r="Q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Z15" i="3" s="1"/>
  <c r="D16" i="3"/>
  <c r="Z16" i="3" s="1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Z31" i="3" s="1"/>
  <c r="D32" i="3"/>
  <c r="D33" i="3"/>
  <c r="D34" i="3"/>
  <c r="D35" i="3"/>
  <c r="D36" i="3"/>
  <c r="D37" i="3"/>
  <c r="D38" i="3"/>
  <c r="D39" i="3"/>
  <c r="D40" i="3"/>
  <c r="D41" i="3"/>
  <c r="D42" i="3"/>
  <c r="D43" i="3"/>
  <c r="Z43" i="3" s="1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Z59" i="3" s="1"/>
  <c r="D60" i="3"/>
  <c r="D61" i="3"/>
  <c r="D62" i="3"/>
  <c r="D63" i="3"/>
  <c r="D64" i="3"/>
  <c r="Z64" i="3" s="1"/>
  <c r="D65" i="3"/>
  <c r="D66" i="3"/>
  <c r="Z66" i="3" s="1"/>
  <c r="D67" i="3"/>
  <c r="Z67" i="3" s="1"/>
  <c r="D68" i="3"/>
  <c r="D69" i="3"/>
  <c r="D70" i="3"/>
  <c r="D71" i="3"/>
  <c r="D72" i="3"/>
  <c r="D73" i="3"/>
  <c r="D74" i="3"/>
  <c r="Z74" i="3" s="1"/>
  <c r="D75" i="3"/>
  <c r="D76" i="3"/>
  <c r="D77" i="3"/>
  <c r="D78" i="3"/>
  <c r="D79" i="3"/>
  <c r="D80" i="3"/>
  <c r="D81" i="3"/>
  <c r="D82" i="3"/>
  <c r="D83" i="3"/>
  <c r="D84" i="3"/>
  <c r="D85" i="3"/>
  <c r="D86" i="3"/>
  <c r="Z86" i="3" s="1"/>
  <c r="D87" i="3"/>
  <c r="D88" i="3"/>
  <c r="D89" i="3"/>
  <c r="D90" i="3"/>
  <c r="D91" i="3"/>
  <c r="D92" i="3"/>
  <c r="D93" i="3"/>
  <c r="D94" i="3"/>
  <c r="D95" i="3"/>
  <c r="Z95" i="3" s="1"/>
  <c r="D96" i="3"/>
  <c r="D97" i="3"/>
  <c r="D98" i="3"/>
  <c r="D99" i="3"/>
  <c r="D100" i="3"/>
  <c r="D101" i="3"/>
  <c r="D102" i="3"/>
  <c r="Z102" i="3" s="1"/>
  <c r="D103" i="3"/>
  <c r="D104" i="3"/>
  <c r="D105" i="3"/>
  <c r="D106" i="3"/>
  <c r="D107" i="3"/>
  <c r="D108" i="3"/>
  <c r="D109" i="3"/>
  <c r="D110" i="3"/>
  <c r="D111" i="3"/>
  <c r="D112" i="3"/>
  <c r="D113" i="3"/>
  <c r="D114" i="3"/>
  <c r="Z114" i="3" s="1"/>
  <c r="D115" i="3"/>
  <c r="D116" i="3"/>
  <c r="D117" i="3"/>
  <c r="D118" i="3"/>
  <c r="D119" i="3"/>
  <c r="D120" i="3"/>
  <c r="D121" i="3"/>
  <c r="D122" i="3"/>
  <c r="Z122" i="3" s="1"/>
  <c r="D123" i="3"/>
  <c r="D124" i="3"/>
  <c r="D125" i="3"/>
  <c r="D126" i="3"/>
  <c r="D127" i="3"/>
  <c r="D128" i="3"/>
  <c r="D129" i="3"/>
  <c r="D130" i="3"/>
  <c r="Z130" i="3" s="1"/>
  <c r="D131" i="3"/>
  <c r="D132" i="3"/>
  <c r="D133" i="3"/>
  <c r="D134" i="3"/>
  <c r="D135" i="3"/>
  <c r="D136" i="3"/>
  <c r="D137" i="3"/>
  <c r="D138" i="3"/>
  <c r="Z138" i="3" s="1"/>
  <c r="D139" i="3"/>
  <c r="D140" i="3"/>
  <c r="D141" i="3"/>
  <c r="D142" i="3"/>
  <c r="D143" i="3"/>
  <c r="D144" i="3"/>
  <c r="D145" i="3"/>
  <c r="D146" i="3"/>
  <c r="D147" i="3"/>
  <c r="D148" i="3"/>
  <c r="D149" i="3"/>
  <c r="D150" i="3"/>
  <c r="Z150" i="3" s="1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Z166" i="3" s="1"/>
  <c r="D167" i="3"/>
  <c r="D168" i="3"/>
  <c r="D169" i="3"/>
  <c r="D170" i="3"/>
  <c r="D171" i="3"/>
  <c r="D172" i="3"/>
  <c r="Z172" i="3" s="1"/>
  <c r="D173" i="3"/>
  <c r="D174" i="3"/>
  <c r="D175" i="3"/>
  <c r="D176" i="3"/>
  <c r="D177" i="3"/>
  <c r="D178" i="3"/>
  <c r="Z178" i="3" s="1"/>
  <c r="D179" i="3"/>
  <c r="D180" i="3"/>
  <c r="D181" i="3"/>
  <c r="D182" i="3"/>
  <c r="D183" i="3"/>
  <c r="D184" i="3"/>
  <c r="D185" i="3"/>
  <c r="D186" i="3"/>
  <c r="Z186" i="3" s="1"/>
  <c r="D187" i="3"/>
  <c r="D188" i="3"/>
  <c r="D189" i="3"/>
  <c r="D190" i="3"/>
  <c r="D191" i="3"/>
  <c r="D192" i="3"/>
  <c r="Z192" i="3" s="1"/>
  <c r="D193" i="3"/>
  <c r="D194" i="3"/>
  <c r="Z194" i="3" s="1"/>
  <c r="D195" i="3"/>
  <c r="D196" i="3"/>
  <c r="D197" i="3"/>
  <c r="D198" i="3"/>
  <c r="D199" i="3"/>
  <c r="D200" i="3"/>
  <c r="D201" i="3"/>
  <c r="D202" i="3"/>
  <c r="Z202" i="3" s="1"/>
  <c r="D203" i="3"/>
  <c r="D204" i="3"/>
  <c r="D205" i="3"/>
  <c r="D206" i="3"/>
  <c r="D207" i="3"/>
  <c r="D208" i="3"/>
  <c r="D209" i="3"/>
  <c r="D210" i="3"/>
  <c r="D211" i="3"/>
  <c r="D212" i="3"/>
  <c r="D213" i="3"/>
  <c r="D214" i="3"/>
  <c r="Z214" i="3" s="1"/>
  <c r="D215" i="3"/>
  <c r="D216" i="3"/>
  <c r="D217" i="3"/>
  <c r="D218" i="3"/>
  <c r="Z218" i="3" s="1"/>
  <c r="D219" i="3"/>
  <c r="Z219" i="3" s="1"/>
  <c r="D220" i="3"/>
  <c r="D221" i="3"/>
  <c r="D222" i="3"/>
  <c r="D223" i="3"/>
  <c r="D224" i="3"/>
  <c r="D225" i="3"/>
  <c r="D226" i="3"/>
  <c r="D227" i="3"/>
  <c r="Z227" i="3" s="1"/>
  <c r="D228" i="3"/>
  <c r="D229" i="3"/>
  <c r="D230" i="3"/>
  <c r="D231" i="3"/>
  <c r="D232" i="3"/>
  <c r="D233" i="3"/>
  <c r="D234" i="3"/>
  <c r="D235" i="3"/>
  <c r="D236" i="3"/>
  <c r="D237" i="3"/>
  <c r="D238" i="3"/>
  <c r="D239" i="3"/>
  <c r="Z239" i="3" s="1"/>
  <c r="D240" i="3"/>
  <c r="D241" i="3"/>
  <c r="D242" i="3"/>
  <c r="D243" i="3"/>
  <c r="D244" i="3"/>
  <c r="D245" i="3"/>
  <c r="D246" i="3"/>
  <c r="D247" i="3"/>
  <c r="Z247" i="3" s="1"/>
  <c r="D248" i="3"/>
  <c r="D249" i="3"/>
  <c r="D250" i="3"/>
  <c r="D251" i="3"/>
  <c r="D252" i="3"/>
  <c r="D253" i="3"/>
  <c r="D254" i="3"/>
  <c r="D255" i="3"/>
  <c r="Z255" i="3" s="1"/>
  <c r="D256" i="3"/>
  <c r="D257" i="3"/>
  <c r="D258" i="3"/>
  <c r="D259" i="3"/>
  <c r="D260" i="3"/>
  <c r="D261" i="3"/>
  <c r="D262" i="3"/>
  <c r="Z262" i="3" s="1"/>
  <c r="D263" i="3"/>
  <c r="Z263" i="3" s="1"/>
  <c r="D264" i="3"/>
  <c r="D265" i="3"/>
  <c r="D266" i="3"/>
  <c r="D267" i="3"/>
  <c r="Z267" i="3" s="1"/>
  <c r="D268" i="3"/>
  <c r="D269" i="3"/>
  <c r="D270" i="3"/>
  <c r="D271" i="3"/>
  <c r="D272" i="3"/>
  <c r="D273" i="3"/>
  <c r="D274" i="3"/>
  <c r="D275" i="3"/>
  <c r="Z275" i="3" s="1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Z291" i="3" s="1"/>
  <c r="D292" i="3"/>
  <c r="D293" i="3"/>
  <c r="D294" i="3"/>
  <c r="D295" i="3"/>
  <c r="D296" i="3"/>
  <c r="D297" i="3"/>
  <c r="D298" i="3"/>
  <c r="D299" i="3"/>
  <c r="D300" i="3"/>
  <c r="D301" i="3"/>
  <c r="D302" i="3"/>
  <c r="D303" i="3"/>
  <c r="Z303" i="3" s="1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Z320" i="3" s="1"/>
  <c r="D321" i="3"/>
  <c r="D322" i="3"/>
  <c r="D323" i="3"/>
  <c r="D324" i="3"/>
  <c r="D325" i="3"/>
  <c r="D326" i="3"/>
  <c r="D327" i="3"/>
  <c r="Z327" i="3" s="1"/>
  <c r="D328" i="3"/>
  <c r="D329" i="3"/>
  <c r="D330" i="3"/>
  <c r="D331" i="3"/>
  <c r="D332" i="3"/>
  <c r="D333" i="3"/>
  <c r="D334" i="3"/>
  <c r="D335" i="3"/>
  <c r="D336" i="3"/>
  <c r="D337" i="3"/>
  <c r="D338" i="3"/>
  <c r="D339" i="3"/>
  <c r="Z339" i="3" s="1"/>
  <c r="D340" i="3"/>
  <c r="D341" i="3"/>
  <c r="D342" i="3"/>
  <c r="D343" i="3"/>
  <c r="D344" i="3"/>
  <c r="D345" i="3"/>
  <c r="D346" i="3"/>
  <c r="Z346" i="3" s="1"/>
  <c r="D347" i="3"/>
  <c r="D348" i="3"/>
  <c r="D349" i="3"/>
  <c r="D350" i="3"/>
  <c r="Z350" i="3" s="1"/>
  <c r="D351" i="3"/>
  <c r="Z351" i="3" s="1"/>
  <c r="D352" i="3"/>
  <c r="D353" i="3"/>
  <c r="D354" i="3"/>
  <c r="D2" i="3"/>
  <c r="F343" i="5"/>
  <c r="F342" i="5"/>
  <c r="F299" i="5"/>
  <c r="F238" i="5"/>
  <c r="F129" i="5"/>
  <c r="F107" i="5"/>
  <c r="F98" i="5"/>
  <c r="F92" i="5"/>
  <c r="AE10" i="3" l="1"/>
  <c r="AE13" i="3"/>
  <c r="O354" i="3"/>
  <c r="Z354" i="3"/>
  <c r="O322" i="3"/>
  <c r="Z322" i="3"/>
  <c r="O310" i="3"/>
  <c r="Z310" i="3"/>
  <c r="O298" i="3"/>
  <c r="Z298" i="3"/>
  <c r="O286" i="3"/>
  <c r="Z286" i="3"/>
  <c r="O274" i="3"/>
  <c r="Z274" i="3"/>
  <c r="O250" i="3"/>
  <c r="Z250" i="3"/>
  <c r="O190" i="3"/>
  <c r="Z190" i="3"/>
  <c r="O154" i="3"/>
  <c r="Z154" i="3"/>
  <c r="O142" i="3"/>
  <c r="Z142" i="3"/>
  <c r="O118" i="3"/>
  <c r="Z118" i="3"/>
  <c r="O106" i="3"/>
  <c r="Z106" i="3"/>
  <c r="O94" i="3"/>
  <c r="Z94" i="3"/>
  <c r="O82" i="3"/>
  <c r="Z82" i="3"/>
  <c r="O70" i="3"/>
  <c r="Z70" i="3"/>
  <c r="O58" i="3"/>
  <c r="Z58" i="3"/>
  <c r="O46" i="3"/>
  <c r="Z46" i="3"/>
  <c r="O34" i="3"/>
  <c r="Z34" i="3"/>
  <c r="O18" i="3"/>
  <c r="Z18" i="3"/>
  <c r="O329" i="3"/>
  <c r="Z329" i="3"/>
  <c r="O317" i="3"/>
  <c r="Z317" i="3"/>
  <c r="O309" i="3"/>
  <c r="Z309" i="3"/>
  <c r="O301" i="3"/>
  <c r="Z301" i="3"/>
  <c r="O293" i="3"/>
  <c r="Z293" i="3"/>
  <c r="O285" i="3"/>
  <c r="Z285" i="3"/>
  <c r="O269" i="3"/>
  <c r="Z269" i="3"/>
  <c r="O265" i="3"/>
  <c r="Z265" i="3"/>
  <c r="O261" i="3"/>
  <c r="Z261" i="3"/>
  <c r="O257" i="3"/>
  <c r="Z257" i="3"/>
  <c r="O253" i="3"/>
  <c r="Z253" i="3"/>
  <c r="O249" i="3"/>
  <c r="Z249" i="3"/>
  <c r="O245" i="3"/>
  <c r="Z245" i="3"/>
  <c r="O241" i="3"/>
  <c r="Z241" i="3"/>
  <c r="O237" i="3"/>
  <c r="Z237" i="3"/>
  <c r="O233" i="3"/>
  <c r="Z233" i="3"/>
  <c r="O229" i="3"/>
  <c r="Z229" i="3"/>
  <c r="O225" i="3"/>
  <c r="Z225" i="3"/>
  <c r="O221" i="3"/>
  <c r="Z221" i="3"/>
  <c r="O217" i="3"/>
  <c r="Z217" i="3"/>
  <c r="O213" i="3"/>
  <c r="Z213" i="3"/>
  <c r="O209" i="3"/>
  <c r="Z209" i="3"/>
  <c r="O205" i="3"/>
  <c r="Z205" i="3"/>
  <c r="O201" i="3"/>
  <c r="Z201" i="3"/>
  <c r="O197" i="3"/>
  <c r="Z197" i="3"/>
  <c r="O193" i="3"/>
  <c r="Z193" i="3"/>
  <c r="O189" i="3"/>
  <c r="Z189" i="3"/>
  <c r="O185" i="3"/>
  <c r="Z185" i="3"/>
  <c r="O181" i="3"/>
  <c r="Z181" i="3"/>
  <c r="O177" i="3"/>
  <c r="Z177" i="3"/>
  <c r="O173" i="3"/>
  <c r="Z173" i="3"/>
  <c r="O169" i="3"/>
  <c r="Z169" i="3"/>
  <c r="O165" i="3"/>
  <c r="Z165" i="3"/>
  <c r="O161" i="3"/>
  <c r="Z161" i="3"/>
  <c r="O157" i="3"/>
  <c r="Z157" i="3"/>
  <c r="O153" i="3"/>
  <c r="Z153" i="3"/>
  <c r="O149" i="3"/>
  <c r="Z149" i="3"/>
  <c r="O145" i="3"/>
  <c r="Z145" i="3"/>
  <c r="O141" i="3"/>
  <c r="Z141" i="3"/>
  <c r="O137" i="3"/>
  <c r="Z137" i="3"/>
  <c r="O133" i="3"/>
  <c r="Z133" i="3"/>
  <c r="O129" i="3"/>
  <c r="Z129" i="3"/>
  <c r="O125" i="3"/>
  <c r="Z125" i="3"/>
  <c r="O121" i="3"/>
  <c r="Z121" i="3"/>
  <c r="O117" i="3"/>
  <c r="Z117" i="3"/>
  <c r="O113" i="3"/>
  <c r="Z113" i="3"/>
  <c r="O109" i="3"/>
  <c r="Z109" i="3"/>
  <c r="O105" i="3"/>
  <c r="Z105" i="3"/>
  <c r="O101" i="3"/>
  <c r="Z101" i="3"/>
  <c r="O97" i="3"/>
  <c r="Z97" i="3"/>
  <c r="O93" i="3"/>
  <c r="Z93" i="3"/>
  <c r="O89" i="3"/>
  <c r="Z89" i="3"/>
  <c r="O85" i="3"/>
  <c r="Z85" i="3"/>
  <c r="O81" i="3"/>
  <c r="Z81" i="3"/>
  <c r="O77" i="3"/>
  <c r="Z77" i="3"/>
  <c r="O73" i="3"/>
  <c r="Z73" i="3"/>
  <c r="O69" i="3"/>
  <c r="Z69" i="3"/>
  <c r="O65" i="3"/>
  <c r="Z65" i="3"/>
  <c r="O61" i="3"/>
  <c r="Z61" i="3"/>
  <c r="O57" i="3"/>
  <c r="Z57" i="3"/>
  <c r="O53" i="3"/>
  <c r="Z53" i="3"/>
  <c r="O49" i="3"/>
  <c r="Z49" i="3"/>
  <c r="O45" i="3"/>
  <c r="Z45" i="3"/>
  <c r="O41" i="3"/>
  <c r="Z41" i="3"/>
  <c r="O37" i="3"/>
  <c r="Z37" i="3"/>
  <c r="O33" i="3"/>
  <c r="Z33" i="3"/>
  <c r="O29" i="3"/>
  <c r="Z29" i="3"/>
  <c r="O25" i="3"/>
  <c r="Z25" i="3"/>
  <c r="O21" i="3"/>
  <c r="Z21" i="3"/>
  <c r="O17" i="3"/>
  <c r="Z17" i="3"/>
  <c r="O13" i="3"/>
  <c r="Z13" i="3"/>
  <c r="O9" i="3"/>
  <c r="Z9" i="3"/>
  <c r="O5" i="3"/>
  <c r="Z5" i="3"/>
  <c r="O342" i="3"/>
  <c r="Z342" i="3"/>
  <c r="O334" i="3"/>
  <c r="Z334" i="3"/>
  <c r="O326" i="3"/>
  <c r="Z326" i="3"/>
  <c r="O318" i="3"/>
  <c r="Z318" i="3"/>
  <c r="O306" i="3"/>
  <c r="Z306" i="3"/>
  <c r="O294" i="3"/>
  <c r="Z294" i="3"/>
  <c r="O282" i="3"/>
  <c r="Z282" i="3"/>
  <c r="O270" i="3"/>
  <c r="Z270" i="3"/>
  <c r="O258" i="3"/>
  <c r="Z258" i="3"/>
  <c r="O246" i="3"/>
  <c r="Z246" i="3"/>
  <c r="O238" i="3"/>
  <c r="Z238" i="3"/>
  <c r="O230" i="3"/>
  <c r="Z230" i="3"/>
  <c r="O222" i="3"/>
  <c r="Z222" i="3"/>
  <c r="O210" i="3"/>
  <c r="Z210" i="3"/>
  <c r="O198" i="3"/>
  <c r="Z198" i="3"/>
  <c r="O174" i="3"/>
  <c r="Z174" i="3"/>
  <c r="O162" i="3"/>
  <c r="Z162" i="3"/>
  <c r="O126" i="3"/>
  <c r="Z126" i="3"/>
  <c r="O90" i="3"/>
  <c r="Z90" i="3"/>
  <c r="O78" i="3"/>
  <c r="Z78" i="3"/>
  <c r="O54" i="3"/>
  <c r="Z54" i="3"/>
  <c r="O42" i="3"/>
  <c r="Z42" i="3"/>
  <c r="O30" i="3"/>
  <c r="Z30" i="3"/>
  <c r="O22" i="3"/>
  <c r="Z22" i="3"/>
  <c r="O14" i="3"/>
  <c r="Z14" i="3"/>
  <c r="O6" i="3"/>
  <c r="Z6" i="3"/>
  <c r="O349" i="3"/>
  <c r="Z349" i="3"/>
  <c r="O345" i="3"/>
  <c r="Z345" i="3"/>
  <c r="O337" i="3"/>
  <c r="Z337" i="3"/>
  <c r="O325" i="3"/>
  <c r="Z325" i="3"/>
  <c r="O313" i="3"/>
  <c r="Z313" i="3"/>
  <c r="O305" i="3"/>
  <c r="Z305" i="3"/>
  <c r="O297" i="3"/>
  <c r="Z297" i="3"/>
  <c r="O289" i="3"/>
  <c r="Z289" i="3"/>
  <c r="O281" i="3"/>
  <c r="Z281" i="3"/>
  <c r="O277" i="3"/>
  <c r="Z277" i="3"/>
  <c r="O273" i="3"/>
  <c r="Z273" i="3"/>
  <c r="O352" i="3"/>
  <c r="Z352" i="3"/>
  <c r="O348" i="3"/>
  <c r="Z348" i="3"/>
  <c r="O344" i="3"/>
  <c r="Z344" i="3"/>
  <c r="O340" i="3"/>
  <c r="Z340" i="3"/>
  <c r="O336" i="3"/>
  <c r="Z336" i="3"/>
  <c r="O332" i="3"/>
  <c r="Z332" i="3"/>
  <c r="O328" i="3"/>
  <c r="Z328" i="3"/>
  <c r="O324" i="3"/>
  <c r="Z324" i="3"/>
  <c r="O316" i="3"/>
  <c r="Z316" i="3"/>
  <c r="O312" i="3"/>
  <c r="Z312" i="3"/>
  <c r="O308" i="3"/>
  <c r="Z308" i="3"/>
  <c r="O304" i="3"/>
  <c r="Z304" i="3"/>
  <c r="O300" i="3"/>
  <c r="Z300" i="3"/>
  <c r="O296" i="3"/>
  <c r="Z296" i="3"/>
  <c r="O292" i="3"/>
  <c r="Z292" i="3"/>
  <c r="O288" i="3"/>
  <c r="Z288" i="3"/>
  <c r="O284" i="3"/>
  <c r="Z284" i="3"/>
  <c r="O280" i="3"/>
  <c r="Z280" i="3"/>
  <c r="O276" i="3"/>
  <c r="Z276" i="3"/>
  <c r="O272" i="3"/>
  <c r="Z272" i="3"/>
  <c r="O268" i="3"/>
  <c r="Z268" i="3"/>
  <c r="O264" i="3"/>
  <c r="Z264" i="3"/>
  <c r="O260" i="3"/>
  <c r="Z260" i="3"/>
  <c r="O256" i="3"/>
  <c r="Z256" i="3"/>
  <c r="O252" i="3"/>
  <c r="Z252" i="3"/>
  <c r="O248" i="3"/>
  <c r="Z248" i="3"/>
  <c r="O244" i="3"/>
  <c r="Z244" i="3"/>
  <c r="O240" i="3"/>
  <c r="Z240" i="3"/>
  <c r="O236" i="3"/>
  <c r="Z236" i="3"/>
  <c r="O232" i="3"/>
  <c r="Z232" i="3"/>
  <c r="O228" i="3"/>
  <c r="Z228" i="3"/>
  <c r="O224" i="3"/>
  <c r="Z224" i="3"/>
  <c r="O220" i="3"/>
  <c r="Z220" i="3"/>
  <c r="O216" i="3"/>
  <c r="Z216" i="3"/>
  <c r="O212" i="3"/>
  <c r="Z212" i="3"/>
  <c r="O208" i="3"/>
  <c r="Z208" i="3"/>
  <c r="O204" i="3"/>
  <c r="Z204" i="3"/>
  <c r="O200" i="3"/>
  <c r="Z200" i="3"/>
  <c r="O196" i="3"/>
  <c r="Z196" i="3"/>
  <c r="O188" i="3"/>
  <c r="Z188" i="3"/>
  <c r="O184" i="3"/>
  <c r="Z184" i="3"/>
  <c r="O180" i="3"/>
  <c r="Z180" i="3"/>
  <c r="O176" i="3"/>
  <c r="Z176" i="3"/>
  <c r="O168" i="3"/>
  <c r="Z168" i="3"/>
  <c r="O164" i="3"/>
  <c r="Z164" i="3"/>
  <c r="O160" i="3"/>
  <c r="Z160" i="3"/>
  <c r="O156" i="3"/>
  <c r="Z156" i="3"/>
  <c r="O152" i="3"/>
  <c r="Z152" i="3"/>
  <c r="O148" i="3"/>
  <c r="Z148" i="3"/>
  <c r="O144" i="3"/>
  <c r="Z144" i="3"/>
  <c r="O140" i="3"/>
  <c r="Z140" i="3"/>
  <c r="O136" i="3"/>
  <c r="Z136" i="3"/>
  <c r="O132" i="3"/>
  <c r="Z132" i="3"/>
  <c r="O128" i="3"/>
  <c r="Z128" i="3"/>
  <c r="O124" i="3"/>
  <c r="Z124" i="3"/>
  <c r="O120" i="3"/>
  <c r="Z120" i="3"/>
  <c r="O116" i="3"/>
  <c r="Z116" i="3"/>
  <c r="O112" i="3"/>
  <c r="Z112" i="3"/>
  <c r="O108" i="3"/>
  <c r="Z108" i="3"/>
  <c r="O104" i="3"/>
  <c r="Z104" i="3"/>
  <c r="O100" i="3"/>
  <c r="Z100" i="3"/>
  <c r="O96" i="3"/>
  <c r="Z96" i="3"/>
  <c r="O92" i="3"/>
  <c r="Z92" i="3"/>
  <c r="O88" i="3"/>
  <c r="Z88" i="3"/>
  <c r="O84" i="3"/>
  <c r="Z84" i="3"/>
  <c r="O80" i="3"/>
  <c r="Z80" i="3"/>
  <c r="O76" i="3"/>
  <c r="Z76" i="3"/>
  <c r="O72" i="3"/>
  <c r="Z72" i="3"/>
  <c r="O68" i="3"/>
  <c r="Z68" i="3"/>
  <c r="O60" i="3"/>
  <c r="Z60" i="3"/>
  <c r="O56" i="3"/>
  <c r="Z56" i="3"/>
  <c r="O52" i="3"/>
  <c r="Z52" i="3"/>
  <c r="O48" i="3"/>
  <c r="Z48" i="3"/>
  <c r="O44" i="3"/>
  <c r="Z44" i="3"/>
  <c r="O40" i="3"/>
  <c r="Z40" i="3"/>
  <c r="O36" i="3"/>
  <c r="Z36" i="3"/>
  <c r="O32" i="3"/>
  <c r="Z32" i="3"/>
  <c r="O28" i="3"/>
  <c r="Z28" i="3"/>
  <c r="O24" i="3"/>
  <c r="Z24" i="3"/>
  <c r="O20" i="3"/>
  <c r="Z20" i="3"/>
  <c r="O12" i="3"/>
  <c r="Z12" i="3"/>
  <c r="O8" i="3"/>
  <c r="Z8" i="3"/>
  <c r="O4" i="3"/>
  <c r="Z4" i="3"/>
  <c r="O338" i="3"/>
  <c r="Z338" i="3"/>
  <c r="O330" i="3"/>
  <c r="Z330" i="3"/>
  <c r="O314" i="3"/>
  <c r="Z314" i="3"/>
  <c r="O302" i="3"/>
  <c r="Z302" i="3"/>
  <c r="O290" i="3"/>
  <c r="Z290" i="3"/>
  <c r="O278" i="3"/>
  <c r="Z278" i="3"/>
  <c r="O266" i="3"/>
  <c r="Z266" i="3"/>
  <c r="O254" i="3"/>
  <c r="Z254" i="3"/>
  <c r="O242" i="3"/>
  <c r="Z242" i="3"/>
  <c r="O234" i="3"/>
  <c r="Z234" i="3"/>
  <c r="O226" i="3"/>
  <c r="Z226" i="3"/>
  <c r="O206" i="3"/>
  <c r="Z206" i="3"/>
  <c r="O182" i="3"/>
  <c r="Z182" i="3"/>
  <c r="O170" i="3"/>
  <c r="Z170" i="3"/>
  <c r="O158" i="3"/>
  <c r="Z158" i="3"/>
  <c r="O146" i="3"/>
  <c r="Z146" i="3"/>
  <c r="O134" i="3"/>
  <c r="Z134" i="3"/>
  <c r="O110" i="3"/>
  <c r="Z110" i="3"/>
  <c r="O98" i="3"/>
  <c r="Z98" i="3"/>
  <c r="O62" i="3"/>
  <c r="Z62" i="3"/>
  <c r="O50" i="3"/>
  <c r="Z50" i="3"/>
  <c r="O38" i="3"/>
  <c r="Z38" i="3"/>
  <c r="O26" i="3"/>
  <c r="Z26" i="3"/>
  <c r="O10" i="3"/>
  <c r="Z10" i="3"/>
  <c r="O353" i="3"/>
  <c r="Z353" i="3"/>
  <c r="O341" i="3"/>
  <c r="Z341" i="3"/>
  <c r="O333" i="3"/>
  <c r="Z333" i="3"/>
  <c r="O321" i="3"/>
  <c r="Z321" i="3"/>
  <c r="O347" i="3"/>
  <c r="Z347" i="3"/>
  <c r="O343" i="3"/>
  <c r="Z343" i="3"/>
  <c r="O335" i="3"/>
  <c r="Z335" i="3"/>
  <c r="O331" i="3"/>
  <c r="Z331" i="3"/>
  <c r="O323" i="3"/>
  <c r="Z323" i="3"/>
  <c r="J319" i="3"/>
  <c r="Z319" i="3"/>
  <c r="O315" i="3"/>
  <c r="Z315" i="3"/>
  <c r="J311" i="3"/>
  <c r="Z311" i="3"/>
  <c r="O307" i="3"/>
  <c r="Z307" i="3"/>
  <c r="O299" i="3"/>
  <c r="Z299" i="3"/>
  <c r="O295" i="3"/>
  <c r="Z295" i="3"/>
  <c r="O287" i="3"/>
  <c r="Z287" i="3"/>
  <c r="O283" i="3"/>
  <c r="Z283" i="3"/>
  <c r="O279" i="3"/>
  <c r="Z279" i="3"/>
  <c r="O271" i="3"/>
  <c r="Z271" i="3"/>
  <c r="O259" i="3"/>
  <c r="Z259" i="3"/>
  <c r="O251" i="3"/>
  <c r="Z251" i="3"/>
  <c r="O243" i="3"/>
  <c r="Z243" i="3"/>
  <c r="O235" i="3"/>
  <c r="Z235" i="3"/>
  <c r="O231" i="3"/>
  <c r="Z231" i="3"/>
  <c r="O223" i="3"/>
  <c r="Z223" i="3"/>
  <c r="O215" i="3"/>
  <c r="Z215" i="3"/>
  <c r="O211" i="3"/>
  <c r="Z211" i="3"/>
  <c r="O207" i="3"/>
  <c r="Z207" i="3"/>
  <c r="O203" i="3"/>
  <c r="Z203" i="3"/>
  <c r="O199" i="3"/>
  <c r="Z199" i="3"/>
  <c r="O195" i="3"/>
  <c r="Z195" i="3"/>
  <c r="O191" i="3"/>
  <c r="Z191" i="3"/>
  <c r="O187" i="3"/>
  <c r="Z187" i="3"/>
  <c r="O183" i="3"/>
  <c r="Z183" i="3"/>
  <c r="O179" i="3"/>
  <c r="Z179" i="3"/>
  <c r="O175" i="3"/>
  <c r="Z175" i="3"/>
  <c r="O171" i="3"/>
  <c r="Z171" i="3"/>
  <c r="O167" i="3"/>
  <c r="Z167" i="3"/>
  <c r="O163" i="3"/>
  <c r="Z163" i="3"/>
  <c r="O159" i="3"/>
  <c r="Z159" i="3"/>
  <c r="O155" i="3"/>
  <c r="Z155" i="3"/>
  <c r="O151" i="3"/>
  <c r="Z151" i="3"/>
  <c r="O147" i="3"/>
  <c r="Z147" i="3"/>
  <c r="O143" i="3"/>
  <c r="Z143" i="3"/>
  <c r="O139" i="3"/>
  <c r="Z139" i="3"/>
  <c r="O135" i="3"/>
  <c r="Z135" i="3"/>
  <c r="O131" i="3"/>
  <c r="Z131" i="3"/>
  <c r="O127" i="3"/>
  <c r="Z127" i="3"/>
  <c r="O123" i="3"/>
  <c r="Z123" i="3"/>
  <c r="O119" i="3"/>
  <c r="Z119" i="3"/>
  <c r="O115" i="3"/>
  <c r="Z115" i="3"/>
  <c r="O111" i="3"/>
  <c r="Z111" i="3"/>
  <c r="O107" i="3"/>
  <c r="Z107" i="3"/>
  <c r="O103" i="3"/>
  <c r="Z103" i="3"/>
  <c r="O99" i="3"/>
  <c r="Z99" i="3"/>
  <c r="O91" i="3"/>
  <c r="Z91" i="3"/>
  <c r="O87" i="3"/>
  <c r="Z87" i="3"/>
  <c r="O83" i="3"/>
  <c r="Z83" i="3"/>
  <c r="O79" i="3"/>
  <c r="Z79" i="3"/>
  <c r="O75" i="3"/>
  <c r="Z75" i="3"/>
  <c r="O71" i="3"/>
  <c r="Z71" i="3"/>
  <c r="O63" i="3"/>
  <c r="Z63" i="3"/>
  <c r="O55" i="3"/>
  <c r="Z55" i="3"/>
  <c r="O51" i="3"/>
  <c r="Z51" i="3"/>
  <c r="O47" i="3"/>
  <c r="Z47" i="3"/>
  <c r="O39" i="3"/>
  <c r="Z39" i="3"/>
  <c r="O35" i="3"/>
  <c r="Z35" i="3"/>
  <c r="O27" i="3"/>
  <c r="Z27" i="3"/>
  <c r="O23" i="3"/>
  <c r="Z23" i="3"/>
  <c r="O19" i="3"/>
  <c r="Z19" i="3"/>
  <c r="O11" i="3"/>
  <c r="Z11" i="3"/>
  <c r="O7" i="3"/>
  <c r="Z7" i="3"/>
  <c r="O3" i="3"/>
  <c r="Z3" i="3"/>
  <c r="O2" i="3"/>
  <c r="Z2" i="3"/>
  <c r="O262" i="3"/>
  <c r="J262" i="3"/>
  <c r="O218" i="3"/>
  <c r="J218" i="3"/>
  <c r="O66" i="3"/>
  <c r="J66" i="3"/>
  <c r="O320" i="3"/>
  <c r="J320" i="3"/>
  <c r="O267" i="3"/>
  <c r="J267" i="3"/>
  <c r="O219" i="3"/>
  <c r="J219" i="3"/>
  <c r="O67" i="3"/>
  <c r="J67" i="3"/>
  <c r="F351" i="3"/>
  <c r="O351" i="3"/>
  <c r="F350" i="3"/>
  <c r="O350" i="3"/>
  <c r="F346" i="3"/>
  <c r="O346" i="3"/>
  <c r="F214" i="3"/>
  <c r="O214" i="3"/>
  <c r="F202" i="3"/>
  <c r="O202" i="3"/>
  <c r="F194" i="3"/>
  <c r="O194" i="3"/>
  <c r="F186" i="3"/>
  <c r="O186" i="3"/>
  <c r="F178" i="3"/>
  <c r="O178" i="3"/>
  <c r="F166" i="3"/>
  <c r="O166" i="3"/>
  <c r="F150" i="3"/>
  <c r="O150" i="3"/>
  <c r="F138" i="3"/>
  <c r="O138" i="3"/>
  <c r="F130" i="3"/>
  <c r="O130" i="3"/>
  <c r="F122" i="3"/>
  <c r="O122" i="3"/>
  <c r="F114" i="3"/>
  <c r="O114" i="3"/>
  <c r="F102" i="3"/>
  <c r="O102" i="3"/>
  <c r="F86" i="3"/>
  <c r="O86" i="3"/>
  <c r="F74" i="3"/>
  <c r="O74" i="3"/>
  <c r="J192" i="3"/>
  <c r="O192" i="3"/>
  <c r="J172" i="3"/>
  <c r="O172" i="3"/>
  <c r="J64" i="3"/>
  <c r="O64" i="3"/>
  <c r="J16" i="3"/>
  <c r="O16" i="3"/>
  <c r="E339" i="3"/>
  <c r="O339" i="3"/>
  <c r="F327" i="3"/>
  <c r="O327" i="3"/>
  <c r="F319" i="3"/>
  <c r="O319" i="3"/>
  <c r="F311" i="3"/>
  <c r="O311" i="3"/>
  <c r="F303" i="3"/>
  <c r="O303" i="3"/>
  <c r="F291" i="3"/>
  <c r="O291" i="3"/>
  <c r="F275" i="3"/>
  <c r="O275" i="3"/>
  <c r="F263" i="3"/>
  <c r="O263" i="3"/>
  <c r="F255" i="3"/>
  <c r="O255" i="3"/>
  <c r="F247" i="3"/>
  <c r="O247" i="3"/>
  <c r="F239" i="3"/>
  <c r="O239" i="3"/>
  <c r="F227" i="3"/>
  <c r="O227" i="3"/>
  <c r="J95" i="3"/>
  <c r="O95" i="3"/>
  <c r="J59" i="3"/>
  <c r="O59" i="3"/>
  <c r="J43" i="3"/>
  <c r="O43" i="3"/>
  <c r="J31" i="3"/>
  <c r="O31" i="3"/>
  <c r="J15" i="3"/>
  <c r="O15" i="3"/>
  <c r="L172" i="3"/>
  <c r="F349" i="3"/>
  <c r="J188" i="3"/>
  <c r="J176" i="3"/>
  <c r="J152" i="3"/>
  <c r="J140" i="3"/>
  <c r="J128" i="3"/>
  <c r="J104" i="3"/>
  <c r="J92" i="3"/>
  <c r="J80" i="3"/>
  <c r="J72" i="3"/>
  <c r="J60" i="3"/>
  <c r="J48" i="3"/>
  <c r="F352" i="3"/>
  <c r="F348" i="3"/>
  <c r="E344" i="3"/>
  <c r="F340" i="3"/>
  <c r="J232" i="3"/>
  <c r="J228" i="3"/>
  <c r="J224" i="3"/>
  <c r="J220" i="3"/>
  <c r="J215" i="3"/>
  <c r="J211" i="3"/>
  <c r="J207" i="3"/>
  <c r="J203" i="3"/>
  <c r="J199" i="3"/>
  <c r="J195" i="3"/>
  <c r="J191" i="3"/>
  <c r="J187" i="3"/>
  <c r="J183" i="3"/>
  <c r="J179" i="3"/>
  <c r="J175" i="3"/>
  <c r="J171" i="3"/>
  <c r="J167" i="3"/>
  <c r="J163" i="3"/>
  <c r="J159" i="3"/>
  <c r="J155" i="3"/>
  <c r="J151" i="3"/>
  <c r="J147" i="3"/>
  <c r="J143" i="3"/>
  <c r="J139" i="3"/>
  <c r="J135" i="3"/>
  <c r="J131" i="3"/>
  <c r="J127" i="3"/>
  <c r="J123" i="3"/>
  <c r="J119" i="3"/>
  <c r="J115" i="3"/>
  <c r="J111" i="3"/>
  <c r="J107" i="3"/>
  <c r="J103" i="3"/>
  <c r="J99" i="3"/>
  <c r="J91" i="3"/>
  <c r="J87" i="3"/>
  <c r="J83" i="3"/>
  <c r="J79" i="3"/>
  <c r="J75" i="3"/>
  <c r="J71" i="3"/>
  <c r="J63" i="3"/>
  <c r="J55" i="3"/>
  <c r="J51" i="3"/>
  <c r="J47" i="3"/>
  <c r="J39" i="3"/>
  <c r="J35" i="3"/>
  <c r="J27" i="3"/>
  <c r="J23" i="3"/>
  <c r="J19" i="3"/>
  <c r="J11" i="3"/>
  <c r="J7" i="3"/>
  <c r="F353" i="3"/>
  <c r="F341" i="3"/>
  <c r="J184" i="3"/>
  <c r="J160" i="3"/>
  <c r="J136" i="3"/>
  <c r="J124" i="3"/>
  <c r="J112" i="3"/>
  <c r="J88" i="3"/>
  <c r="J76" i="3"/>
  <c r="J56" i="3"/>
  <c r="J44" i="3"/>
  <c r="J32" i="3"/>
  <c r="J24" i="3"/>
  <c r="J12" i="3"/>
  <c r="F2" i="3"/>
  <c r="F347" i="3"/>
  <c r="F343" i="3"/>
  <c r="F335" i="3"/>
  <c r="F331" i="3"/>
  <c r="F323" i="3"/>
  <c r="F315" i="3"/>
  <c r="F307" i="3"/>
  <c r="F299" i="3"/>
  <c r="F295" i="3"/>
  <c r="F287" i="3"/>
  <c r="F283" i="3"/>
  <c r="F279" i="3"/>
  <c r="F271" i="3"/>
  <c r="F267" i="3"/>
  <c r="F259" i="3"/>
  <c r="F251" i="3"/>
  <c r="F243" i="3"/>
  <c r="F235" i="3"/>
  <c r="F231" i="3"/>
  <c r="F223" i="3"/>
  <c r="F219" i="3"/>
  <c r="F210" i="3"/>
  <c r="F206" i="3"/>
  <c r="F198" i="3"/>
  <c r="F190" i="3"/>
  <c r="F182" i="3"/>
  <c r="F174" i="3"/>
  <c r="F170" i="3"/>
  <c r="F162" i="3"/>
  <c r="F158" i="3"/>
  <c r="F154" i="3"/>
  <c r="F146" i="3"/>
  <c r="F142" i="3"/>
  <c r="F134" i="3"/>
  <c r="F126" i="3"/>
  <c r="F118" i="3"/>
  <c r="F110" i="3"/>
  <c r="F106" i="3"/>
  <c r="F98" i="3"/>
  <c r="F94" i="3"/>
  <c r="F90" i="3"/>
  <c r="F82" i="3"/>
  <c r="F78" i="3"/>
  <c r="F70" i="3"/>
  <c r="F66" i="3"/>
  <c r="F62" i="3"/>
  <c r="F58" i="3"/>
  <c r="F54" i="3"/>
  <c r="F50" i="3"/>
  <c r="F46" i="3"/>
  <c r="F42" i="3"/>
  <c r="F38" i="3"/>
  <c r="F34" i="3"/>
  <c r="F30" i="3"/>
  <c r="F26" i="3"/>
  <c r="F22" i="3"/>
  <c r="F18" i="3"/>
  <c r="F14" i="3"/>
  <c r="F10" i="3"/>
  <c r="F6" i="3"/>
  <c r="F345" i="3"/>
  <c r="J168" i="3"/>
  <c r="J156" i="3"/>
  <c r="J144" i="3"/>
  <c r="J120" i="3"/>
  <c r="J108" i="3"/>
  <c r="J96" i="3"/>
  <c r="J40" i="3"/>
  <c r="J28" i="3"/>
  <c r="F354" i="3"/>
  <c r="F342" i="3"/>
  <c r="F338" i="3"/>
  <c r="F334" i="3"/>
  <c r="F330" i="3"/>
  <c r="F326" i="3"/>
  <c r="F322" i="3"/>
  <c r="F318" i="3"/>
  <c r="F314" i="3"/>
  <c r="F310" i="3"/>
  <c r="F306" i="3"/>
  <c r="F302" i="3"/>
  <c r="F298" i="3"/>
  <c r="F294" i="3"/>
  <c r="F290" i="3"/>
  <c r="F286" i="3"/>
  <c r="F282" i="3"/>
  <c r="F278" i="3"/>
  <c r="F274" i="3"/>
  <c r="F270" i="3"/>
  <c r="F266" i="3"/>
  <c r="F262" i="3"/>
  <c r="F258" i="3"/>
  <c r="F254" i="3"/>
  <c r="F250" i="3"/>
  <c r="F246" i="3"/>
  <c r="F242" i="3"/>
  <c r="F238" i="3"/>
  <c r="F234" i="3"/>
  <c r="F230" i="3"/>
  <c r="F226" i="3"/>
  <c r="F222" i="3"/>
  <c r="F218" i="3"/>
  <c r="F213" i="3"/>
  <c r="F209" i="3"/>
  <c r="F205" i="3"/>
  <c r="F201" i="3"/>
  <c r="J197" i="3"/>
  <c r="J193" i="3"/>
  <c r="J189" i="3"/>
  <c r="J185" i="3"/>
  <c r="J181" i="3"/>
  <c r="J177" i="3"/>
  <c r="J173" i="3"/>
  <c r="J169" i="3"/>
  <c r="J165" i="3"/>
  <c r="J161" i="3"/>
  <c r="J157" i="3"/>
  <c r="J153" i="3"/>
  <c r="J149" i="3"/>
  <c r="J145" i="3"/>
  <c r="J141" i="3"/>
  <c r="J137" i="3"/>
  <c r="J133" i="3"/>
  <c r="J129" i="3"/>
  <c r="J125" i="3"/>
  <c r="J121" i="3"/>
  <c r="J117" i="3"/>
  <c r="J113" i="3"/>
  <c r="J109" i="3"/>
  <c r="J105" i="3"/>
  <c r="J101" i="3"/>
  <c r="T101" i="3" s="1"/>
  <c r="J97" i="3"/>
  <c r="J93" i="3"/>
  <c r="J89" i="3"/>
  <c r="J85" i="3"/>
  <c r="J81" i="3"/>
  <c r="J77" i="3"/>
  <c r="J73" i="3"/>
  <c r="J69" i="3"/>
  <c r="J65" i="3"/>
  <c r="J61" i="3"/>
  <c r="J57" i="3"/>
  <c r="J53" i="3"/>
  <c r="J49" i="3"/>
  <c r="J45" i="3"/>
  <c r="J41" i="3"/>
  <c r="J37" i="3"/>
  <c r="J33" i="3"/>
  <c r="J29" i="3"/>
  <c r="J25" i="3"/>
  <c r="J21" i="3"/>
  <c r="J17" i="3"/>
  <c r="J13" i="3"/>
  <c r="J9" i="3"/>
  <c r="J5" i="3"/>
  <c r="J8" i="3"/>
  <c r="J295" i="3"/>
  <c r="J178" i="3"/>
  <c r="J114" i="3"/>
  <c r="J50" i="3"/>
  <c r="J202" i="3"/>
  <c r="T202" i="3" s="1"/>
  <c r="J130" i="3"/>
  <c r="J263" i="3"/>
  <c r="J162" i="3"/>
  <c r="J98" i="3"/>
  <c r="J34" i="3"/>
  <c r="J327" i="3"/>
  <c r="J231" i="3"/>
  <c r="J146" i="3"/>
  <c r="T146" i="3" s="1"/>
  <c r="J82" i="3"/>
  <c r="J18" i="3"/>
  <c r="J287" i="3"/>
  <c r="J255" i="3"/>
  <c r="J223" i="3"/>
  <c r="J194" i="3"/>
  <c r="J279" i="3"/>
  <c r="J247" i="3"/>
  <c r="J186" i="3"/>
  <c r="J170" i="3"/>
  <c r="J154" i="3"/>
  <c r="J138" i="3"/>
  <c r="J122" i="3"/>
  <c r="J106" i="3"/>
  <c r="J90" i="3"/>
  <c r="J74" i="3"/>
  <c r="J58" i="3"/>
  <c r="J42" i="3"/>
  <c r="J26" i="3"/>
  <c r="J10" i="3"/>
  <c r="J335" i="3"/>
  <c r="J303" i="3"/>
  <c r="J271" i="3"/>
  <c r="J239" i="3"/>
  <c r="J210" i="3"/>
  <c r="F337" i="3"/>
  <c r="J337" i="3"/>
  <c r="F333" i="3"/>
  <c r="J333" i="3"/>
  <c r="F329" i="3"/>
  <c r="J329" i="3"/>
  <c r="F325" i="3"/>
  <c r="J325" i="3"/>
  <c r="E321" i="3"/>
  <c r="J321" i="3"/>
  <c r="F317" i="3"/>
  <c r="J317" i="3"/>
  <c r="F313" i="3"/>
  <c r="J313" i="3"/>
  <c r="F309" i="3"/>
  <c r="J309" i="3"/>
  <c r="F305" i="3"/>
  <c r="J305" i="3"/>
  <c r="F301" i="3"/>
  <c r="J301" i="3"/>
  <c r="F297" i="3"/>
  <c r="J297" i="3"/>
  <c r="F293" i="3"/>
  <c r="J293" i="3"/>
  <c r="F289" i="3"/>
  <c r="J289" i="3"/>
  <c r="F285" i="3"/>
  <c r="J285" i="3"/>
  <c r="F281" i="3"/>
  <c r="J281" i="3"/>
  <c r="F277" i="3"/>
  <c r="J277" i="3"/>
  <c r="F273" i="3"/>
  <c r="J273" i="3"/>
  <c r="F269" i="3"/>
  <c r="J269" i="3"/>
  <c r="F265" i="3"/>
  <c r="J265" i="3"/>
  <c r="F261" i="3"/>
  <c r="J261" i="3"/>
  <c r="E257" i="3"/>
  <c r="J257" i="3"/>
  <c r="F253" i="3"/>
  <c r="J253" i="3"/>
  <c r="F249" i="3"/>
  <c r="J249" i="3"/>
  <c r="F245" i="3"/>
  <c r="J245" i="3"/>
  <c r="F241" i="3"/>
  <c r="J241" i="3"/>
  <c r="F237" i="3"/>
  <c r="J237" i="3"/>
  <c r="F233" i="3"/>
  <c r="J233" i="3"/>
  <c r="F229" i="3"/>
  <c r="J229" i="3"/>
  <c r="E225" i="3"/>
  <c r="J225" i="3"/>
  <c r="F221" i="3"/>
  <c r="J221" i="3"/>
  <c r="F217" i="3"/>
  <c r="J217" i="3"/>
  <c r="F216" i="3"/>
  <c r="J216" i="3"/>
  <c r="F212" i="3"/>
  <c r="J212" i="3"/>
  <c r="F208" i="3"/>
  <c r="J208" i="3"/>
  <c r="F204" i="3"/>
  <c r="J204" i="3"/>
  <c r="F200" i="3"/>
  <c r="J200" i="3"/>
  <c r="T200" i="3" s="1"/>
  <c r="E196" i="3"/>
  <c r="J196" i="3"/>
  <c r="E180" i="3"/>
  <c r="J180" i="3"/>
  <c r="E164" i="3"/>
  <c r="J164" i="3"/>
  <c r="E148" i="3"/>
  <c r="J148" i="3"/>
  <c r="E132" i="3"/>
  <c r="J132" i="3"/>
  <c r="T132" i="3" s="1"/>
  <c r="E116" i="3"/>
  <c r="J116" i="3"/>
  <c r="E100" i="3"/>
  <c r="J100" i="3"/>
  <c r="E84" i="3"/>
  <c r="J84" i="3"/>
  <c r="E68" i="3"/>
  <c r="J68" i="3"/>
  <c r="E52" i="3"/>
  <c r="J52" i="3"/>
  <c r="E36" i="3"/>
  <c r="J36" i="3"/>
  <c r="E20" i="3"/>
  <c r="J20" i="3"/>
  <c r="F4" i="3"/>
  <c r="J4" i="3"/>
  <c r="J353" i="3"/>
  <c r="J349" i="3"/>
  <c r="J345" i="3"/>
  <c r="T345" i="3" s="1"/>
  <c r="J341" i="3"/>
  <c r="F336" i="3"/>
  <c r="J336" i="3"/>
  <c r="F332" i="3"/>
  <c r="J332" i="3"/>
  <c r="F328" i="3"/>
  <c r="J328" i="3"/>
  <c r="F324" i="3"/>
  <c r="J324" i="3"/>
  <c r="F320" i="3"/>
  <c r="F316" i="3"/>
  <c r="J316" i="3"/>
  <c r="F312" i="3"/>
  <c r="J312" i="3"/>
  <c r="F308" i="3"/>
  <c r="J308" i="3"/>
  <c r="F304" i="3"/>
  <c r="J304" i="3"/>
  <c r="F300" i="3"/>
  <c r="J300" i="3"/>
  <c r="F296" i="3"/>
  <c r="J296" i="3"/>
  <c r="F292" i="3"/>
  <c r="J292" i="3"/>
  <c r="F288" i="3"/>
  <c r="J288" i="3"/>
  <c r="F284" i="3"/>
  <c r="J284" i="3"/>
  <c r="F280" i="3"/>
  <c r="J280" i="3"/>
  <c r="F276" i="3"/>
  <c r="J276" i="3"/>
  <c r="F272" i="3"/>
  <c r="J272" i="3"/>
  <c r="F268" i="3"/>
  <c r="J268" i="3"/>
  <c r="F264" i="3"/>
  <c r="J264" i="3"/>
  <c r="F260" i="3"/>
  <c r="J260" i="3"/>
  <c r="F256" i="3"/>
  <c r="J256" i="3"/>
  <c r="F252" i="3"/>
  <c r="J252" i="3"/>
  <c r="F248" i="3"/>
  <c r="J248" i="3"/>
  <c r="F244" i="3"/>
  <c r="J244" i="3"/>
  <c r="F240" i="3"/>
  <c r="J240" i="3"/>
  <c r="F236" i="3"/>
  <c r="J236" i="3"/>
  <c r="F3" i="3"/>
  <c r="J3" i="3"/>
  <c r="T3" i="3" s="1"/>
  <c r="J352" i="3"/>
  <c r="J348" i="3"/>
  <c r="T348" i="3" s="1"/>
  <c r="J344" i="3"/>
  <c r="T344" i="3" s="1"/>
  <c r="J340" i="3"/>
  <c r="J334" i="3"/>
  <c r="J326" i="3"/>
  <c r="J318" i="3"/>
  <c r="J310" i="3"/>
  <c r="T310" i="3" s="1"/>
  <c r="J302" i="3"/>
  <c r="J294" i="3"/>
  <c r="J286" i="3"/>
  <c r="J278" i="3"/>
  <c r="J270" i="3"/>
  <c r="J254" i="3"/>
  <c r="J246" i="3"/>
  <c r="J238" i="3"/>
  <c r="J230" i="3"/>
  <c r="J222" i="3"/>
  <c r="J209" i="3"/>
  <c r="J201" i="3"/>
  <c r="J2" i="3"/>
  <c r="T2" i="3" s="1"/>
  <c r="J351" i="3"/>
  <c r="J347" i="3"/>
  <c r="T347" i="3" s="1"/>
  <c r="J343" i="3"/>
  <c r="J339" i="3"/>
  <c r="J331" i="3"/>
  <c r="J323" i="3"/>
  <c r="J315" i="3"/>
  <c r="J307" i="3"/>
  <c r="J299" i="3"/>
  <c r="J291" i="3"/>
  <c r="J283" i="3"/>
  <c r="J275" i="3"/>
  <c r="J259" i="3"/>
  <c r="J251" i="3"/>
  <c r="J243" i="3"/>
  <c r="J235" i="3"/>
  <c r="J227" i="3"/>
  <c r="J214" i="3"/>
  <c r="J206" i="3"/>
  <c r="J198" i="3"/>
  <c r="J190" i="3"/>
  <c r="J182" i="3"/>
  <c r="J174" i="3"/>
  <c r="J166" i="3"/>
  <c r="J158" i="3"/>
  <c r="T158" i="3" s="1"/>
  <c r="J150" i="3"/>
  <c r="J142" i="3"/>
  <c r="J134" i="3"/>
  <c r="J126" i="3"/>
  <c r="J118" i="3"/>
  <c r="J110" i="3"/>
  <c r="J102" i="3"/>
  <c r="J94" i="3"/>
  <c r="J86" i="3"/>
  <c r="J78" i="3"/>
  <c r="J70" i="3"/>
  <c r="J62" i="3"/>
  <c r="J54" i="3"/>
  <c r="J46" i="3"/>
  <c r="J38" i="3"/>
  <c r="J30" i="3"/>
  <c r="J22" i="3"/>
  <c r="J14" i="3"/>
  <c r="J6" i="3"/>
  <c r="J354" i="3"/>
  <c r="J350" i="3"/>
  <c r="J346" i="3"/>
  <c r="T346" i="3" s="1"/>
  <c r="J342" i="3"/>
  <c r="J338" i="3"/>
  <c r="J330" i="3"/>
  <c r="J322" i="3"/>
  <c r="J314" i="3"/>
  <c r="J306" i="3"/>
  <c r="J298" i="3"/>
  <c r="J290" i="3"/>
  <c r="J282" i="3"/>
  <c r="J274" i="3"/>
  <c r="J266" i="3"/>
  <c r="J258" i="3"/>
  <c r="J250" i="3"/>
  <c r="J242" i="3"/>
  <c r="J234" i="3"/>
  <c r="J226" i="3"/>
  <c r="J213" i="3"/>
  <c r="J205" i="3"/>
  <c r="E106" i="3"/>
  <c r="E42" i="3"/>
  <c r="E354" i="3"/>
  <c r="E338" i="3"/>
  <c r="E322" i="3"/>
  <c r="E306" i="3"/>
  <c r="E290" i="3"/>
  <c r="E274" i="3"/>
  <c r="E258" i="3"/>
  <c r="E242" i="3"/>
  <c r="E218" i="3"/>
  <c r="E170" i="3"/>
  <c r="E350" i="3"/>
  <c r="E334" i="3"/>
  <c r="E318" i="3"/>
  <c r="E302" i="3"/>
  <c r="E286" i="3"/>
  <c r="E270" i="3"/>
  <c r="E254" i="3"/>
  <c r="E238" i="3"/>
  <c r="E210" i="3"/>
  <c r="E154" i="3"/>
  <c r="E90" i="3"/>
  <c r="E26" i="3"/>
  <c r="E346" i="3"/>
  <c r="E330" i="3"/>
  <c r="E314" i="3"/>
  <c r="E298" i="3"/>
  <c r="E282" i="3"/>
  <c r="E266" i="3"/>
  <c r="E250" i="3"/>
  <c r="E234" i="3"/>
  <c r="E205" i="3"/>
  <c r="E138" i="3"/>
  <c r="E74" i="3"/>
  <c r="E10" i="3"/>
  <c r="E2" i="3"/>
  <c r="E342" i="3"/>
  <c r="E326" i="3"/>
  <c r="E310" i="3"/>
  <c r="E294" i="3"/>
  <c r="E278" i="3"/>
  <c r="E262" i="3"/>
  <c r="E246" i="3"/>
  <c r="E223" i="3"/>
  <c r="E186" i="3"/>
  <c r="E122" i="3"/>
  <c r="E58" i="3"/>
  <c r="F344" i="3"/>
  <c r="F188" i="3"/>
  <c r="E188" i="3"/>
  <c r="E176" i="3"/>
  <c r="F176" i="3"/>
  <c r="F152" i="3"/>
  <c r="E152" i="3"/>
  <c r="F140" i="3"/>
  <c r="E140" i="3"/>
  <c r="E128" i="3"/>
  <c r="F128" i="3"/>
  <c r="F108" i="3"/>
  <c r="E108" i="3"/>
  <c r="E96" i="3"/>
  <c r="F96" i="3"/>
  <c r="F88" i="3"/>
  <c r="E88" i="3"/>
  <c r="E80" i="3"/>
  <c r="F80" i="3"/>
  <c r="F72" i="3"/>
  <c r="E72" i="3"/>
  <c r="E64" i="3"/>
  <c r="F64" i="3"/>
  <c r="F56" i="3"/>
  <c r="E56" i="3"/>
  <c r="E48" i="3"/>
  <c r="F48" i="3"/>
  <c r="F40" i="3"/>
  <c r="E40" i="3"/>
  <c r="E32" i="3"/>
  <c r="F32" i="3"/>
  <c r="F24" i="3"/>
  <c r="E24" i="3"/>
  <c r="E16" i="3"/>
  <c r="F16" i="3"/>
  <c r="F8" i="3"/>
  <c r="E8" i="3"/>
  <c r="E229" i="3"/>
  <c r="E216" i="3"/>
  <c r="E200" i="3"/>
  <c r="F321" i="3"/>
  <c r="F257" i="3"/>
  <c r="F196" i="3"/>
  <c r="F132" i="3"/>
  <c r="F68" i="3"/>
  <c r="F232" i="3"/>
  <c r="E232" i="3"/>
  <c r="F228" i="3"/>
  <c r="E228" i="3"/>
  <c r="F224" i="3"/>
  <c r="E224" i="3"/>
  <c r="F220" i="3"/>
  <c r="E220" i="3"/>
  <c r="F215" i="3"/>
  <c r="E215" i="3"/>
  <c r="F211" i="3"/>
  <c r="E211" i="3"/>
  <c r="F207" i="3"/>
  <c r="E207" i="3"/>
  <c r="F203" i="3"/>
  <c r="E203" i="3"/>
  <c r="F199" i="3"/>
  <c r="E199" i="3"/>
  <c r="F195" i="3"/>
  <c r="E195" i="3"/>
  <c r="F191" i="3"/>
  <c r="E191" i="3"/>
  <c r="F187" i="3"/>
  <c r="E187" i="3"/>
  <c r="F183" i="3"/>
  <c r="E183" i="3"/>
  <c r="F179" i="3"/>
  <c r="E179" i="3"/>
  <c r="F175" i="3"/>
  <c r="E175" i="3"/>
  <c r="F171" i="3"/>
  <c r="E171" i="3"/>
  <c r="F167" i="3"/>
  <c r="E167" i="3"/>
  <c r="F163" i="3"/>
  <c r="E163" i="3"/>
  <c r="F159" i="3"/>
  <c r="E159" i="3"/>
  <c r="F155" i="3"/>
  <c r="E155" i="3"/>
  <c r="F151" i="3"/>
  <c r="E151" i="3"/>
  <c r="F147" i="3"/>
  <c r="E147" i="3"/>
  <c r="F143" i="3"/>
  <c r="E143" i="3"/>
  <c r="F139" i="3"/>
  <c r="E139" i="3"/>
  <c r="F135" i="3"/>
  <c r="E135" i="3"/>
  <c r="F131" i="3"/>
  <c r="E131" i="3"/>
  <c r="F127" i="3"/>
  <c r="E127" i="3"/>
  <c r="F123" i="3"/>
  <c r="E123" i="3"/>
  <c r="F119" i="3"/>
  <c r="E119" i="3"/>
  <c r="F115" i="3"/>
  <c r="E115" i="3"/>
  <c r="F111" i="3"/>
  <c r="E111" i="3"/>
  <c r="F107" i="3"/>
  <c r="E107" i="3"/>
  <c r="F103" i="3"/>
  <c r="E103" i="3"/>
  <c r="F99" i="3"/>
  <c r="E99" i="3"/>
  <c r="F95" i="3"/>
  <c r="E95" i="3"/>
  <c r="F91" i="3"/>
  <c r="E91" i="3"/>
  <c r="F87" i="3"/>
  <c r="E87" i="3"/>
  <c r="F83" i="3"/>
  <c r="E83" i="3"/>
  <c r="F79" i="3"/>
  <c r="E79" i="3"/>
  <c r="F75" i="3"/>
  <c r="E75" i="3"/>
  <c r="F71" i="3"/>
  <c r="E71" i="3"/>
  <c r="F67" i="3"/>
  <c r="E67" i="3"/>
  <c r="F63" i="3"/>
  <c r="E63" i="3"/>
  <c r="F59" i="3"/>
  <c r="E59" i="3"/>
  <c r="F55" i="3"/>
  <c r="E55" i="3"/>
  <c r="F51" i="3"/>
  <c r="E51" i="3"/>
  <c r="F47" i="3"/>
  <c r="E47" i="3"/>
  <c r="F43" i="3"/>
  <c r="E43" i="3"/>
  <c r="F39" i="3"/>
  <c r="E39" i="3"/>
  <c r="F35" i="3"/>
  <c r="E35" i="3"/>
  <c r="F31" i="3"/>
  <c r="E31" i="3"/>
  <c r="F27" i="3"/>
  <c r="E27" i="3"/>
  <c r="F23" i="3"/>
  <c r="E23" i="3"/>
  <c r="F19" i="3"/>
  <c r="E19" i="3"/>
  <c r="F15" i="3"/>
  <c r="E15" i="3"/>
  <c r="F11" i="3"/>
  <c r="E11" i="3"/>
  <c r="F7" i="3"/>
  <c r="E7" i="3"/>
  <c r="E3" i="3"/>
  <c r="E353" i="3"/>
  <c r="E349" i="3"/>
  <c r="E345" i="3"/>
  <c r="E341" i="3"/>
  <c r="E337" i="3"/>
  <c r="E333" i="3"/>
  <c r="E329" i="3"/>
  <c r="E325" i="3"/>
  <c r="E317" i="3"/>
  <c r="E313" i="3"/>
  <c r="E309" i="3"/>
  <c r="E305" i="3"/>
  <c r="E301" i="3"/>
  <c r="E297" i="3"/>
  <c r="E293" i="3"/>
  <c r="E289" i="3"/>
  <c r="E285" i="3"/>
  <c r="E281" i="3"/>
  <c r="E277" i="3"/>
  <c r="E273" i="3"/>
  <c r="E269" i="3"/>
  <c r="E265" i="3"/>
  <c r="E261" i="3"/>
  <c r="E253" i="3"/>
  <c r="E249" i="3"/>
  <c r="E245" i="3"/>
  <c r="E241" i="3"/>
  <c r="E237" i="3"/>
  <c r="E233" i="3"/>
  <c r="E227" i="3"/>
  <c r="E222" i="3"/>
  <c r="E217" i="3"/>
  <c r="E214" i="3"/>
  <c r="E209" i="3"/>
  <c r="E204" i="3"/>
  <c r="E198" i="3"/>
  <c r="E182" i="3"/>
  <c r="E166" i="3"/>
  <c r="E150" i="3"/>
  <c r="E134" i="3"/>
  <c r="E118" i="3"/>
  <c r="E102" i="3"/>
  <c r="E86" i="3"/>
  <c r="E70" i="3"/>
  <c r="E54" i="3"/>
  <c r="E38" i="3"/>
  <c r="E22" i="3"/>
  <c r="E6" i="3"/>
  <c r="F339" i="3"/>
  <c r="F180" i="3"/>
  <c r="F116" i="3"/>
  <c r="F52" i="3"/>
  <c r="F184" i="3"/>
  <c r="E184" i="3"/>
  <c r="F172" i="3"/>
  <c r="E172" i="3"/>
  <c r="E160" i="3"/>
  <c r="F160" i="3"/>
  <c r="F136" i="3"/>
  <c r="E136" i="3"/>
  <c r="F124" i="3"/>
  <c r="E124" i="3"/>
  <c r="E112" i="3"/>
  <c r="F112" i="3"/>
  <c r="F104" i="3"/>
  <c r="E104" i="3"/>
  <c r="F92" i="3"/>
  <c r="E92" i="3"/>
  <c r="F76" i="3"/>
  <c r="E76" i="3"/>
  <c r="F60" i="3"/>
  <c r="E60" i="3"/>
  <c r="F44" i="3"/>
  <c r="E44" i="3"/>
  <c r="F28" i="3"/>
  <c r="E28" i="3"/>
  <c r="F12" i="3"/>
  <c r="E12" i="3"/>
  <c r="E4" i="3"/>
  <c r="E352" i="3"/>
  <c r="E348" i="3"/>
  <c r="E340" i="3"/>
  <c r="E336" i="3"/>
  <c r="E332" i="3"/>
  <c r="E328" i="3"/>
  <c r="E324" i="3"/>
  <c r="E320" i="3"/>
  <c r="E316" i="3"/>
  <c r="E312" i="3"/>
  <c r="E308" i="3"/>
  <c r="E304" i="3"/>
  <c r="E300" i="3"/>
  <c r="E296" i="3"/>
  <c r="E292" i="3"/>
  <c r="E288" i="3"/>
  <c r="E284" i="3"/>
  <c r="E280" i="3"/>
  <c r="E276" i="3"/>
  <c r="E272" i="3"/>
  <c r="E268" i="3"/>
  <c r="E264" i="3"/>
  <c r="E260" i="3"/>
  <c r="E256" i="3"/>
  <c r="E252" i="3"/>
  <c r="E248" i="3"/>
  <c r="E244" i="3"/>
  <c r="E240" i="3"/>
  <c r="E236" i="3"/>
  <c r="E231" i="3"/>
  <c r="E226" i="3"/>
  <c r="E221" i="3"/>
  <c r="E213" i="3"/>
  <c r="E208" i="3"/>
  <c r="E202" i="3"/>
  <c r="E194" i="3"/>
  <c r="E178" i="3"/>
  <c r="E162" i="3"/>
  <c r="E146" i="3"/>
  <c r="E130" i="3"/>
  <c r="E114" i="3"/>
  <c r="E98" i="3"/>
  <c r="E82" i="3"/>
  <c r="E66" i="3"/>
  <c r="E50" i="3"/>
  <c r="E34" i="3"/>
  <c r="E18" i="3"/>
  <c r="F225" i="3"/>
  <c r="F164" i="3"/>
  <c r="F100" i="3"/>
  <c r="F36" i="3"/>
  <c r="E192" i="3"/>
  <c r="F192" i="3"/>
  <c r="F168" i="3"/>
  <c r="E168" i="3"/>
  <c r="F156" i="3"/>
  <c r="E156" i="3"/>
  <c r="E144" i="3"/>
  <c r="F144" i="3"/>
  <c r="F120" i="3"/>
  <c r="E120" i="3"/>
  <c r="F197" i="3"/>
  <c r="E197" i="3"/>
  <c r="F193" i="3"/>
  <c r="E193" i="3"/>
  <c r="F189" i="3"/>
  <c r="E189" i="3"/>
  <c r="F185" i="3"/>
  <c r="E185" i="3"/>
  <c r="F181" i="3"/>
  <c r="E181" i="3"/>
  <c r="F177" i="3"/>
  <c r="E177" i="3"/>
  <c r="F173" i="3"/>
  <c r="E173" i="3"/>
  <c r="F169" i="3"/>
  <c r="E169" i="3"/>
  <c r="F165" i="3"/>
  <c r="E165" i="3"/>
  <c r="F161" i="3"/>
  <c r="E161" i="3"/>
  <c r="F157" i="3"/>
  <c r="E157" i="3"/>
  <c r="F153" i="3"/>
  <c r="E153" i="3"/>
  <c r="F149" i="3"/>
  <c r="E149" i="3"/>
  <c r="F145" i="3"/>
  <c r="E145" i="3"/>
  <c r="F141" i="3"/>
  <c r="E141" i="3"/>
  <c r="F137" i="3"/>
  <c r="E137" i="3"/>
  <c r="F133" i="3"/>
  <c r="E133" i="3"/>
  <c r="F129" i="3"/>
  <c r="E129" i="3"/>
  <c r="F125" i="3"/>
  <c r="E125" i="3"/>
  <c r="F121" i="3"/>
  <c r="E121" i="3"/>
  <c r="F117" i="3"/>
  <c r="E117" i="3"/>
  <c r="F113" i="3"/>
  <c r="E113" i="3"/>
  <c r="F109" i="3"/>
  <c r="E109" i="3"/>
  <c r="F105" i="3"/>
  <c r="E105" i="3"/>
  <c r="F101" i="3"/>
  <c r="E101" i="3"/>
  <c r="F97" i="3"/>
  <c r="E97" i="3"/>
  <c r="F93" i="3"/>
  <c r="E93" i="3"/>
  <c r="F89" i="3"/>
  <c r="E89" i="3"/>
  <c r="F85" i="3"/>
  <c r="E85" i="3"/>
  <c r="F81" i="3"/>
  <c r="E81" i="3"/>
  <c r="F77" i="3"/>
  <c r="E77" i="3"/>
  <c r="F73" i="3"/>
  <c r="E73" i="3"/>
  <c r="F69" i="3"/>
  <c r="E69" i="3"/>
  <c r="F65" i="3"/>
  <c r="E65" i="3"/>
  <c r="F61" i="3"/>
  <c r="E61" i="3"/>
  <c r="F57" i="3"/>
  <c r="E57" i="3"/>
  <c r="F53" i="3"/>
  <c r="E53" i="3"/>
  <c r="F49" i="3"/>
  <c r="E49" i="3"/>
  <c r="F45" i="3"/>
  <c r="E45" i="3"/>
  <c r="F41" i="3"/>
  <c r="E41" i="3"/>
  <c r="F37" i="3"/>
  <c r="E37" i="3"/>
  <c r="F33" i="3"/>
  <c r="E33" i="3"/>
  <c r="F29" i="3"/>
  <c r="E29" i="3"/>
  <c r="F25" i="3"/>
  <c r="E25" i="3"/>
  <c r="F21" i="3"/>
  <c r="E21" i="3"/>
  <c r="F17" i="3"/>
  <c r="E17" i="3"/>
  <c r="F13" i="3"/>
  <c r="E13" i="3"/>
  <c r="F9" i="3"/>
  <c r="E9" i="3"/>
  <c r="F5" i="3"/>
  <c r="E5" i="3"/>
  <c r="E351" i="3"/>
  <c r="E347" i="3"/>
  <c r="E343" i="3"/>
  <c r="E335" i="3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0" i="3"/>
  <c r="E219" i="3"/>
  <c r="E212" i="3"/>
  <c r="E206" i="3"/>
  <c r="E201" i="3"/>
  <c r="E190" i="3"/>
  <c r="E174" i="3"/>
  <c r="E158" i="3"/>
  <c r="E142" i="3"/>
  <c r="E126" i="3"/>
  <c r="E110" i="3"/>
  <c r="E94" i="3"/>
  <c r="E78" i="3"/>
  <c r="E62" i="3"/>
  <c r="E46" i="3"/>
  <c r="E30" i="3"/>
  <c r="E14" i="3"/>
  <c r="F148" i="3"/>
  <c r="F84" i="3"/>
  <c r="F20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Q3" i="1"/>
  <c r="Q4" i="1"/>
  <c r="Q5" i="1"/>
  <c r="Q6" i="1"/>
  <c r="Q7" i="1"/>
  <c r="Q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2" i="1"/>
  <c r="Q293" i="1"/>
  <c r="Q294" i="1"/>
  <c r="Q295" i="1"/>
  <c r="Q296" i="1"/>
  <c r="Q297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S101" i="1" s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S132" i="1" s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S146" i="1" s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S200" i="1" s="1"/>
  <c r="O201" i="1"/>
  <c r="O202" i="1"/>
  <c r="S202" i="1" s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S310" i="1" s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S344" i="1" s="1"/>
  <c r="O345" i="1"/>
  <c r="S345" i="1" s="1"/>
  <c r="O346" i="1"/>
  <c r="S346" i="1" s="1"/>
  <c r="O347" i="1"/>
  <c r="S347" i="1" s="1"/>
  <c r="O348" i="1"/>
  <c r="S348" i="1" s="1"/>
  <c r="O349" i="1"/>
  <c r="O350" i="1"/>
  <c r="O351" i="1"/>
  <c r="O352" i="1"/>
  <c r="O353" i="1"/>
  <c r="O35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8" i="1"/>
  <c r="N19" i="1"/>
  <c r="N20" i="1"/>
  <c r="N22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8" i="1"/>
  <c r="N89" i="1"/>
  <c r="N90" i="1"/>
  <c r="N92" i="1"/>
  <c r="N93" i="1"/>
  <c r="N94" i="1"/>
  <c r="N95" i="1"/>
  <c r="N97" i="1"/>
  <c r="N98" i="1"/>
  <c r="N100" i="1"/>
  <c r="N101" i="1"/>
  <c r="N102" i="1"/>
  <c r="N103" i="1"/>
  <c r="N104" i="1"/>
  <c r="N106" i="1"/>
  <c r="N107" i="1"/>
  <c r="N108" i="1"/>
  <c r="N109" i="1"/>
  <c r="N110" i="1"/>
  <c r="N111" i="1"/>
  <c r="N112" i="1"/>
  <c r="N113" i="1"/>
  <c r="N114" i="1"/>
  <c r="N115" i="1"/>
  <c r="N116" i="1"/>
  <c r="N119" i="1"/>
  <c r="N120" i="1"/>
  <c r="N121" i="1"/>
  <c r="N122" i="1"/>
  <c r="N123" i="1"/>
  <c r="N124" i="1"/>
  <c r="N125" i="1"/>
  <c r="N126" i="1"/>
  <c r="N127" i="1"/>
  <c r="N128" i="1"/>
  <c r="N130" i="1"/>
  <c r="N131" i="1"/>
  <c r="N132" i="1"/>
  <c r="N133" i="1"/>
  <c r="N134" i="1"/>
  <c r="N136" i="1"/>
  <c r="N137" i="1"/>
  <c r="N138" i="1"/>
  <c r="N139" i="1"/>
  <c r="N140" i="1"/>
  <c r="N141" i="1"/>
  <c r="N143" i="1"/>
  <c r="N144" i="1"/>
  <c r="N145" i="1"/>
  <c r="N146" i="1"/>
  <c r="N147" i="1"/>
  <c r="N148" i="1"/>
  <c r="N149" i="1"/>
  <c r="N150" i="1"/>
  <c r="N151" i="1"/>
  <c r="N153" i="1"/>
  <c r="N155" i="1"/>
  <c r="N158" i="1"/>
  <c r="N161" i="1"/>
  <c r="N164" i="1"/>
  <c r="N166" i="1"/>
  <c r="N169" i="1"/>
  <c r="N170" i="1"/>
  <c r="N173" i="1"/>
  <c r="N174" i="1"/>
  <c r="N175" i="1"/>
  <c r="N176" i="1"/>
  <c r="N177" i="1"/>
  <c r="N178" i="1"/>
  <c r="N179" i="1"/>
  <c r="N180" i="1"/>
  <c r="N181" i="1"/>
  <c r="N182" i="1"/>
  <c r="N184" i="1"/>
  <c r="N185" i="1"/>
  <c r="N187" i="1"/>
  <c r="N188" i="1"/>
  <c r="N189" i="1"/>
  <c r="N190" i="1"/>
  <c r="N191" i="1"/>
  <c r="N192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8" i="1"/>
  <c r="N229" i="1"/>
  <c r="N231" i="1"/>
  <c r="N232" i="1"/>
  <c r="N233" i="1"/>
  <c r="N234" i="1"/>
  <c r="N237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7" i="1"/>
  <c r="N309" i="1"/>
  <c r="N310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9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Q30" i="1"/>
  <c r="N118" i="1"/>
  <c r="P126" i="1"/>
  <c r="N142" i="1"/>
  <c r="N154" i="1"/>
  <c r="N162" i="1"/>
  <c r="R179" i="1"/>
  <c r="N186" i="1"/>
  <c r="N194" i="1"/>
  <c r="N227" i="1"/>
  <c r="N235" i="1"/>
  <c r="N263" i="1"/>
  <c r="Q291" i="1"/>
  <c r="Q299" i="1"/>
  <c r="N311" i="1"/>
  <c r="Q315" i="1"/>
  <c r="N340" i="1"/>
  <c r="T274" i="3" l="1"/>
  <c r="V274" i="3" s="1"/>
  <c r="S274" i="3"/>
  <c r="T306" i="3"/>
  <c r="V306" i="3" s="1"/>
  <c r="S306" i="3"/>
  <c r="T30" i="3"/>
  <c r="V30" i="3" s="1"/>
  <c r="S30" i="3"/>
  <c r="T294" i="3"/>
  <c r="V294" i="3" s="1"/>
  <c r="S294" i="3"/>
  <c r="T236" i="3"/>
  <c r="V236" i="3" s="1"/>
  <c r="S236" i="3"/>
  <c r="T276" i="3"/>
  <c r="V276" i="3" s="1"/>
  <c r="S276" i="3"/>
  <c r="T284" i="3"/>
  <c r="V284" i="3" s="1"/>
  <c r="S284" i="3"/>
  <c r="T300" i="3"/>
  <c r="V300" i="3" s="1"/>
  <c r="S300" i="3"/>
  <c r="T308" i="3"/>
  <c r="V308" i="3" s="1"/>
  <c r="S308" i="3"/>
  <c r="T170" i="3"/>
  <c r="V170" i="3" s="1"/>
  <c r="S170" i="3"/>
  <c r="T69" i="3"/>
  <c r="V69" i="3" s="1"/>
  <c r="S69" i="3"/>
  <c r="T165" i="3"/>
  <c r="V165" i="3" s="1"/>
  <c r="S165" i="3"/>
  <c r="T197" i="3"/>
  <c r="V197" i="3" s="1"/>
  <c r="S197" i="3"/>
  <c r="T167" i="3"/>
  <c r="V167" i="3" s="1"/>
  <c r="S167" i="3"/>
  <c r="T199" i="3"/>
  <c r="V199" i="3" s="1"/>
  <c r="S199" i="3"/>
  <c r="T80" i="3"/>
  <c r="V80" i="3" s="1"/>
  <c r="S80" i="3"/>
  <c r="T282" i="3"/>
  <c r="V282" i="3" s="1"/>
  <c r="S282" i="3"/>
  <c r="T235" i="3"/>
  <c r="V235" i="3" s="1"/>
  <c r="S235" i="3"/>
  <c r="T307" i="3"/>
  <c r="V307" i="3" s="1"/>
  <c r="S307" i="3"/>
  <c r="T299" i="3"/>
  <c r="V299" i="3" s="1"/>
  <c r="S299" i="3"/>
  <c r="T268" i="3"/>
  <c r="V268" i="3" s="1"/>
  <c r="S268" i="3"/>
  <c r="T292" i="3"/>
  <c r="V292" i="3" s="1"/>
  <c r="S292" i="3"/>
  <c r="T303" i="3"/>
  <c r="V303" i="3" s="1"/>
  <c r="S303" i="3"/>
  <c r="T194" i="3"/>
  <c r="V194" i="3" s="1"/>
  <c r="S194" i="3"/>
  <c r="T263" i="3"/>
  <c r="V263" i="3" s="1"/>
  <c r="S263" i="3"/>
  <c r="T114" i="3"/>
  <c r="V114" i="3" s="1"/>
  <c r="S114" i="3"/>
  <c r="T96" i="3"/>
  <c r="V96" i="3" s="1"/>
  <c r="S96" i="3"/>
  <c r="T151" i="3"/>
  <c r="V151" i="3" s="1"/>
  <c r="S151" i="3"/>
  <c r="T183" i="3"/>
  <c r="V183" i="3" s="1"/>
  <c r="S183" i="3"/>
  <c r="T198" i="3"/>
  <c r="V198" i="3" s="1"/>
  <c r="S198" i="3"/>
  <c r="T275" i="3"/>
  <c r="V275" i="3" s="1"/>
  <c r="S275" i="3"/>
  <c r="T270" i="3"/>
  <c r="V270" i="3" s="1"/>
  <c r="S270" i="3"/>
  <c r="T285" i="3"/>
  <c r="V285" i="3" s="1"/>
  <c r="S285" i="3"/>
  <c r="T185" i="3"/>
  <c r="V185" i="3" s="1"/>
  <c r="S185" i="3"/>
  <c r="T168" i="3"/>
  <c r="V168" i="3" s="1"/>
  <c r="S168" i="3"/>
  <c r="T107" i="3"/>
  <c r="V107" i="3" s="1"/>
  <c r="S107" i="3"/>
  <c r="T171" i="3"/>
  <c r="V171" i="3" s="1"/>
  <c r="S171" i="3"/>
  <c r="T152" i="3"/>
  <c r="V152" i="3" s="1"/>
  <c r="S152" i="3"/>
  <c r="S172" i="3"/>
  <c r="T14" i="3"/>
  <c r="V14" i="3" s="1"/>
  <c r="S14" i="3"/>
  <c r="T46" i="3"/>
  <c r="V46" i="3" s="1"/>
  <c r="S46" i="3"/>
  <c r="T283" i="3"/>
  <c r="V283" i="3" s="1"/>
  <c r="S283" i="3"/>
  <c r="T201" i="3"/>
  <c r="V201" i="3" s="1"/>
  <c r="S201" i="3"/>
  <c r="T278" i="3"/>
  <c r="V278" i="3" s="1"/>
  <c r="S278" i="3"/>
  <c r="T240" i="3"/>
  <c r="V240" i="3" s="1"/>
  <c r="S240" i="3"/>
  <c r="T264" i="3"/>
  <c r="V264" i="3" s="1"/>
  <c r="S264" i="3"/>
  <c r="T272" i="3"/>
  <c r="V272" i="3" s="1"/>
  <c r="S272" i="3"/>
  <c r="T280" i="3"/>
  <c r="V280" i="3" s="1"/>
  <c r="S280" i="3"/>
  <c r="T296" i="3"/>
  <c r="V296" i="3" s="1"/>
  <c r="S296" i="3"/>
  <c r="T304" i="3"/>
  <c r="V304" i="3" s="1"/>
  <c r="S304" i="3"/>
  <c r="T295" i="3"/>
  <c r="V295" i="3" s="1"/>
  <c r="S295" i="3"/>
  <c r="T29" i="3"/>
  <c r="V29" i="3" s="1"/>
  <c r="S29" i="3"/>
  <c r="T93" i="3"/>
  <c r="V93" i="3" s="1"/>
  <c r="S93" i="3"/>
  <c r="T28" i="3"/>
  <c r="V28" i="3" s="1"/>
  <c r="S28" i="3"/>
  <c r="T7" i="3"/>
  <c r="V7" i="3" s="1"/>
  <c r="S7" i="3"/>
  <c r="T27" i="3"/>
  <c r="V27" i="3" s="1"/>
  <c r="S27" i="3"/>
  <c r="T159" i="3"/>
  <c r="V159" i="3" s="1"/>
  <c r="S159" i="3"/>
  <c r="T175" i="3"/>
  <c r="V175" i="3" s="1"/>
  <c r="S175" i="3"/>
  <c r="T191" i="3"/>
  <c r="V191" i="3" s="1"/>
  <c r="S191" i="3"/>
  <c r="T176" i="3"/>
  <c r="V176" i="3" s="1"/>
  <c r="S176" i="3"/>
  <c r="T269" i="3"/>
  <c r="V269" i="3" s="1"/>
  <c r="S269" i="3"/>
  <c r="T277" i="3"/>
  <c r="V277" i="3" s="1"/>
  <c r="S277" i="3"/>
  <c r="T293" i="3"/>
  <c r="V293" i="3" s="1"/>
  <c r="S293" i="3"/>
  <c r="T317" i="3"/>
  <c r="V317" i="3" s="1"/>
  <c r="S317" i="3"/>
  <c r="T186" i="3"/>
  <c r="V186" i="3" s="1"/>
  <c r="S186" i="3"/>
  <c r="T130" i="3"/>
  <c r="V130" i="3" s="1"/>
  <c r="S130" i="3"/>
  <c r="T178" i="3"/>
  <c r="V178" i="3" s="1"/>
  <c r="S178" i="3"/>
  <c r="T25" i="3"/>
  <c r="V25" i="3" s="1"/>
  <c r="S25" i="3"/>
  <c r="T24" i="3"/>
  <c r="V24" i="3" s="1"/>
  <c r="S24" i="3"/>
  <c r="T23" i="3"/>
  <c r="V23" i="3" s="1"/>
  <c r="S23" i="3"/>
  <c r="T47" i="3"/>
  <c r="V47" i="3" s="1"/>
  <c r="S47" i="3"/>
  <c r="T187" i="3"/>
  <c r="V187" i="3" s="1"/>
  <c r="S187" i="3"/>
  <c r="T220" i="3"/>
  <c r="V220" i="3" s="1"/>
  <c r="S220" i="3"/>
  <c r="T266" i="3"/>
  <c r="V266" i="3" s="1"/>
  <c r="S266" i="3"/>
  <c r="T298" i="3"/>
  <c r="V298" i="3" s="1"/>
  <c r="S298" i="3"/>
  <c r="T291" i="3"/>
  <c r="V291" i="3" s="1"/>
  <c r="S291" i="3"/>
  <c r="T286" i="3"/>
  <c r="V286" i="3" s="1"/>
  <c r="S286" i="3"/>
  <c r="T318" i="3"/>
  <c r="V318" i="3" s="1"/>
  <c r="S318" i="3"/>
  <c r="T196" i="3"/>
  <c r="V196" i="3" s="1"/>
  <c r="S196" i="3"/>
  <c r="T233" i="3"/>
  <c r="V233" i="3" s="1"/>
  <c r="S233" i="3"/>
  <c r="T265" i="3"/>
  <c r="V265" i="3" s="1"/>
  <c r="S265" i="3"/>
  <c r="T273" i="3"/>
  <c r="V273" i="3" s="1"/>
  <c r="S273" i="3"/>
  <c r="T281" i="3"/>
  <c r="V281" i="3" s="1"/>
  <c r="S281" i="3"/>
  <c r="T297" i="3"/>
  <c r="V297" i="3" s="1"/>
  <c r="S297" i="3"/>
  <c r="T305" i="3"/>
  <c r="V305" i="3" s="1"/>
  <c r="S305" i="3"/>
  <c r="T271" i="3"/>
  <c r="V271" i="3" s="1"/>
  <c r="S271" i="3"/>
  <c r="T26" i="3"/>
  <c r="V26" i="3" s="1"/>
  <c r="S26" i="3"/>
  <c r="T90" i="3"/>
  <c r="V90" i="3" s="1"/>
  <c r="S90" i="3"/>
  <c r="T279" i="3"/>
  <c r="V279" i="3" s="1"/>
  <c r="S279" i="3"/>
  <c r="T287" i="3"/>
  <c r="V287" i="3" s="1"/>
  <c r="S287" i="3"/>
  <c r="T97" i="3"/>
  <c r="V97" i="3" s="1"/>
  <c r="S97" i="3"/>
  <c r="T113" i="3"/>
  <c r="V113" i="3" s="1"/>
  <c r="S113" i="3"/>
  <c r="T177" i="3"/>
  <c r="V177" i="3" s="1"/>
  <c r="S177" i="3"/>
  <c r="T193" i="3"/>
  <c r="V193" i="3" s="1"/>
  <c r="S193" i="3"/>
  <c r="T44" i="3"/>
  <c r="V44" i="3" s="1"/>
  <c r="S44" i="3"/>
  <c r="T184" i="3"/>
  <c r="V184" i="3" s="1"/>
  <c r="S184" i="3"/>
  <c r="T99" i="3"/>
  <c r="V99" i="3" s="1"/>
  <c r="S99" i="3"/>
  <c r="T195" i="3"/>
  <c r="V195" i="3" s="1"/>
  <c r="S195" i="3"/>
  <c r="T72" i="3"/>
  <c r="V72" i="3" s="1"/>
  <c r="S72" i="3"/>
  <c r="T64" i="3"/>
  <c r="V64" i="3" s="1"/>
  <c r="S64" i="3"/>
  <c r="T192" i="3"/>
  <c r="V192" i="3" s="1"/>
  <c r="S192" i="3"/>
  <c r="K16" i="3"/>
  <c r="T172" i="3"/>
  <c r="V172" i="3" s="1"/>
  <c r="R266" i="3"/>
  <c r="R330" i="3"/>
  <c r="R283" i="3"/>
  <c r="R201" i="3"/>
  <c r="R340" i="3"/>
  <c r="R248" i="3"/>
  <c r="R272" i="3"/>
  <c r="R296" i="3"/>
  <c r="R58" i="3"/>
  <c r="R82" i="3"/>
  <c r="R178" i="3"/>
  <c r="R29" i="3"/>
  <c r="W29" i="3" s="1"/>
  <c r="R61" i="3"/>
  <c r="R109" i="3"/>
  <c r="R173" i="3"/>
  <c r="R28" i="3"/>
  <c r="W28" i="3" s="1"/>
  <c r="R88" i="3"/>
  <c r="R27" i="3"/>
  <c r="R91" i="3"/>
  <c r="R143" i="3"/>
  <c r="R191" i="3"/>
  <c r="R224" i="3"/>
  <c r="R60" i="3"/>
  <c r="R205" i="3"/>
  <c r="R242" i="3"/>
  <c r="R274" i="3"/>
  <c r="R306" i="3"/>
  <c r="R338" i="3"/>
  <c r="R354" i="3"/>
  <c r="R22" i="3"/>
  <c r="R54" i="3"/>
  <c r="R86" i="3"/>
  <c r="R118" i="3"/>
  <c r="R150" i="3"/>
  <c r="R214" i="3"/>
  <c r="R251" i="3"/>
  <c r="R291" i="3"/>
  <c r="R323" i="3"/>
  <c r="R209" i="3"/>
  <c r="R246" i="3"/>
  <c r="R286" i="3"/>
  <c r="R318" i="3"/>
  <c r="R324" i="3"/>
  <c r="R332" i="3"/>
  <c r="R341" i="3"/>
  <c r="R4" i="3"/>
  <c r="R36" i="3"/>
  <c r="R68" i="3"/>
  <c r="R100" i="3"/>
  <c r="R164" i="3"/>
  <c r="R196" i="3"/>
  <c r="R204" i="3"/>
  <c r="R212" i="3"/>
  <c r="R225" i="3"/>
  <c r="R233" i="3"/>
  <c r="R241" i="3"/>
  <c r="R249" i="3"/>
  <c r="R257" i="3"/>
  <c r="R265" i="3"/>
  <c r="R273" i="3"/>
  <c r="W273" i="3" s="1"/>
  <c r="R281" i="3"/>
  <c r="R289" i="3"/>
  <c r="R297" i="3"/>
  <c r="R305" i="3"/>
  <c r="R313" i="3"/>
  <c r="R321" i="3"/>
  <c r="R329" i="3"/>
  <c r="R337" i="3"/>
  <c r="R271" i="3"/>
  <c r="R10" i="3"/>
  <c r="R74" i="3"/>
  <c r="R138" i="3"/>
  <c r="R247" i="3"/>
  <c r="R223" i="3"/>
  <c r="R98" i="3"/>
  <c r="R295" i="3"/>
  <c r="R8" i="3"/>
  <c r="R17" i="3"/>
  <c r="R33" i="3"/>
  <c r="R49" i="3"/>
  <c r="R65" i="3"/>
  <c r="R81" i="3"/>
  <c r="R97" i="3"/>
  <c r="R113" i="3"/>
  <c r="W113" i="3" s="1"/>
  <c r="R129" i="3"/>
  <c r="R145" i="3"/>
  <c r="R161" i="3"/>
  <c r="R177" i="3"/>
  <c r="R193" i="3"/>
  <c r="R40" i="3"/>
  <c r="R144" i="3"/>
  <c r="R44" i="3"/>
  <c r="R112" i="3"/>
  <c r="R184" i="3"/>
  <c r="R11" i="3"/>
  <c r="R35" i="3"/>
  <c r="R55" i="3"/>
  <c r="R99" i="3"/>
  <c r="R115" i="3"/>
  <c r="R147" i="3"/>
  <c r="R163" i="3"/>
  <c r="R195" i="3"/>
  <c r="R211" i="3"/>
  <c r="R228" i="3"/>
  <c r="R72" i="3"/>
  <c r="R128" i="3"/>
  <c r="R188" i="3"/>
  <c r="K31" i="3"/>
  <c r="R31" i="3"/>
  <c r="R59" i="3"/>
  <c r="L16" i="3"/>
  <c r="T16" i="3" s="1"/>
  <c r="V16" i="3" s="1"/>
  <c r="R16" i="3"/>
  <c r="K172" i="3"/>
  <c r="R172" i="3"/>
  <c r="R298" i="3"/>
  <c r="R14" i="3"/>
  <c r="W14" i="3" s="1"/>
  <c r="R46" i="3"/>
  <c r="R142" i="3"/>
  <c r="R243" i="3"/>
  <c r="R343" i="3"/>
  <c r="R238" i="3"/>
  <c r="R240" i="3"/>
  <c r="R264" i="3"/>
  <c r="R288" i="3"/>
  <c r="R312" i="3"/>
  <c r="R353" i="3"/>
  <c r="R239" i="3"/>
  <c r="R122" i="3"/>
  <c r="R194" i="3"/>
  <c r="R34" i="3"/>
  <c r="R45" i="3"/>
  <c r="R93" i="3"/>
  <c r="R125" i="3"/>
  <c r="R157" i="3"/>
  <c r="R32" i="3"/>
  <c r="R7" i="3"/>
  <c r="R75" i="3"/>
  <c r="R111" i="3"/>
  <c r="R159" i="3"/>
  <c r="R176" i="3"/>
  <c r="W176" i="3" s="1"/>
  <c r="R213" i="3"/>
  <c r="R250" i="3"/>
  <c r="R282" i="3"/>
  <c r="R314" i="3"/>
  <c r="R342" i="3"/>
  <c r="R30" i="3"/>
  <c r="R62" i="3"/>
  <c r="R94" i="3"/>
  <c r="R190" i="3"/>
  <c r="R227" i="3"/>
  <c r="R259" i="3"/>
  <c r="R299" i="3"/>
  <c r="R331" i="3"/>
  <c r="R351" i="3"/>
  <c r="R222" i="3"/>
  <c r="R254" i="3"/>
  <c r="R294" i="3"/>
  <c r="R326" i="3"/>
  <c r="R236" i="3"/>
  <c r="R244" i="3"/>
  <c r="R252" i="3"/>
  <c r="R260" i="3"/>
  <c r="R268" i="3"/>
  <c r="R276" i="3"/>
  <c r="W276" i="3" s="1"/>
  <c r="R284" i="3"/>
  <c r="R292" i="3"/>
  <c r="W292" i="3" s="1"/>
  <c r="R300" i="3"/>
  <c r="R308" i="3"/>
  <c r="R316" i="3"/>
  <c r="R303" i="3"/>
  <c r="R26" i="3"/>
  <c r="R90" i="3"/>
  <c r="W90" i="3" s="1"/>
  <c r="R154" i="3"/>
  <c r="R279" i="3"/>
  <c r="R255" i="3"/>
  <c r="R231" i="3"/>
  <c r="R162" i="3"/>
  <c r="R50" i="3"/>
  <c r="R5" i="3"/>
  <c r="R21" i="3"/>
  <c r="R37" i="3"/>
  <c r="R53" i="3"/>
  <c r="R69" i="3"/>
  <c r="R85" i="3"/>
  <c r="R117" i="3"/>
  <c r="R149" i="3"/>
  <c r="R165" i="3"/>
  <c r="R197" i="3"/>
  <c r="R96" i="3"/>
  <c r="R156" i="3"/>
  <c r="R12" i="3"/>
  <c r="R56" i="3"/>
  <c r="R124" i="3"/>
  <c r="R19" i="3"/>
  <c r="R39" i="3"/>
  <c r="R63" i="3"/>
  <c r="R83" i="3"/>
  <c r="R103" i="3"/>
  <c r="R119" i="3"/>
  <c r="R135" i="3"/>
  <c r="R151" i="3"/>
  <c r="R167" i="3"/>
  <c r="R183" i="3"/>
  <c r="R199" i="3"/>
  <c r="R215" i="3"/>
  <c r="R232" i="3"/>
  <c r="R80" i="3"/>
  <c r="R140" i="3"/>
  <c r="R234" i="3"/>
  <c r="R350" i="3"/>
  <c r="R110" i="3"/>
  <c r="R174" i="3"/>
  <c r="R315" i="3"/>
  <c r="R278" i="3"/>
  <c r="R256" i="3"/>
  <c r="R280" i="3"/>
  <c r="R304" i="3"/>
  <c r="R186" i="3"/>
  <c r="R130" i="3"/>
  <c r="R13" i="3"/>
  <c r="R77" i="3"/>
  <c r="R141" i="3"/>
  <c r="R189" i="3"/>
  <c r="R120" i="3"/>
  <c r="R160" i="3"/>
  <c r="R51" i="3"/>
  <c r="R127" i="3"/>
  <c r="R175" i="3"/>
  <c r="W175" i="3" s="1"/>
  <c r="R104" i="3"/>
  <c r="R226" i="3"/>
  <c r="R290" i="3"/>
  <c r="R322" i="3"/>
  <c r="R6" i="3"/>
  <c r="R38" i="3"/>
  <c r="R70" i="3"/>
  <c r="R102" i="3"/>
  <c r="R134" i="3"/>
  <c r="R166" i="3"/>
  <c r="R198" i="3"/>
  <c r="R235" i="3"/>
  <c r="W235" i="3" s="1"/>
  <c r="R275" i="3"/>
  <c r="R307" i="3"/>
  <c r="R339" i="3"/>
  <c r="R230" i="3"/>
  <c r="R270" i="3"/>
  <c r="R302" i="3"/>
  <c r="R334" i="3"/>
  <c r="R352" i="3"/>
  <c r="R328" i="3"/>
  <c r="R336" i="3"/>
  <c r="R349" i="3"/>
  <c r="R20" i="3"/>
  <c r="R52" i="3"/>
  <c r="R84" i="3"/>
  <c r="R116" i="3"/>
  <c r="R148" i="3"/>
  <c r="R208" i="3"/>
  <c r="R216" i="3"/>
  <c r="R221" i="3"/>
  <c r="R229" i="3"/>
  <c r="R237" i="3"/>
  <c r="R245" i="3"/>
  <c r="R253" i="3"/>
  <c r="R261" i="3"/>
  <c r="R269" i="3"/>
  <c r="R277" i="3"/>
  <c r="R285" i="3"/>
  <c r="R293" i="3"/>
  <c r="R301" i="3"/>
  <c r="R309" i="3"/>
  <c r="R317" i="3"/>
  <c r="R325" i="3"/>
  <c r="R333" i="3"/>
  <c r="R210" i="3"/>
  <c r="R335" i="3"/>
  <c r="R42" i="3"/>
  <c r="R106" i="3"/>
  <c r="R170" i="3"/>
  <c r="W170" i="3" s="1"/>
  <c r="R287" i="3"/>
  <c r="R18" i="3"/>
  <c r="R327" i="3"/>
  <c r="R263" i="3"/>
  <c r="R114" i="3"/>
  <c r="W114" i="3" s="1"/>
  <c r="R9" i="3"/>
  <c r="R25" i="3"/>
  <c r="R41" i="3"/>
  <c r="R57" i="3"/>
  <c r="R73" i="3"/>
  <c r="R89" i="3"/>
  <c r="R105" i="3"/>
  <c r="R121" i="3"/>
  <c r="R137" i="3"/>
  <c r="R153" i="3"/>
  <c r="R169" i="3"/>
  <c r="R185" i="3"/>
  <c r="R108" i="3"/>
  <c r="R168" i="3"/>
  <c r="R24" i="3"/>
  <c r="R76" i="3"/>
  <c r="R136" i="3"/>
  <c r="R23" i="3"/>
  <c r="R47" i="3"/>
  <c r="W47" i="3" s="1"/>
  <c r="R71" i="3"/>
  <c r="R87" i="3"/>
  <c r="R107" i="3"/>
  <c r="R123" i="3"/>
  <c r="R139" i="3"/>
  <c r="R155" i="3"/>
  <c r="R171" i="3"/>
  <c r="R187" i="3"/>
  <c r="R203" i="3"/>
  <c r="R220" i="3"/>
  <c r="R48" i="3"/>
  <c r="R92" i="3"/>
  <c r="R152" i="3"/>
  <c r="W152" i="3" s="1"/>
  <c r="R15" i="3"/>
  <c r="R43" i="3"/>
  <c r="R64" i="3"/>
  <c r="R192" i="3"/>
  <c r="L15" i="3"/>
  <c r="T15" i="3" s="1"/>
  <c r="V15" i="3" s="1"/>
  <c r="L43" i="3"/>
  <c r="T43" i="3" s="1"/>
  <c r="V43" i="3" s="1"/>
  <c r="K95" i="3"/>
  <c r="U95" i="3" s="1"/>
  <c r="M64" i="3"/>
  <c r="M192" i="3"/>
  <c r="M31" i="3"/>
  <c r="M59" i="3"/>
  <c r="M16" i="3"/>
  <c r="M172" i="3"/>
  <c r="P172" i="3" s="1"/>
  <c r="K64" i="3"/>
  <c r="L31" i="3"/>
  <c r="T31" i="3" s="1"/>
  <c r="V31" i="3" s="1"/>
  <c r="M43" i="3"/>
  <c r="K59" i="3"/>
  <c r="L59" i="3"/>
  <c r="T59" i="3" s="1"/>
  <c r="V59" i="3" s="1"/>
  <c r="K15" i="3"/>
  <c r="L64" i="3"/>
  <c r="M15" i="3"/>
  <c r="K43" i="3"/>
  <c r="L192" i="3"/>
  <c r="K192" i="3"/>
  <c r="M250" i="3"/>
  <c r="L250" i="3"/>
  <c r="T250" i="3" s="1"/>
  <c r="V250" i="3" s="1"/>
  <c r="L342" i="3"/>
  <c r="T342" i="3" s="1"/>
  <c r="V342" i="3" s="1"/>
  <c r="M342" i="3"/>
  <c r="L94" i="3"/>
  <c r="T94" i="3" s="1"/>
  <c r="V94" i="3" s="1"/>
  <c r="M94" i="3"/>
  <c r="L219" i="3"/>
  <c r="M219" i="3"/>
  <c r="M343" i="3"/>
  <c r="L343" i="3"/>
  <c r="T343" i="3" s="1"/>
  <c r="V343" i="3" s="1"/>
  <c r="M262" i="3"/>
  <c r="L262" i="3"/>
  <c r="M348" i="3"/>
  <c r="L348" i="3"/>
  <c r="M260" i="3"/>
  <c r="L260" i="3"/>
  <c r="T260" i="3" s="1"/>
  <c r="V260" i="3" s="1"/>
  <c r="M292" i="3"/>
  <c r="L292" i="3"/>
  <c r="M316" i="3"/>
  <c r="L316" i="3"/>
  <c r="T316" i="3" s="1"/>
  <c r="V316" i="3" s="1"/>
  <c r="M341" i="3"/>
  <c r="L341" i="3"/>
  <c r="T341" i="3" s="1"/>
  <c r="V341" i="3" s="1"/>
  <c r="M68" i="3"/>
  <c r="L68" i="3"/>
  <c r="T68" i="3" s="1"/>
  <c r="V68" i="3" s="1"/>
  <c r="M204" i="3"/>
  <c r="L204" i="3"/>
  <c r="T204" i="3" s="1"/>
  <c r="V204" i="3" s="1"/>
  <c r="M257" i="3"/>
  <c r="L257" i="3"/>
  <c r="T257" i="3" s="1"/>
  <c r="V257" i="3" s="1"/>
  <c r="M305" i="3"/>
  <c r="L305" i="3"/>
  <c r="M337" i="3"/>
  <c r="L337" i="3"/>
  <c r="T337" i="3" s="1"/>
  <c r="V337" i="3" s="1"/>
  <c r="L10" i="3"/>
  <c r="T10" i="3" s="1"/>
  <c r="V10" i="3" s="1"/>
  <c r="M10" i="3"/>
  <c r="L287" i="3"/>
  <c r="M287" i="3"/>
  <c r="L202" i="3"/>
  <c r="M202" i="3"/>
  <c r="M108" i="3"/>
  <c r="L108" i="3"/>
  <c r="T108" i="3" s="1"/>
  <c r="V108" i="3" s="1"/>
  <c r="M88" i="3"/>
  <c r="L88" i="3"/>
  <c r="T88" i="3" s="1"/>
  <c r="V88" i="3" s="1"/>
  <c r="M47" i="3"/>
  <c r="L47" i="3"/>
  <c r="M79" i="3"/>
  <c r="L79" i="3"/>
  <c r="M127" i="3"/>
  <c r="L127" i="3"/>
  <c r="T127" i="3" s="1"/>
  <c r="V127" i="3" s="1"/>
  <c r="M159" i="3"/>
  <c r="L159" i="3"/>
  <c r="M187" i="3"/>
  <c r="L187" i="3"/>
  <c r="M224" i="3"/>
  <c r="L224" i="3"/>
  <c r="T224" i="3" s="1"/>
  <c r="V224" i="3" s="1"/>
  <c r="M226" i="3"/>
  <c r="L226" i="3"/>
  <c r="T226" i="3" s="1"/>
  <c r="V226" i="3" s="1"/>
  <c r="M258" i="3"/>
  <c r="L258" i="3"/>
  <c r="M290" i="3"/>
  <c r="L290" i="3"/>
  <c r="T290" i="3" s="1"/>
  <c r="V290" i="3" s="1"/>
  <c r="M322" i="3"/>
  <c r="L322" i="3"/>
  <c r="T322" i="3" s="1"/>
  <c r="V322" i="3" s="1"/>
  <c r="L346" i="3"/>
  <c r="M346" i="3"/>
  <c r="M6" i="3"/>
  <c r="L6" i="3"/>
  <c r="T6" i="3" s="1"/>
  <c r="V6" i="3" s="1"/>
  <c r="M38" i="3"/>
  <c r="L38" i="3"/>
  <c r="T38" i="3" s="1"/>
  <c r="V38" i="3" s="1"/>
  <c r="M70" i="3"/>
  <c r="L70" i="3"/>
  <c r="T70" i="3" s="1"/>
  <c r="V70" i="3" s="1"/>
  <c r="M102" i="3"/>
  <c r="L102" i="3"/>
  <c r="T102" i="3" s="1"/>
  <c r="V102" i="3" s="1"/>
  <c r="M134" i="3"/>
  <c r="L134" i="3"/>
  <c r="T134" i="3" s="1"/>
  <c r="V134" i="3" s="1"/>
  <c r="M166" i="3"/>
  <c r="L166" i="3"/>
  <c r="T166" i="3" s="1"/>
  <c r="V166" i="3" s="1"/>
  <c r="M198" i="3"/>
  <c r="L198" i="3"/>
  <c r="M227" i="3"/>
  <c r="L227" i="3"/>
  <c r="T227" i="3" s="1"/>
  <c r="V227" i="3" s="1"/>
  <c r="M259" i="3"/>
  <c r="L259" i="3"/>
  <c r="T259" i="3" s="1"/>
  <c r="V259" i="3" s="1"/>
  <c r="M291" i="3"/>
  <c r="L291" i="3"/>
  <c r="M323" i="3"/>
  <c r="L323" i="3"/>
  <c r="T323" i="3" s="1"/>
  <c r="V323" i="3" s="1"/>
  <c r="M347" i="3"/>
  <c r="L347" i="3"/>
  <c r="M209" i="3"/>
  <c r="L209" i="3"/>
  <c r="T209" i="3" s="1"/>
  <c r="V209" i="3" s="1"/>
  <c r="M238" i="3"/>
  <c r="L238" i="3"/>
  <c r="T238" i="3" s="1"/>
  <c r="V238" i="3" s="1"/>
  <c r="M270" i="3"/>
  <c r="L270" i="3"/>
  <c r="M302" i="3"/>
  <c r="L302" i="3"/>
  <c r="T302" i="3" s="1"/>
  <c r="V302" i="3" s="1"/>
  <c r="M334" i="3"/>
  <c r="L334" i="3"/>
  <c r="T334" i="3" s="1"/>
  <c r="V334" i="3" s="1"/>
  <c r="M352" i="3"/>
  <c r="L352" i="3"/>
  <c r="T352" i="3" s="1"/>
  <c r="V352" i="3" s="1"/>
  <c r="M345" i="3"/>
  <c r="L345" i="3"/>
  <c r="M303" i="3"/>
  <c r="L303" i="3"/>
  <c r="L26" i="3"/>
  <c r="M26" i="3"/>
  <c r="L90" i="3"/>
  <c r="M90" i="3"/>
  <c r="L154" i="3"/>
  <c r="T154" i="3" s="1"/>
  <c r="V154" i="3" s="1"/>
  <c r="M154" i="3"/>
  <c r="M247" i="3"/>
  <c r="L247" i="3"/>
  <c r="T247" i="3" s="1"/>
  <c r="V247" i="3" s="1"/>
  <c r="L194" i="3"/>
  <c r="M194" i="3"/>
  <c r="L319" i="3"/>
  <c r="M319" i="3"/>
  <c r="L18" i="3"/>
  <c r="T18" i="3" s="1"/>
  <c r="V18" i="3" s="1"/>
  <c r="M18" i="3"/>
  <c r="L66" i="3"/>
  <c r="M66" i="3"/>
  <c r="L162" i="3"/>
  <c r="T162" i="3" s="1"/>
  <c r="V162" i="3" s="1"/>
  <c r="M162" i="3"/>
  <c r="L50" i="3"/>
  <c r="T50" i="3" s="1"/>
  <c r="V50" i="3" s="1"/>
  <c r="M50" i="3"/>
  <c r="M8" i="3"/>
  <c r="L8" i="3"/>
  <c r="T8" i="3" s="1"/>
  <c r="V8" i="3" s="1"/>
  <c r="M5" i="3"/>
  <c r="L5" i="3"/>
  <c r="T5" i="3" s="1"/>
  <c r="V5" i="3" s="1"/>
  <c r="M13" i="3"/>
  <c r="L13" i="3"/>
  <c r="T13" i="3" s="1"/>
  <c r="V13" i="3" s="1"/>
  <c r="M21" i="3"/>
  <c r="L21" i="3"/>
  <c r="T21" i="3" s="1"/>
  <c r="V21" i="3" s="1"/>
  <c r="M29" i="3"/>
  <c r="L29" i="3"/>
  <c r="M37" i="3"/>
  <c r="L37" i="3"/>
  <c r="T37" i="3" s="1"/>
  <c r="V37" i="3" s="1"/>
  <c r="M45" i="3"/>
  <c r="L45" i="3"/>
  <c r="T45" i="3" s="1"/>
  <c r="V45" i="3" s="1"/>
  <c r="M53" i="3"/>
  <c r="L53" i="3"/>
  <c r="T53" i="3" s="1"/>
  <c r="V53" i="3" s="1"/>
  <c r="M61" i="3"/>
  <c r="L61" i="3"/>
  <c r="T61" i="3" s="1"/>
  <c r="V61" i="3" s="1"/>
  <c r="M69" i="3"/>
  <c r="L69" i="3"/>
  <c r="M77" i="3"/>
  <c r="L77" i="3"/>
  <c r="T77" i="3" s="1"/>
  <c r="V77" i="3" s="1"/>
  <c r="M85" i="3"/>
  <c r="L85" i="3"/>
  <c r="T85" i="3" s="1"/>
  <c r="V85" i="3" s="1"/>
  <c r="M93" i="3"/>
  <c r="L93" i="3"/>
  <c r="M101" i="3"/>
  <c r="L101" i="3"/>
  <c r="M109" i="3"/>
  <c r="L109" i="3"/>
  <c r="T109" i="3" s="1"/>
  <c r="V109" i="3" s="1"/>
  <c r="M117" i="3"/>
  <c r="L117" i="3"/>
  <c r="T117" i="3" s="1"/>
  <c r="V117" i="3" s="1"/>
  <c r="M125" i="3"/>
  <c r="L125" i="3"/>
  <c r="T125" i="3" s="1"/>
  <c r="V125" i="3" s="1"/>
  <c r="M133" i="3"/>
  <c r="L133" i="3"/>
  <c r="T133" i="3" s="1"/>
  <c r="V133" i="3" s="1"/>
  <c r="M141" i="3"/>
  <c r="L141" i="3"/>
  <c r="T141" i="3" s="1"/>
  <c r="V141" i="3" s="1"/>
  <c r="M149" i="3"/>
  <c r="L149" i="3"/>
  <c r="T149" i="3" s="1"/>
  <c r="V149" i="3" s="1"/>
  <c r="M157" i="3"/>
  <c r="L157" i="3"/>
  <c r="T157" i="3" s="1"/>
  <c r="V157" i="3" s="1"/>
  <c r="M165" i="3"/>
  <c r="L165" i="3"/>
  <c r="M173" i="3"/>
  <c r="L173" i="3"/>
  <c r="T173" i="3" s="1"/>
  <c r="V173" i="3" s="1"/>
  <c r="M181" i="3"/>
  <c r="L181" i="3"/>
  <c r="T181" i="3" s="1"/>
  <c r="V181" i="3" s="1"/>
  <c r="M189" i="3"/>
  <c r="L189" i="3"/>
  <c r="T189" i="3" s="1"/>
  <c r="V189" i="3" s="1"/>
  <c r="M197" i="3"/>
  <c r="L197" i="3"/>
  <c r="M156" i="3"/>
  <c r="L156" i="3"/>
  <c r="T156" i="3" s="1"/>
  <c r="V156" i="3" s="1"/>
  <c r="M12" i="3"/>
  <c r="L12" i="3"/>
  <c r="T12" i="3" s="1"/>
  <c r="V12" i="3" s="1"/>
  <c r="M32" i="3"/>
  <c r="L32" i="3"/>
  <c r="T32" i="3" s="1"/>
  <c r="V32" i="3" s="1"/>
  <c r="M160" i="3"/>
  <c r="L160" i="3"/>
  <c r="T160" i="3" s="1"/>
  <c r="V160" i="3" s="1"/>
  <c r="M11" i="3"/>
  <c r="L11" i="3"/>
  <c r="T11" i="3" s="1"/>
  <c r="V11" i="3" s="1"/>
  <c r="M71" i="3"/>
  <c r="L71" i="3"/>
  <c r="T71" i="3" s="1"/>
  <c r="V71" i="3" s="1"/>
  <c r="M91" i="3"/>
  <c r="L91" i="3"/>
  <c r="T91" i="3" s="1"/>
  <c r="V91" i="3" s="1"/>
  <c r="M111" i="3"/>
  <c r="L111" i="3"/>
  <c r="T111" i="3" s="1"/>
  <c r="V111" i="3" s="1"/>
  <c r="M119" i="3"/>
  <c r="L119" i="3"/>
  <c r="T119" i="3" s="1"/>
  <c r="V119" i="3" s="1"/>
  <c r="M139" i="3"/>
  <c r="L139" i="3"/>
  <c r="T139" i="3" s="1"/>
  <c r="V139" i="3" s="1"/>
  <c r="M151" i="3"/>
  <c r="L151" i="3"/>
  <c r="M171" i="3"/>
  <c r="L171" i="3"/>
  <c r="M179" i="3"/>
  <c r="L179" i="3"/>
  <c r="T179" i="3" s="1"/>
  <c r="V179" i="3" s="1"/>
  <c r="M199" i="3"/>
  <c r="L199" i="3"/>
  <c r="M48" i="3"/>
  <c r="L48" i="3"/>
  <c r="T48" i="3" s="1"/>
  <c r="V48" i="3" s="1"/>
  <c r="M72" i="3"/>
  <c r="L72" i="3"/>
  <c r="M104" i="3"/>
  <c r="L104" i="3"/>
  <c r="T104" i="3" s="1"/>
  <c r="V104" i="3" s="1"/>
  <c r="M282" i="3"/>
  <c r="L282" i="3"/>
  <c r="L62" i="3"/>
  <c r="T62" i="3" s="1"/>
  <c r="V62" i="3" s="1"/>
  <c r="M62" i="3"/>
  <c r="L158" i="3"/>
  <c r="M158" i="3"/>
  <c r="L251" i="3"/>
  <c r="T251" i="3" s="1"/>
  <c r="V251" i="3" s="1"/>
  <c r="M251" i="3"/>
  <c r="L315" i="3"/>
  <c r="T315" i="3" s="1"/>
  <c r="V315" i="3" s="1"/>
  <c r="M315" i="3"/>
  <c r="M230" i="3"/>
  <c r="L230" i="3"/>
  <c r="T230" i="3" s="1"/>
  <c r="V230" i="3" s="1"/>
  <c r="M326" i="3"/>
  <c r="L326" i="3"/>
  <c r="T326" i="3" s="1"/>
  <c r="V326" i="3" s="1"/>
  <c r="M244" i="3"/>
  <c r="L244" i="3"/>
  <c r="T244" i="3" s="1"/>
  <c r="V244" i="3" s="1"/>
  <c r="M268" i="3"/>
  <c r="L268" i="3"/>
  <c r="M284" i="3"/>
  <c r="L284" i="3"/>
  <c r="M308" i="3"/>
  <c r="L308" i="3"/>
  <c r="M332" i="3"/>
  <c r="L332" i="3"/>
  <c r="T332" i="3" s="1"/>
  <c r="V332" i="3" s="1"/>
  <c r="M36" i="3"/>
  <c r="L36" i="3"/>
  <c r="T36" i="3" s="1"/>
  <c r="V36" i="3" s="1"/>
  <c r="M132" i="3"/>
  <c r="L132" i="3"/>
  <c r="M196" i="3"/>
  <c r="L196" i="3"/>
  <c r="M212" i="3"/>
  <c r="L212" i="3"/>
  <c r="T212" i="3" s="1"/>
  <c r="V212" i="3" s="1"/>
  <c r="M233" i="3"/>
  <c r="L233" i="3"/>
  <c r="M249" i="3"/>
  <c r="L249" i="3"/>
  <c r="T249" i="3" s="1"/>
  <c r="V249" i="3" s="1"/>
  <c r="M265" i="3"/>
  <c r="L265" i="3"/>
  <c r="M281" i="3"/>
  <c r="L281" i="3"/>
  <c r="M297" i="3"/>
  <c r="L297" i="3"/>
  <c r="M321" i="3"/>
  <c r="L321" i="3"/>
  <c r="T321" i="3" s="1"/>
  <c r="V321" i="3" s="1"/>
  <c r="M271" i="3"/>
  <c r="L271" i="3"/>
  <c r="L74" i="3"/>
  <c r="T74" i="3" s="1"/>
  <c r="V74" i="3" s="1"/>
  <c r="M74" i="3"/>
  <c r="L98" i="3"/>
  <c r="T98" i="3" s="1"/>
  <c r="V98" i="3" s="1"/>
  <c r="M98" i="3"/>
  <c r="M144" i="3"/>
  <c r="L144" i="3"/>
  <c r="T144" i="3" s="1"/>
  <c r="V144" i="3" s="1"/>
  <c r="M56" i="3"/>
  <c r="L56" i="3"/>
  <c r="T56" i="3" s="1"/>
  <c r="V56" i="3" s="1"/>
  <c r="M35" i="3"/>
  <c r="L35" i="3"/>
  <c r="T35" i="3" s="1"/>
  <c r="V35" i="3" s="1"/>
  <c r="M67" i="3"/>
  <c r="L67" i="3"/>
  <c r="M147" i="3"/>
  <c r="L147" i="3"/>
  <c r="T147" i="3" s="1"/>
  <c r="V147" i="3" s="1"/>
  <c r="M195" i="3"/>
  <c r="L195" i="3"/>
  <c r="M176" i="3"/>
  <c r="L176" i="3"/>
  <c r="M205" i="3"/>
  <c r="L205" i="3"/>
  <c r="T205" i="3" s="1"/>
  <c r="V205" i="3" s="1"/>
  <c r="M234" i="3"/>
  <c r="L234" i="3"/>
  <c r="T234" i="3" s="1"/>
  <c r="V234" i="3" s="1"/>
  <c r="M266" i="3"/>
  <c r="L266" i="3"/>
  <c r="M298" i="3"/>
  <c r="L298" i="3"/>
  <c r="M330" i="3"/>
  <c r="L330" i="3"/>
  <c r="T330" i="3" s="1"/>
  <c r="V330" i="3" s="1"/>
  <c r="L350" i="3"/>
  <c r="T350" i="3" s="1"/>
  <c r="V350" i="3" s="1"/>
  <c r="M350" i="3"/>
  <c r="L14" i="3"/>
  <c r="M14" i="3"/>
  <c r="L46" i="3"/>
  <c r="M46" i="3"/>
  <c r="L78" i="3"/>
  <c r="M78" i="3"/>
  <c r="L110" i="3"/>
  <c r="T110" i="3" s="1"/>
  <c r="V110" i="3" s="1"/>
  <c r="M110" i="3"/>
  <c r="L142" i="3"/>
  <c r="T142" i="3" s="1"/>
  <c r="V142" i="3" s="1"/>
  <c r="M142" i="3"/>
  <c r="L174" i="3"/>
  <c r="T174" i="3" s="1"/>
  <c r="V174" i="3" s="1"/>
  <c r="M174" i="3"/>
  <c r="L206" i="3"/>
  <c r="R206" i="3" s="1"/>
  <c r="M206" i="3"/>
  <c r="L235" i="3"/>
  <c r="M235" i="3"/>
  <c r="M267" i="3"/>
  <c r="L267" i="3"/>
  <c r="M299" i="3"/>
  <c r="L299" i="3"/>
  <c r="M331" i="3"/>
  <c r="L331" i="3"/>
  <c r="T331" i="3" s="1"/>
  <c r="V331" i="3" s="1"/>
  <c r="M351" i="3"/>
  <c r="L351" i="3"/>
  <c r="T351" i="3" s="1"/>
  <c r="V351" i="3" s="1"/>
  <c r="M246" i="3"/>
  <c r="L246" i="3"/>
  <c r="T246" i="3" s="1"/>
  <c r="V246" i="3" s="1"/>
  <c r="M278" i="3"/>
  <c r="L278" i="3"/>
  <c r="M310" i="3"/>
  <c r="L310" i="3"/>
  <c r="M340" i="3"/>
  <c r="L340" i="3"/>
  <c r="T340" i="3" s="1"/>
  <c r="V340" i="3" s="1"/>
  <c r="M3" i="3"/>
  <c r="L3" i="3"/>
  <c r="M240" i="3"/>
  <c r="L240" i="3"/>
  <c r="M248" i="3"/>
  <c r="L248" i="3"/>
  <c r="T248" i="3" s="1"/>
  <c r="V248" i="3" s="1"/>
  <c r="M256" i="3"/>
  <c r="L256" i="3"/>
  <c r="T256" i="3" s="1"/>
  <c r="V256" i="3" s="1"/>
  <c r="M264" i="3"/>
  <c r="L264" i="3"/>
  <c r="M272" i="3"/>
  <c r="L272" i="3"/>
  <c r="M280" i="3"/>
  <c r="L280" i="3"/>
  <c r="M288" i="3"/>
  <c r="L288" i="3"/>
  <c r="T288" i="3" s="1"/>
  <c r="V288" i="3" s="1"/>
  <c r="M296" i="3"/>
  <c r="L296" i="3"/>
  <c r="M304" i="3"/>
  <c r="L304" i="3"/>
  <c r="M312" i="3"/>
  <c r="L312" i="3"/>
  <c r="T312" i="3" s="1"/>
  <c r="V312" i="3" s="1"/>
  <c r="M320" i="3"/>
  <c r="L320" i="3"/>
  <c r="M328" i="3"/>
  <c r="L328" i="3"/>
  <c r="T328" i="3" s="1"/>
  <c r="V328" i="3" s="1"/>
  <c r="M336" i="3"/>
  <c r="L336" i="3"/>
  <c r="T336" i="3" s="1"/>
  <c r="V336" i="3" s="1"/>
  <c r="M349" i="3"/>
  <c r="L349" i="3"/>
  <c r="T349" i="3" s="1"/>
  <c r="V349" i="3" s="1"/>
  <c r="M20" i="3"/>
  <c r="L20" i="3"/>
  <c r="T20" i="3" s="1"/>
  <c r="V20" i="3" s="1"/>
  <c r="M52" i="3"/>
  <c r="L52" i="3"/>
  <c r="T52" i="3" s="1"/>
  <c r="V52" i="3" s="1"/>
  <c r="M84" i="3"/>
  <c r="L84" i="3"/>
  <c r="T84" i="3" s="1"/>
  <c r="V84" i="3" s="1"/>
  <c r="M116" i="3"/>
  <c r="L116" i="3"/>
  <c r="T116" i="3" s="1"/>
  <c r="V116" i="3" s="1"/>
  <c r="M148" i="3"/>
  <c r="L148" i="3"/>
  <c r="T148" i="3" s="1"/>
  <c r="V148" i="3" s="1"/>
  <c r="M180" i="3"/>
  <c r="L180" i="3"/>
  <c r="M200" i="3"/>
  <c r="L200" i="3"/>
  <c r="M208" i="3"/>
  <c r="L208" i="3"/>
  <c r="T208" i="3" s="1"/>
  <c r="V208" i="3" s="1"/>
  <c r="M216" i="3"/>
  <c r="L216" i="3"/>
  <c r="T216" i="3" s="1"/>
  <c r="V216" i="3" s="1"/>
  <c r="M221" i="3"/>
  <c r="L221" i="3"/>
  <c r="T221" i="3" s="1"/>
  <c r="V221" i="3" s="1"/>
  <c r="M229" i="3"/>
  <c r="L229" i="3"/>
  <c r="T229" i="3" s="1"/>
  <c r="V229" i="3" s="1"/>
  <c r="M237" i="3"/>
  <c r="L237" i="3"/>
  <c r="T237" i="3" s="1"/>
  <c r="V237" i="3" s="1"/>
  <c r="M245" i="3"/>
  <c r="L245" i="3"/>
  <c r="T245" i="3" s="1"/>
  <c r="V245" i="3" s="1"/>
  <c r="M253" i="3"/>
  <c r="L253" i="3"/>
  <c r="T253" i="3" s="1"/>
  <c r="V253" i="3" s="1"/>
  <c r="M261" i="3"/>
  <c r="L261" i="3"/>
  <c r="T261" i="3" s="1"/>
  <c r="V261" i="3" s="1"/>
  <c r="M269" i="3"/>
  <c r="L269" i="3"/>
  <c r="M277" i="3"/>
  <c r="L277" i="3"/>
  <c r="M285" i="3"/>
  <c r="L285" i="3"/>
  <c r="M293" i="3"/>
  <c r="L293" i="3"/>
  <c r="M301" i="3"/>
  <c r="L301" i="3"/>
  <c r="T301" i="3" s="1"/>
  <c r="V301" i="3" s="1"/>
  <c r="M309" i="3"/>
  <c r="L309" i="3"/>
  <c r="T309" i="3" s="1"/>
  <c r="V309" i="3" s="1"/>
  <c r="M317" i="3"/>
  <c r="L317" i="3"/>
  <c r="M325" i="3"/>
  <c r="L325" i="3"/>
  <c r="T325" i="3" s="1"/>
  <c r="V325" i="3" s="1"/>
  <c r="M333" i="3"/>
  <c r="L333" i="3"/>
  <c r="T333" i="3" s="1"/>
  <c r="V333" i="3" s="1"/>
  <c r="L210" i="3"/>
  <c r="T210" i="3" s="1"/>
  <c r="V210" i="3" s="1"/>
  <c r="M210" i="3"/>
  <c r="M335" i="3"/>
  <c r="L335" i="3"/>
  <c r="T335" i="3" s="1"/>
  <c r="V335" i="3" s="1"/>
  <c r="L42" i="3"/>
  <c r="T42" i="3" s="1"/>
  <c r="V42" i="3" s="1"/>
  <c r="M42" i="3"/>
  <c r="L106" i="3"/>
  <c r="T106" i="3" s="1"/>
  <c r="V106" i="3" s="1"/>
  <c r="M106" i="3"/>
  <c r="L170" i="3"/>
  <c r="M170" i="3"/>
  <c r="M279" i="3"/>
  <c r="L279" i="3"/>
  <c r="L223" i="3"/>
  <c r="T223" i="3" s="1"/>
  <c r="V223" i="3" s="1"/>
  <c r="M223" i="3"/>
  <c r="L82" i="3"/>
  <c r="T82" i="3" s="1"/>
  <c r="V82" i="3" s="1"/>
  <c r="M82" i="3"/>
  <c r="M327" i="3"/>
  <c r="L327" i="3"/>
  <c r="T327" i="3" s="1"/>
  <c r="V327" i="3" s="1"/>
  <c r="M263" i="3"/>
  <c r="L263" i="3"/>
  <c r="L114" i="3"/>
  <c r="M114" i="3"/>
  <c r="M28" i="3"/>
  <c r="L28" i="3"/>
  <c r="M120" i="3"/>
  <c r="L120" i="3"/>
  <c r="T120" i="3" s="1"/>
  <c r="V120" i="3" s="1"/>
  <c r="M44" i="3"/>
  <c r="L44" i="3"/>
  <c r="M76" i="3"/>
  <c r="L76" i="3"/>
  <c r="T76" i="3" s="1"/>
  <c r="V76" i="3" s="1"/>
  <c r="M112" i="3"/>
  <c r="L112" i="3"/>
  <c r="T112" i="3" s="1"/>
  <c r="V112" i="3" s="1"/>
  <c r="M136" i="3"/>
  <c r="L136" i="3"/>
  <c r="T136" i="3" s="1"/>
  <c r="V136" i="3" s="1"/>
  <c r="M27" i="3"/>
  <c r="L27" i="3"/>
  <c r="M39" i="3"/>
  <c r="L39" i="3"/>
  <c r="T39" i="3" s="1"/>
  <c r="V39" i="3" s="1"/>
  <c r="M51" i="3"/>
  <c r="L51" i="3"/>
  <c r="T51" i="3" s="1"/>
  <c r="V51" i="3" s="1"/>
  <c r="M63" i="3"/>
  <c r="L63" i="3"/>
  <c r="T63" i="3" s="1"/>
  <c r="V63" i="3" s="1"/>
  <c r="M83" i="3"/>
  <c r="L83" i="3"/>
  <c r="T83" i="3" s="1"/>
  <c r="V83" i="3" s="1"/>
  <c r="M95" i="3"/>
  <c r="L95" i="3"/>
  <c r="M103" i="3"/>
  <c r="L103" i="3"/>
  <c r="T103" i="3" s="1"/>
  <c r="V103" i="3" s="1"/>
  <c r="M123" i="3"/>
  <c r="L123" i="3"/>
  <c r="T123" i="3" s="1"/>
  <c r="V123" i="3" s="1"/>
  <c r="M131" i="3"/>
  <c r="L131" i="3"/>
  <c r="T131" i="3" s="1"/>
  <c r="V131" i="3" s="1"/>
  <c r="M143" i="3"/>
  <c r="L143" i="3"/>
  <c r="T143" i="3" s="1"/>
  <c r="V143" i="3" s="1"/>
  <c r="M163" i="3"/>
  <c r="L163" i="3"/>
  <c r="T163" i="3" s="1"/>
  <c r="V163" i="3" s="1"/>
  <c r="M191" i="3"/>
  <c r="L191" i="3"/>
  <c r="M211" i="3"/>
  <c r="L211" i="3"/>
  <c r="T211" i="3" s="1"/>
  <c r="V211" i="3" s="1"/>
  <c r="M220" i="3"/>
  <c r="L220" i="3"/>
  <c r="M228" i="3"/>
  <c r="L228" i="3"/>
  <c r="T228" i="3" s="1"/>
  <c r="V228" i="3" s="1"/>
  <c r="M80" i="3"/>
  <c r="L80" i="3"/>
  <c r="M128" i="3"/>
  <c r="L128" i="3"/>
  <c r="T128" i="3" s="1"/>
  <c r="V128" i="3" s="1"/>
  <c r="M152" i="3"/>
  <c r="L152" i="3"/>
  <c r="M188" i="3"/>
  <c r="L188" i="3"/>
  <c r="T188" i="3" s="1"/>
  <c r="V188" i="3" s="1"/>
  <c r="M218" i="3"/>
  <c r="L218" i="3"/>
  <c r="M314" i="3"/>
  <c r="L314" i="3"/>
  <c r="T314" i="3" s="1"/>
  <c r="V314" i="3" s="1"/>
  <c r="L30" i="3"/>
  <c r="M30" i="3"/>
  <c r="L126" i="3"/>
  <c r="M126" i="3"/>
  <c r="L190" i="3"/>
  <c r="T190" i="3" s="1"/>
  <c r="V190" i="3" s="1"/>
  <c r="M190" i="3"/>
  <c r="L283" i="3"/>
  <c r="M283" i="3"/>
  <c r="M201" i="3"/>
  <c r="L201" i="3"/>
  <c r="M294" i="3"/>
  <c r="L294" i="3"/>
  <c r="M236" i="3"/>
  <c r="L236" i="3"/>
  <c r="M252" i="3"/>
  <c r="L252" i="3"/>
  <c r="T252" i="3" s="1"/>
  <c r="V252" i="3" s="1"/>
  <c r="M276" i="3"/>
  <c r="L276" i="3"/>
  <c r="M300" i="3"/>
  <c r="L300" i="3"/>
  <c r="M324" i="3"/>
  <c r="L324" i="3"/>
  <c r="T324" i="3" s="1"/>
  <c r="V324" i="3" s="1"/>
  <c r="M4" i="3"/>
  <c r="L4" i="3"/>
  <c r="T4" i="3" s="1"/>
  <c r="V4" i="3" s="1"/>
  <c r="M100" i="3"/>
  <c r="L100" i="3"/>
  <c r="T100" i="3" s="1"/>
  <c r="V100" i="3" s="1"/>
  <c r="M164" i="3"/>
  <c r="L164" i="3"/>
  <c r="T164" i="3" s="1"/>
  <c r="V164" i="3" s="1"/>
  <c r="M217" i="3"/>
  <c r="L217" i="3"/>
  <c r="M225" i="3"/>
  <c r="L225" i="3"/>
  <c r="T225" i="3" s="1"/>
  <c r="V225" i="3" s="1"/>
  <c r="M241" i="3"/>
  <c r="L241" i="3"/>
  <c r="T241" i="3" s="1"/>
  <c r="V241" i="3" s="1"/>
  <c r="M273" i="3"/>
  <c r="L273" i="3"/>
  <c r="M289" i="3"/>
  <c r="L289" i="3"/>
  <c r="T289" i="3" s="1"/>
  <c r="V289" i="3" s="1"/>
  <c r="M313" i="3"/>
  <c r="L313" i="3"/>
  <c r="T313" i="3" s="1"/>
  <c r="V313" i="3" s="1"/>
  <c r="M329" i="3"/>
  <c r="L329" i="3"/>
  <c r="T329" i="3" s="1"/>
  <c r="V329" i="3" s="1"/>
  <c r="L138" i="3"/>
  <c r="T138" i="3" s="1"/>
  <c r="V138" i="3" s="1"/>
  <c r="M138" i="3"/>
  <c r="L231" i="3"/>
  <c r="T231" i="3" s="1"/>
  <c r="V231" i="3" s="1"/>
  <c r="M231" i="3"/>
  <c r="M295" i="3"/>
  <c r="L295" i="3"/>
  <c r="M40" i="3"/>
  <c r="L40" i="3"/>
  <c r="T40" i="3" s="1"/>
  <c r="V40" i="3" s="1"/>
  <c r="M124" i="3"/>
  <c r="L124" i="3"/>
  <c r="T124" i="3" s="1"/>
  <c r="V124" i="3" s="1"/>
  <c r="M23" i="3"/>
  <c r="L23" i="3"/>
  <c r="M55" i="3"/>
  <c r="L55" i="3"/>
  <c r="T55" i="3" s="1"/>
  <c r="V55" i="3" s="1"/>
  <c r="M99" i="3"/>
  <c r="L99" i="3"/>
  <c r="M167" i="3"/>
  <c r="L167" i="3"/>
  <c r="M207" i="3"/>
  <c r="L207" i="3"/>
  <c r="R207" i="3" s="1"/>
  <c r="M140" i="3"/>
  <c r="L140" i="3"/>
  <c r="T140" i="3" s="1"/>
  <c r="V140" i="3" s="1"/>
  <c r="M213" i="3"/>
  <c r="L213" i="3"/>
  <c r="T213" i="3" s="1"/>
  <c r="V213" i="3" s="1"/>
  <c r="M242" i="3"/>
  <c r="L242" i="3"/>
  <c r="T242" i="3" s="1"/>
  <c r="V242" i="3" s="1"/>
  <c r="M274" i="3"/>
  <c r="L274" i="3"/>
  <c r="M306" i="3"/>
  <c r="L306" i="3"/>
  <c r="M338" i="3"/>
  <c r="L338" i="3"/>
  <c r="T338" i="3" s="1"/>
  <c r="V338" i="3" s="1"/>
  <c r="L354" i="3"/>
  <c r="T354" i="3" s="1"/>
  <c r="V354" i="3" s="1"/>
  <c r="M354" i="3"/>
  <c r="M22" i="3"/>
  <c r="L22" i="3"/>
  <c r="T22" i="3" s="1"/>
  <c r="V22" i="3" s="1"/>
  <c r="M54" i="3"/>
  <c r="L54" i="3"/>
  <c r="T54" i="3" s="1"/>
  <c r="V54" i="3" s="1"/>
  <c r="M86" i="3"/>
  <c r="L86" i="3"/>
  <c r="T86" i="3" s="1"/>
  <c r="V86" i="3" s="1"/>
  <c r="M118" i="3"/>
  <c r="L118" i="3"/>
  <c r="T118" i="3" s="1"/>
  <c r="V118" i="3" s="1"/>
  <c r="M150" i="3"/>
  <c r="L150" i="3"/>
  <c r="T150" i="3" s="1"/>
  <c r="V150" i="3" s="1"/>
  <c r="M182" i="3"/>
  <c r="L182" i="3"/>
  <c r="R182" i="3" s="1"/>
  <c r="M214" i="3"/>
  <c r="L214" i="3"/>
  <c r="T214" i="3" s="1"/>
  <c r="V214" i="3" s="1"/>
  <c r="M243" i="3"/>
  <c r="L243" i="3"/>
  <c r="T243" i="3" s="1"/>
  <c r="V243" i="3" s="1"/>
  <c r="M275" i="3"/>
  <c r="L275" i="3"/>
  <c r="M307" i="3"/>
  <c r="L307" i="3"/>
  <c r="M339" i="3"/>
  <c r="L339" i="3"/>
  <c r="T339" i="3" s="1"/>
  <c r="V339" i="3" s="1"/>
  <c r="M2" i="3"/>
  <c r="L2" i="3"/>
  <c r="M222" i="3"/>
  <c r="L222" i="3"/>
  <c r="T222" i="3" s="1"/>
  <c r="V222" i="3" s="1"/>
  <c r="M254" i="3"/>
  <c r="L254" i="3"/>
  <c r="T254" i="3" s="1"/>
  <c r="V254" i="3" s="1"/>
  <c r="M286" i="3"/>
  <c r="L286" i="3"/>
  <c r="M318" i="3"/>
  <c r="L318" i="3"/>
  <c r="M344" i="3"/>
  <c r="L344" i="3"/>
  <c r="M353" i="3"/>
  <c r="L353" i="3"/>
  <c r="T353" i="3" s="1"/>
  <c r="V353" i="3" s="1"/>
  <c r="M239" i="3"/>
  <c r="L239" i="3"/>
  <c r="T239" i="3" s="1"/>
  <c r="V239" i="3" s="1"/>
  <c r="L58" i="3"/>
  <c r="T58" i="3" s="1"/>
  <c r="V58" i="3" s="1"/>
  <c r="M58" i="3"/>
  <c r="L122" i="3"/>
  <c r="T122" i="3" s="1"/>
  <c r="V122" i="3" s="1"/>
  <c r="M122" i="3"/>
  <c r="L186" i="3"/>
  <c r="M186" i="3"/>
  <c r="M311" i="3"/>
  <c r="L311" i="3"/>
  <c r="L255" i="3"/>
  <c r="T255" i="3" s="1"/>
  <c r="V255" i="3" s="1"/>
  <c r="M255" i="3"/>
  <c r="L146" i="3"/>
  <c r="M146" i="3"/>
  <c r="L34" i="3"/>
  <c r="T34" i="3" s="1"/>
  <c r="V34" i="3" s="1"/>
  <c r="M34" i="3"/>
  <c r="L130" i="3"/>
  <c r="M130" i="3"/>
  <c r="L178" i="3"/>
  <c r="M178" i="3"/>
  <c r="M9" i="3"/>
  <c r="L9" i="3"/>
  <c r="T9" i="3" s="1"/>
  <c r="V9" i="3" s="1"/>
  <c r="M17" i="3"/>
  <c r="L17" i="3"/>
  <c r="T17" i="3" s="1"/>
  <c r="V17" i="3" s="1"/>
  <c r="M25" i="3"/>
  <c r="L25" i="3"/>
  <c r="M33" i="3"/>
  <c r="L33" i="3"/>
  <c r="T33" i="3" s="1"/>
  <c r="V33" i="3" s="1"/>
  <c r="M41" i="3"/>
  <c r="L41" i="3"/>
  <c r="T41" i="3" s="1"/>
  <c r="V41" i="3" s="1"/>
  <c r="M49" i="3"/>
  <c r="L49" i="3"/>
  <c r="T49" i="3" s="1"/>
  <c r="V49" i="3" s="1"/>
  <c r="M57" i="3"/>
  <c r="L57" i="3"/>
  <c r="T57" i="3" s="1"/>
  <c r="V57" i="3" s="1"/>
  <c r="M65" i="3"/>
  <c r="L65" i="3"/>
  <c r="T65" i="3" s="1"/>
  <c r="V65" i="3" s="1"/>
  <c r="M73" i="3"/>
  <c r="L73" i="3"/>
  <c r="T73" i="3" s="1"/>
  <c r="V73" i="3" s="1"/>
  <c r="M81" i="3"/>
  <c r="L81" i="3"/>
  <c r="T81" i="3" s="1"/>
  <c r="V81" i="3" s="1"/>
  <c r="M89" i="3"/>
  <c r="L89" i="3"/>
  <c r="T89" i="3" s="1"/>
  <c r="V89" i="3" s="1"/>
  <c r="M97" i="3"/>
  <c r="L97" i="3"/>
  <c r="M105" i="3"/>
  <c r="L105" i="3"/>
  <c r="T105" i="3" s="1"/>
  <c r="V105" i="3" s="1"/>
  <c r="M113" i="3"/>
  <c r="L113" i="3"/>
  <c r="M121" i="3"/>
  <c r="L121" i="3"/>
  <c r="T121" i="3" s="1"/>
  <c r="V121" i="3" s="1"/>
  <c r="M129" i="3"/>
  <c r="L129" i="3"/>
  <c r="T129" i="3" s="1"/>
  <c r="V129" i="3" s="1"/>
  <c r="M137" i="3"/>
  <c r="L137" i="3"/>
  <c r="T137" i="3" s="1"/>
  <c r="V137" i="3" s="1"/>
  <c r="M145" i="3"/>
  <c r="L145" i="3"/>
  <c r="T145" i="3" s="1"/>
  <c r="V145" i="3" s="1"/>
  <c r="M153" i="3"/>
  <c r="L153" i="3"/>
  <c r="T153" i="3" s="1"/>
  <c r="V153" i="3" s="1"/>
  <c r="M161" i="3"/>
  <c r="L161" i="3"/>
  <c r="T161" i="3" s="1"/>
  <c r="V161" i="3" s="1"/>
  <c r="M169" i="3"/>
  <c r="L169" i="3"/>
  <c r="T169" i="3" s="1"/>
  <c r="V169" i="3" s="1"/>
  <c r="M177" i="3"/>
  <c r="L177" i="3"/>
  <c r="M185" i="3"/>
  <c r="L185" i="3"/>
  <c r="M193" i="3"/>
  <c r="L193" i="3"/>
  <c r="M96" i="3"/>
  <c r="L96" i="3"/>
  <c r="M168" i="3"/>
  <c r="L168" i="3"/>
  <c r="M24" i="3"/>
  <c r="L24" i="3"/>
  <c r="M184" i="3"/>
  <c r="L184" i="3"/>
  <c r="M7" i="3"/>
  <c r="L7" i="3"/>
  <c r="M19" i="3"/>
  <c r="L19" i="3"/>
  <c r="T19" i="3" s="1"/>
  <c r="V19" i="3" s="1"/>
  <c r="M75" i="3"/>
  <c r="L75" i="3"/>
  <c r="T75" i="3" s="1"/>
  <c r="V75" i="3" s="1"/>
  <c r="M87" i="3"/>
  <c r="L87" i="3"/>
  <c r="T87" i="3" s="1"/>
  <c r="V87" i="3" s="1"/>
  <c r="M107" i="3"/>
  <c r="L107" i="3"/>
  <c r="M115" i="3"/>
  <c r="L115" i="3"/>
  <c r="T115" i="3" s="1"/>
  <c r="V115" i="3" s="1"/>
  <c r="M135" i="3"/>
  <c r="L135" i="3"/>
  <c r="T135" i="3" s="1"/>
  <c r="V135" i="3" s="1"/>
  <c r="M155" i="3"/>
  <c r="L155" i="3"/>
  <c r="T155" i="3" s="1"/>
  <c r="V155" i="3" s="1"/>
  <c r="M175" i="3"/>
  <c r="L175" i="3"/>
  <c r="M183" i="3"/>
  <c r="L183" i="3"/>
  <c r="M203" i="3"/>
  <c r="L203" i="3"/>
  <c r="T203" i="3" s="1"/>
  <c r="V203" i="3" s="1"/>
  <c r="M215" i="3"/>
  <c r="L215" i="3"/>
  <c r="T215" i="3" s="1"/>
  <c r="V215" i="3" s="1"/>
  <c r="M232" i="3"/>
  <c r="L232" i="3"/>
  <c r="T232" i="3" s="1"/>
  <c r="V232" i="3" s="1"/>
  <c r="M60" i="3"/>
  <c r="L60" i="3"/>
  <c r="T60" i="3" s="1"/>
  <c r="V60" i="3" s="1"/>
  <c r="M92" i="3"/>
  <c r="L92" i="3"/>
  <c r="T92" i="3" s="1"/>
  <c r="V92" i="3" s="1"/>
  <c r="K218" i="3"/>
  <c r="U218" i="3" s="1"/>
  <c r="K282" i="3"/>
  <c r="K342" i="3"/>
  <c r="K30" i="3"/>
  <c r="K94" i="3"/>
  <c r="K158" i="3"/>
  <c r="K219" i="3"/>
  <c r="U219" i="3" s="1"/>
  <c r="K283" i="3"/>
  <c r="K343" i="3"/>
  <c r="K230" i="3"/>
  <c r="K294" i="3"/>
  <c r="K348" i="3"/>
  <c r="U348" i="3" s="1"/>
  <c r="V348" i="3" s="1"/>
  <c r="K244" i="3"/>
  <c r="K260" i="3"/>
  <c r="K276" i="3"/>
  <c r="K292" i="3"/>
  <c r="K308" i="3"/>
  <c r="K324" i="3"/>
  <c r="K341" i="3"/>
  <c r="K36" i="3"/>
  <c r="K100" i="3"/>
  <c r="K164" i="3"/>
  <c r="K196" i="3"/>
  <c r="K212" i="3"/>
  <c r="K225" i="3"/>
  <c r="K241" i="3"/>
  <c r="K257" i="3"/>
  <c r="K273" i="3"/>
  <c r="K289" i="3"/>
  <c r="K305" i="3"/>
  <c r="K313" i="3"/>
  <c r="K337" i="3"/>
  <c r="K74" i="3"/>
  <c r="K98" i="3"/>
  <c r="K295" i="3"/>
  <c r="K156" i="3"/>
  <c r="K123" i="3"/>
  <c r="K167" i="3"/>
  <c r="K220" i="3"/>
  <c r="K60" i="3"/>
  <c r="K258" i="3"/>
  <c r="U258" i="3" s="1"/>
  <c r="K322" i="3"/>
  <c r="K6" i="3"/>
  <c r="K70" i="3"/>
  <c r="K134" i="3"/>
  <c r="K198" i="3"/>
  <c r="K259" i="3"/>
  <c r="K323" i="3"/>
  <c r="K209" i="3"/>
  <c r="K270" i="3"/>
  <c r="K334" i="3"/>
  <c r="K345" i="3"/>
  <c r="U345" i="3" s="1"/>
  <c r="V345" i="3" s="1"/>
  <c r="K154" i="3"/>
  <c r="K5" i="3"/>
  <c r="K25" i="3"/>
  <c r="K32" i="3"/>
  <c r="K136" i="3"/>
  <c r="K7" i="3"/>
  <c r="K63" i="3"/>
  <c r="K147" i="3"/>
  <c r="K176" i="3"/>
  <c r="K205" i="3"/>
  <c r="K234" i="3"/>
  <c r="K266" i="3"/>
  <c r="K298" i="3"/>
  <c r="K330" i="3"/>
  <c r="K350" i="3"/>
  <c r="K14" i="3"/>
  <c r="K46" i="3"/>
  <c r="K78" i="3"/>
  <c r="K110" i="3"/>
  <c r="K142" i="3"/>
  <c r="K174" i="3"/>
  <c r="K206" i="3"/>
  <c r="K235" i="3"/>
  <c r="K267" i="3"/>
  <c r="U267" i="3" s="1"/>
  <c r="K299" i="3"/>
  <c r="K331" i="3"/>
  <c r="K351" i="3"/>
  <c r="K246" i="3"/>
  <c r="K278" i="3"/>
  <c r="K310" i="3"/>
  <c r="K340" i="3"/>
  <c r="K3" i="3"/>
  <c r="U3" i="3" s="1"/>
  <c r="V3" i="3" s="1"/>
  <c r="K240" i="3"/>
  <c r="K248" i="3"/>
  <c r="K256" i="3"/>
  <c r="K264" i="3"/>
  <c r="K272" i="3"/>
  <c r="K280" i="3"/>
  <c r="K288" i="3"/>
  <c r="K296" i="3"/>
  <c r="K304" i="3"/>
  <c r="K312" i="3"/>
  <c r="K320" i="3"/>
  <c r="U320" i="3" s="1"/>
  <c r="K328" i="3"/>
  <c r="K336" i="3"/>
  <c r="K349" i="3"/>
  <c r="K20" i="3"/>
  <c r="K52" i="3"/>
  <c r="K84" i="3"/>
  <c r="K116" i="3"/>
  <c r="K148" i="3"/>
  <c r="K180" i="3"/>
  <c r="U180" i="3" s="1"/>
  <c r="K200" i="3"/>
  <c r="U200" i="3" s="1"/>
  <c r="V200" i="3" s="1"/>
  <c r="K208" i="3"/>
  <c r="K216" i="3"/>
  <c r="K221" i="3"/>
  <c r="K229" i="3"/>
  <c r="K237" i="3"/>
  <c r="K245" i="3"/>
  <c r="K253" i="3"/>
  <c r="K261" i="3"/>
  <c r="K269" i="3"/>
  <c r="K277" i="3"/>
  <c r="K285" i="3"/>
  <c r="K293" i="3"/>
  <c r="K301" i="3"/>
  <c r="K309" i="3"/>
  <c r="K317" i="3"/>
  <c r="K325" i="3"/>
  <c r="K333" i="3"/>
  <c r="K210" i="3"/>
  <c r="K335" i="3"/>
  <c r="K42" i="3"/>
  <c r="K106" i="3"/>
  <c r="K170" i="3"/>
  <c r="K279" i="3"/>
  <c r="K223" i="3"/>
  <c r="K82" i="3"/>
  <c r="K327" i="3"/>
  <c r="K263" i="3"/>
  <c r="K114" i="3"/>
  <c r="K33" i="3"/>
  <c r="K41" i="3"/>
  <c r="K69" i="3"/>
  <c r="K77" i="3"/>
  <c r="K85" i="3"/>
  <c r="K93" i="3"/>
  <c r="K101" i="3"/>
  <c r="U101" i="3" s="1"/>
  <c r="V101" i="3" s="1"/>
  <c r="K109" i="3"/>
  <c r="K117" i="3"/>
  <c r="K125" i="3"/>
  <c r="K133" i="3"/>
  <c r="K141" i="3"/>
  <c r="K149" i="3"/>
  <c r="K157" i="3"/>
  <c r="K165" i="3"/>
  <c r="K173" i="3"/>
  <c r="K181" i="3"/>
  <c r="K189" i="3"/>
  <c r="K197" i="3"/>
  <c r="K35" i="3"/>
  <c r="K99" i="3"/>
  <c r="K135" i="3"/>
  <c r="K155" i="3"/>
  <c r="K179" i="3"/>
  <c r="K224" i="3"/>
  <c r="K72" i="3"/>
  <c r="K128" i="3"/>
  <c r="K250" i="3"/>
  <c r="K314" i="3"/>
  <c r="K62" i="3"/>
  <c r="K126" i="3"/>
  <c r="U126" i="3" s="1"/>
  <c r="K190" i="3"/>
  <c r="K251" i="3"/>
  <c r="K315" i="3"/>
  <c r="K201" i="3"/>
  <c r="K262" i="3"/>
  <c r="U262" i="3" s="1"/>
  <c r="K326" i="3"/>
  <c r="K236" i="3"/>
  <c r="K252" i="3"/>
  <c r="K268" i="3"/>
  <c r="K284" i="3"/>
  <c r="K300" i="3"/>
  <c r="K316" i="3"/>
  <c r="K332" i="3"/>
  <c r="K4" i="3"/>
  <c r="K68" i="3"/>
  <c r="K132" i="3"/>
  <c r="U132" i="3" s="1"/>
  <c r="V132" i="3" s="1"/>
  <c r="K204" i="3"/>
  <c r="K217" i="3"/>
  <c r="U217" i="3" s="1"/>
  <c r="K233" i="3"/>
  <c r="K249" i="3"/>
  <c r="K265" i="3"/>
  <c r="K281" i="3"/>
  <c r="K297" i="3"/>
  <c r="K321" i="3"/>
  <c r="K329" i="3"/>
  <c r="K271" i="3"/>
  <c r="K10" i="3"/>
  <c r="K138" i="3"/>
  <c r="K287" i="3"/>
  <c r="K231" i="3"/>
  <c r="K202" i="3"/>
  <c r="U202" i="3" s="1"/>
  <c r="V202" i="3" s="1"/>
  <c r="K37" i="3"/>
  <c r="K108" i="3"/>
  <c r="K27" i="3"/>
  <c r="K87" i="3"/>
  <c r="K183" i="3"/>
  <c r="K215" i="3"/>
  <c r="K140" i="3"/>
  <c r="K226" i="3"/>
  <c r="K290" i="3"/>
  <c r="K346" i="3"/>
  <c r="U346" i="3" s="1"/>
  <c r="V346" i="3" s="1"/>
  <c r="K38" i="3"/>
  <c r="K102" i="3"/>
  <c r="K166" i="3"/>
  <c r="K227" i="3"/>
  <c r="K291" i="3"/>
  <c r="K347" i="3"/>
  <c r="U347" i="3" s="1"/>
  <c r="V347" i="3" s="1"/>
  <c r="K238" i="3"/>
  <c r="K302" i="3"/>
  <c r="K352" i="3"/>
  <c r="K303" i="3"/>
  <c r="K26" i="3"/>
  <c r="K90" i="3"/>
  <c r="K247" i="3"/>
  <c r="K194" i="3"/>
  <c r="K319" i="3"/>
  <c r="U319" i="3" s="1"/>
  <c r="K18" i="3"/>
  <c r="K66" i="3"/>
  <c r="K162" i="3"/>
  <c r="K50" i="3"/>
  <c r="K8" i="3"/>
  <c r="K17" i="3"/>
  <c r="K61" i="3"/>
  <c r="K56" i="3"/>
  <c r="K160" i="3"/>
  <c r="K19" i="3"/>
  <c r="K51" i="3"/>
  <c r="K111" i="3"/>
  <c r="K191" i="3"/>
  <c r="K92" i="3"/>
  <c r="K213" i="3"/>
  <c r="K242" i="3"/>
  <c r="K274" i="3"/>
  <c r="K306" i="3"/>
  <c r="K338" i="3"/>
  <c r="K354" i="3"/>
  <c r="K22" i="3"/>
  <c r="K54" i="3"/>
  <c r="K86" i="3"/>
  <c r="K118" i="3"/>
  <c r="K150" i="3"/>
  <c r="K182" i="3"/>
  <c r="K214" i="3"/>
  <c r="K243" i="3"/>
  <c r="K275" i="3"/>
  <c r="K307" i="3"/>
  <c r="K339" i="3"/>
  <c r="K2" i="3"/>
  <c r="K222" i="3"/>
  <c r="K254" i="3"/>
  <c r="K286" i="3"/>
  <c r="K318" i="3"/>
  <c r="K344" i="3"/>
  <c r="U344" i="3" s="1"/>
  <c r="V344" i="3" s="1"/>
  <c r="K353" i="3"/>
  <c r="K9" i="3"/>
  <c r="K21" i="3"/>
  <c r="K29" i="3"/>
  <c r="K49" i="3"/>
  <c r="K57" i="3"/>
  <c r="K40" i="3"/>
  <c r="K76" i="3"/>
  <c r="K124" i="3"/>
  <c r="K47" i="3"/>
  <c r="K67" i="3"/>
  <c r="U67" i="3" s="1"/>
  <c r="K75" i="3"/>
  <c r="K107" i="3"/>
  <c r="K143" i="3"/>
  <c r="K195" i="3"/>
  <c r="K203" i="3"/>
  <c r="K232" i="3"/>
  <c r="K239" i="3"/>
  <c r="K58" i="3"/>
  <c r="K122" i="3"/>
  <c r="K186" i="3"/>
  <c r="K311" i="3"/>
  <c r="U311" i="3" s="1"/>
  <c r="K255" i="3"/>
  <c r="K146" i="3"/>
  <c r="U146" i="3" s="1"/>
  <c r="V146" i="3" s="1"/>
  <c r="K34" i="3"/>
  <c r="K130" i="3"/>
  <c r="K178" i="3"/>
  <c r="K13" i="3"/>
  <c r="K45" i="3"/>
  <c r="K28" i="3"/>
  <c r="K96" i="3"/>
  <c r="K24" i="3"/>
  <c r="K44" i="3"/>
  <c r="K112" i="3"/>
  <c r="K184" i="3"/>
  <c r="K11" i="3"/>
  <c r="K71" i="3"/>
  <c r="K83" i="3"/>
  <c r="K119" i="3"/>
  <c r="K131" i="3"/>
  <c r="K151" i="3"/>
  <c r="K163" i="3"/>
  <c r="K175" i="3"/>
  <c r="K187" i="3"/>
  <c r="K199" i="3"/>
  <c r="K211" i="3"/>
  <c r="K48" i="3"/>
  <c r="K80" i="3"/>
  <c r="K53" i="3"/>
  <c r="K65" i="3"/>
  <c r="K73" i="3"/>
  <c r="K81" i="3"/>
  <c r="K89" i="3"/>
  <c r="K97" i="3"/>
  <c r="K105" i="3"/>
  <c r="K113" i="3"/>
  <c r="K121" i="3"/>
  <c r="K129" i="3"/>
  <c r="K137" i="3"/>
  <c r="K145" i="3"/>
  <c r="K153" i="3"/>
  <c r="K161" i="3"/>
  <c r="K169" i="3"/>
  <c r="K177" i="3"/>
  <c r="K185" i="3"/>
  <c r="K193" i="3"/>
  <c r="K120" i="3"/>
  <c r="K144" i="3"/>
  <c r="K168" i="3"/>
  <c r="K12" i="3"/>
  <c r="K88" i="3"/>
  <c r="K23" i="3"/>
  <c r="K39" i="3"/>
  <c r="K55" i="3"/>
  <c r="K79" i="3"/>
  <c r="U79" i="3" s="1"/>
  <c r="K91" i="3"/>
  <c r="K103" i="3"/>
  <c r="K115" i="3"/>
  <c r="K127" i="3"/>
  <c r="K139" i="3"/>
  <c r="K159" i="3"/>
  <c r="K171" i="3"/>
  <c r="K207" i="3"/>
  <c r="K228" i="3"/>
  <c r="K104" i="3"/>
  <c r="K152" i="3"/>
  <c r="K188" i="3"/>
  <c r="K89" i="1"/>
  <c r="L89" i="1" s="1"/>
  <c r="M89" i="1" s="1"/>
  <c r="T146" i="1"/>
  <c r="U146" i="1" s="1"/>
  <c r="S297" i="1"/>
  <c r="T297" i="1" s="1"/>
  <c r="U297" i="1" s="1"/>
  <c r="S293" i="1"/>
  <c r="T293" i="1" s="1"/>
  <c r="U293" i="1" s="1"/>
  <c r="S289" i="1"/>
  <c r="T289" i="1" s="1"/>
  <c r="U289" i="1" s="1"/>
  <c r="S285" i="1"/>
  <c r="T285" i="1" s="1"/>
  <c r="U285" i="1" s="1"/>
  <c r="S281" i="1"/>
  <c r="T281" i="1" s="1"/>
  <c r="U281" i="1" s="1"/>
  <c r="S277" i="1"/>
  <c r="T277" i="1" s="1"/>
  <c r="U277" i="1" s="1"/>
  <c r="S273" i="1"/>
  <c r="T273" i="1" s="1"/>
  <c r="U273" i="1" s="1"/>
  <c r="S269" i="1"/>
  <c r="T269" i="1" s="1"/>
  <c r="U269" i="1" s="1"/>
  <c r="S265" i="1"/>
  <c r="T265" i="1" s="1"/>
  <c r="U265" i="1" s="1"/>
  <c r="S261" i="1"/>
  <c r="T261" i="1" s="1"/>
  <c r="U261" i="1" s="1"/>
  <c r="S257" i="1"/>
  <c r="T257" i="1" s="1"/>
  <c r="U257" i="1" s="1"/>
  <c r="S253" i="1"/>
  <c r="T253" i="1" s="1"/>
  <c r="U253" i="1" s="1"/>
  <c r="S249" i="1"/>
  <c r="T249" i="1" s="1"/>
  <c r="U249" i="1" s="1"/>
  <c r="S245" i="1"/>
  <c r="T245" i="1" s="1"/>
  <c r="U245" i="1" s="1"/>
  <c r="S241" i="1"/>
  <c r="T241" i="1" s="1"/>
  <c r="U241" i="1" s="1"/>
  <c r="S237" i="1"/>
  <c r="T237" i="1" s="1"/>
  <c r="U237" i="1" s="1"/>
  <c r="S233" i="1"/>
  <c r="T233" i="1" s="1"/>
  <c r="U233" i="1" s="1"/>
  <c r="S229" i="1"/>
  <c r="T229" i="1" s="1"/>
  <c r="U229" i="1" s="1"/>
  <c r="S225" i="1"/>
  <c r="T225" i="1" s="1"/>
  <c r="U225" i="1" s="1"/>
  <c r="S221" i="1"/>
  <c r="T221" i="1" s="1"/>
  <c r="U221" i="1" s="1"/>
  <c r="S217" i="1"/>
  <c r="T217" i="1" s="1"/>
  <c r="U217" i="1" s="1"/>
  <c r="S213" i="1"/>
  <c r="T213" i="1" s="1"/>
  <c r="U213" i="1" s="1"/>
  <c r="S209" i="1"/>
  <c r="T209" i="1" s="1"/>
  <c r="U209" i="1" s="1"/>
  <c r="S205" i="1"/>
  <c r="T205" i="1" s="1"/>
  <c r="U205" i="1" s="1"/>
  <c r="S201" i="1"/>
  <c r="T201" i="1" s="1"/>
  <c r="U201" i="1" s="1"/>
  <c r="S197" i="1"/>
  <c r="T197" i="1" s="1"/>
  <c r="U197" i="1" s="1"/>
  <c r="S193" i="1"/>
  <c r="S189" i="1"/>
  <c r="T189" i="1" s="1"/>
  <c r="U189" i="1" s="1"/>
  <c r="S185" i="1"/>
  <c r="T185" i="1" s="1"/>
  <c r="U185" i="1" s="1"/>
  <c r="S181" i="1"/>
  <c r="T181" i="1" s="1"/>
  <c r="U181" i="1" s="1"/>
  <c r="T202" i="1"/>
  <c r="U202" i="1" s="1"/>
  <c r="S165" i="1"/>
  <c r="S161" i="1"/>
  <c r="T161" i="1" s="1"/>
  <c r="U161" i="1" s="1"/>
  <c r="S149" i="1"/>
  <c r="T149" i="1" s="1"/>
  <c r="U149" i="1" s="1"/>
  <c r="S133" i="1"/>
  <c r="T133" i="1" s="1"/>
  <c r="U133" i="1" s="1"/>
  <c r="S129" i="1"/>
  <c r="S290" i="1"/>
  <c r="T290" i="1" s="1"/>
  <c r="U290" i="1" s="1"/>
  <c r="S274" i="1"/>
  <c r="T274" i="1" s="1"/>
  <c r="U274" i="1" s="1"/>
  <c r="S242" i="1"/>
  <c r="T242" i="1" s="1"/>
  <c r="U242" i="1" s="1"/>
  <c r="S226" i="1"/>
  <c r="S216" i="1"/>
  <c r="T216" i="1" s="1"/>
  <c r="U216" i="1" s="1"/>
  <c r="S212" i="1"/>
  <c r="S208" i="1"/>
  <c r="T208" i="1" s="1"/>
  <c r="U208" i="1" s="1"/>
  <c r="S204" i="1"/>
  <c r="T204" i="1" s="1"/>
  <c r="U204" i="1" s="1"/>
  <c r="S196" i="1"/>
  <c r="T196" i="1" s="1"/>
  <c r="U196" i="1" s="1"/>
  <c r="S192" i="1"/>
  <c r="T192" i="1" s="1"/>
  <c r="U192" i="1" s="1"/>
  <c r="S188" i="1"/>
  <c r="T188" i="1" s="1"/>
  <c r="U188" i="1" s="1"/>
  <c r="S184" i="1"/>
  <c r="T184" i="1" s="1"/>
  <c r="U184" i="1" s="1"/>
  <c r="S180" i="1"/>
  <c r="T180" i="1" s="1"/>
  <c r="U180" i="1" s="1"/>
  <c r="S176" i="1"/>
  <c r="T176" i="1" s="1"/>
  <c r="U176" i="1" s="1"/>
  <c r="S172" i="1"/>
  <c r="S168" i="1"/>
  <c r="S164" i="1"/>
  <c r="T164" i="1" s="1"/>
  <c r="U164" i="1" s="1"/>
  <c r="S160" i="1"/>
  <c r="S156" i="1"/>
  <c r="S152" i="1"/>
  <c r="S148" i="1"/>
  <c r="T148" i="1" s="1"/>
  <c r="U148" i="1" s="1"/>
  <c r="S144" i="1"/>
  <c r="T144" i="1" s="1"/>
  <c r="U144" i="1" s="1"/>
  <c r="S140" i="1"/>
  <c r="T140" i="1" s="1"/>
  <c r="U140" i="1" s="1"/>
  <c r="S136" i="1"/>
  <c r="T136" i="1" s="1"/>
  <c r="U136" i="1" s="1"/>
  <c r="S128" i="1"/>
  <c r="T128" i="1" s="1"/>
  <c r="U128" i="1" s="1"/>
  <c r="T345" i="1"/>
  <c r="U345" i="1" s="1"/>
  <c r="T101" i="1"/>
  <c r="U101" i="1" s="1"/>
  <c r="S351" i="1"/>
  <c r="T351" i="1" s="1"/>
  <c r="U351" i="1" s="1"/>
  <c r="S343" i="1"/>
  <c r="T343" i="1" s="1"/>
  <c r="U343" i="1" s="1"/>
  <c r="S339" i="1"/>
  <c r="T339" i="1" s="1"/>
  <c r="U339" i="1" s="1"/>
  <c r="S335" i="1"/>
  <c r="T335" i="1" s="1"/>
  <c r="U335" i="1" s="1"/>
  <c r="S331" i="1"/>
  <c r="T331" i="1" s="1"/>
  <c r="U331" i="1" s="1"/>
  <c r="S327" i="1"/>
  <c r="T327" i="1" s="1"/>
  <c r="U327" i="1" s="1"/>
  <c r="S323" i="1"/>
  <c r="T323" i="1" s="1"/>
  <c r="U323" i="1" s="1"/>
  <c r="S319" i="1"/>
  <c r="T319" i="1" s="1"/>
  <c r="U319" i="1" s="1"/>
  <c r="S315" i="1"/>
  <c r="T315" i="1" s="1"/>
  <c r="U315" i="1" s="1"/>
  <c r="S311" i="1"/>
  <c r="T311" i="1" s="1"/>
  <c r="U311" i="1" s="1"/>
  <c r="S307" i="1"/>
  <c r="T307" i="1" s="1"/>
  <c r="U307" i="1" s="1"/>
  <c r="S303" i="1"/>
  <c r="T303" i="1" s="1"/>
  <c r="U303" i="1" s="1"/>
  <c r="S299" i="1"/>
  <c r="T299" i="1" s="1"/>
  <c r="U299" i="1" s="1"/>
  <c r="S295" i="1"/>
  <c r="T295" i="1" s="1"/>
  <c r="U295" i="1" s="1"/>
  <c r="S287" i="1"/>
  <c r="T287" i="1" s="1"/>
  <c r="U287" i="1" s="1"/>
  <c r="S283" i="1"/>
  <c r="T283" i="1" s="1"/>
  <c r="U283" i="1" s="1"/>
  <c r="S279" i="1"/>
  <c r="T279" i="1" s="1"/>
  <c r="U279" i="1" s="1"/>
  <c r="S275" i="1"/>
  <c r="T275" i="1" s="1"/>
  <c r="U275" i="1" s="1"/>
  <c r="S271" i="1"/>
  <c r="T271" i="1" s="1"/>
  <c r="U271" i="1" s="1"/>
  <c r="S267" i="1"/>
  <c r="T267" i="1" s="1"/>
  <c r="U267" i="1" s="1"/>
  <c r="S263" i="1"/>
  <c r="T263" i="1" s="1"/>
  <c r="U263" i="1" s="1"/>
  <c r="S259" i="1"/>
  <c r="T259" i="1" s="1"/>
  <c r="U259" i="1" s="1"/>
  <c r="S255" i="1"/>
  <c r="T255" i="1" s="1"/>
  <c r="U255" i="1" s="1"/>
  <c r="S251" i="1"/>
  <c r="T251" i="1" s="1"/>
  <c r="U251" i="1" s="1"/>
  <c r="S247" i="1"/>
  <c r="T247" i="1" s="1"/>
  <c r="U247" i="1" s="1"/>
  <c r="S243" i="1"/>
  <c r="T243" i="1" s="1"/>
  <c r="U243" i="1" s="1"/>
  <c r="S239" i="1"/>
  <c r="T239" i="1" s="1"/>
  <c r="U239" i="1" s="1"/>
  <c r="S235" i="1"/>
  <c r="T235" i="1" s="1"/>
  <c r="U235" i="1" s="1"/>
  <c r="S231" i="1"/>
  <c r="T231" i="1" s="1"/>
  <c r="U231" i="1" s="1"/>
  <c r="S227" i="1"/>
  <c r="S223" i="1"/>
  <c r="T223" i="1" s="1"/>
  <c r="U223" i="1" s="1"/>
  <c r="S219" i="1"/>
  <c r="T219" i="1" s="1"/>
  <c r="U219" i="1" s="1"/>
  <c r="S215" i="1"/>
  <c r="T215" i="1" s="1"/>
  <c r="U215" i="1" s="1"/>
  <c r="S211" i="1"/>
  <c r="T211" i="1" s="1"/>
  <c r="U211" i="1" s="1"/>
  <c r="S207" i="1"/>
  <c r="T207" i="1" s="1"/>
  <c r="U207" i="1" s="1"/>
  <c r="S203" i="1"/>
  <c r="T203" i="1" s="1"/>
  <c r="U203" i="1" s="1"/>
  <c r="S199" i="1"/>
  <c r="T199" i="1" s="1"/>
  <c r="U199" i="1" s="1"/>
  <c r="S195" i="1"/>
  <c r="T195" i="1" s="1"/>
  <c r="U195" i="1" s="1"/>
  <c r="S191" i="1"/>
  <c r="T191" i="1" s="1"/>
  <c r="U191" i="1" s="1"/>
  <c r="S187" i="1"/>
  <c r="T187" i="1" s="1"/>
  <c r="U187" i="1" s="1"/>
  <c r="S183" i="1"/>
  <c r="S175" i="1"/>
  <c r="T175" i="1" s="1"/>
  <c r="U175" i="1" s="1"/>
  <c r="S171" i="1"/>
  <c r="S167" i="1"/>
  <c r="S163" i="1"/>
  <c r="S159" i="1"/>
  <c r="S155" i="1"/>
  <c r="T155" i="1" s="1"/>
  <c r="U155" i="1" s="1"/>
  <c r="S151" i="1"/>
  <c r="T151" i="1" s="1"/>
  <c r="U151" i="1" s="1"/>
  <c r="S147" i="1"/>
  <c r="T147" i="1" s="1"/>
  <c r="U147" i="1" s="1"/>
  <c r="S143" i="1"/>
  <c r="T143" i="1" s="1"/>
  <c r="U143" i="1" s="1"/>
  <c r="S139" i="1"/>
  <c r="T139" i="1" s="1"/>
  <c r="U139" i="1" s="1"/>
  <c r="S135" i="1"/>
  <c r="S131" i="1"/>
  <c r="T131" i="1" s="1"/>
  <c r="U131" i="1" s="1"/>
  <c r="S127" i="1"/>
  <c r="T127" i="1" s="1"/>
  <c r="U127" i="1" s="1"/>
  <c r="S258" i="1"/>
  <c r="T258" i="1" s="1"/>
  <c r="U258" i="1" s="1"/>
  <c r="S322" i="1"/>
  <c r="T322" i="1" s="1"/>
  <c r="U322" i="1" s="1"/>
  <c r="S177" i="1"/>
  <c r="T177" i="1" s="1"/>
  <c r="U177" i="1" s="1"/>
  <c r="S145" i="1"/>
  <c r="T145" i="1" s="1"/>
  <c r="U145" i="1" s="1"/>
  <c r="S354" i="1"/>
  <c r="T354" i="1" s="1"/>
  <c r="U354" i="1" s="1"/>
  <c r="S338" i="1"/>
  <c r="S306" i="1"/>
  <c r="T227" i="1"/>
  <c r="U227" i="1" s="1"/>
  <c r="S350" i="1"/>
  <c r="T350" i="1" s="1"/>
  <c r="U350" i="1" s="1"/>
  <c r="S342" i="1"/>
  <c r="T342" i="1" s="1"/>
  <c r="U342" i="1" s="1"/>
  <c r="S334" i="1"/>
  <c r="T334" i="1" s="1"/>
  <c r="U334" i="1" s="1"/>
  <c r="S330" i="1"/>
  <c r="T330" i="1" s="1"/>
  <c r="U330" i="1" s="1"/>
  <c r="S326" i="1"/>
  <c r="T326" i="1" s="1"/>
  <c r="U326" i="1" s="1"/>
  <c r="S314" i="1"/>
  <c r="T314" i="1" s="1"/>
  <c r="U314" i="1" s="1"/>
  <c r="T310" i="1"/>
  <c r="U310" i="1" s="1"/>
  <c r="S302" i="1"/>
  <c r="T302" i="1" s="1"/>
  <c r="U302" i="1" s="1"/>
  <c r="S294" i="1"/>
  <c r="T294" i="1" s="1"/>
  <c r="U294" i="1" s="1"/>
  <c r="S286" i="1"/>
  <c r="T286" i="1" s="1"/>
  <c r="U286" i="1" s="1"/>
  <c r="S282" i="1"/>
  <c r="T282" i="1" s="1"/>
  <c r="U282" i="1" s="1"/>
  <c r="S278" i="1"/>
  <c r="T278" i="1" s="1"/>
  <c r="U278" i="1" s="1"/>
  <c r="S270" i="1"/>
  <c r="T270" i="1" s="1"/>
  <c r="U270" i="1" s="1"/>
  <c r="S266" i="1"/>
  <c r="T266" i="1" s="1"/>
  <c r="U266" i="1" s="1"/>
  <c r="S262" i="1"/>
  <c r="T262" i="1" s="1"/>
  <c r="U262" i="1" s="1"/>
  <c r="S254" i="1"/>
  <c r="T254" i="1" s="1"/>
  <c r="U254" i="1" s="1"/>
  <c r="S250" i="1"/>
  <c r="T250" i="1" s="1"/>
  <c r="U250" i="1" s="1"/>
  <c r="S246" i="1"/>
  <c r="T246" i="1" s="1"/>
  <c r="U246" i="1" s="1"/>
  <c r="S238" i="1"/>
  <c r="S234" i="1"/>
  <c r="T234" i="1" s="1"/>
  <c r="U234" i="1" s="1"/>
  <c r="S230" i="1"/>
  <c r="S222" i="1"/>
  <c r="T222" i="1" s="1"/>
  <c r="U222" i="1" s="1"/>
  <c r="S218" i="1"/>
  <c r="T218" i="1" s="1"/>
  <c r="U218" i="1" s="1"/>
  <c r="S214" i="1"/>
  <c r="T214" i="1" s="1"/>
  <c r="U214" i="1" s="1"/>
  <c r="S210" i="1"/>
  <c r="T210" i="1" s="1"/>
  <c r="U210" i="1" s="1"/>
  <c r="S206" i="1"/>
  <c r="T206" i="1" s="1"/>
  <c r="U206" i="1" s="1"/>
  <c r="S198" i="1"/>
  <c r="T198" i="1" s="1"/>
  <c r="U198" i="1" s="1"/>
  <c r="S194" i="1"/>
  <c r="T194" i="1" s="1"/>
  <c r="U194" i="1" s="1"/>
  <c r="S190" i="1"/>
  <c r="T190" i="1" s="1"/>
  <c r="U190" i="1" s="1"/>
  <c r="S186" i="1"/>
  <c r="T186" i="1" s="1"/>
  <c r="U186" i="1" s="1"/>
  <c r="S182" i="1"/>
  <c r="T182" i="1" s="1"/>
  <c r="U182" i="1" s="1"/>
  <c r="S353" i="1"/>
  <c r="T353" i="1" s="1"/>
  <c r="U353" i="1" s="1"/>
  <c r="S349" i="1"/>
  <c r="T349" i="1" s="1"/>
  <c r="U349" i="1" s="1"/>
  <c r="S341" i="1"/>
  <c r="T341" i="1" s="1"/>
  <c r="U341" i="1" s="1"/>
  <c r="S337" i="1"/>
  <c r="S333" i="1"/>
  <c r="T333" i="1" s="1"/>
  <c r="U333" i="1" s="1"/>
  <c r="S329" i="1"/>
  <c r="T329" i="1" s="1"/>
  <c r="U329" i="1" s="1"/>
  <c r="S325" i="1"/>
  <c r="T325" i="1" s="1"/>
  <c r="U325" i="1" s="1"/>
  <c r="S321" i="1"/>
  <c r="T321" i="1" s="1"/>
  <c r="U321" i="1" s="1"/>
  <c r="S313" i="1"/>
  <c r="T313" i="1" s="1"/>
  <c r="U313" i="1" s="1"/>
  <c r="S309" i="1"/>
  <c r="T309" i="1" s="1"/>
  <c r="U309" i="1" s="1"/>
  <c r="S305" i="1"/>
  <c r="S301" i="1"/>
  <c r="T301" i="1" s="1"/>
  <c r="U301" i="1" s="1"/>
  <c r="S173" i="1"/>
  <c r="T173" i="1" s="1"/>
  <c r="U173" i="1" s="1"/>
  <c r="S169" i="1"/>
  <c r="T169" i="1" s="1"/>
  <c r="U169" i="1" s="1"/>
  <c r="S157" i="1"/>
  <c r="S153" i="1"/>
  <c r="T153" i="1" s="1"/>
  <c r="U153" i="1" s="1"/>
  <c r="S141" i="1"/>
  <c r="T141" i="1" s="1"/>
  <c r="U141" i="1" s="1"/>
  <c r="S137" i="1"/>
  <c r="T137" i="1" s="1"/>
  <c r="U137" i="1" s="1"/>
  <c r="S113" i="1"/>
  <c r="T113" i="1" s="1"/>
  <c r="U113" i="1" s="1"/>
  <c r="S109" i="1"/>
  <c r="T109" i="1" s="1"/>
  <c r="U109" i="1" s="1"/>
  <c r="S105" i="1"/>
  <c r="S97" i="1"/>
  <c r="T97" i="1" s="1"/>
  <c r="U97" i="1" s="1"/>
  <c r="S93" i="1"/>
  <c r="T93" i="1" s="1"/>
  <c r="U93" i="1" s="1"/>
  <c r="S89" i="1"/>
  <c r="T89" i="1" s="1"/>
  <c r="U89" i="1" s="1"/>
  <c r="S85" i="1"/>
  <c r="T85" i="1" s="1"/>
  <c r="U85" i="1" s="1"/>
  <c r="S81" i="1"/>
  <c r="T81" i="1" s="1"/>
  <c r="U81" i="1" s="1"/>
  <c r="S77" i="1"/>
  <c r="T77" i="1" s="1"/>
  <c r="U77" i="1" s="1"/>
  <c r="S73" i="1"/>
  <c r="T73" i="1" s="1"/>
  <c r="U73" i="1" s="1"/>
  <c r="S69" i="1"/>
  <c r="T69" i="1" s="1"/>
  <c r="U69" i="1" s="1"/>
  <c r="S65" i="1"/>
  <c r="T65" i="1" s="1"/>
  <c r="U65" i="1" s="1"/>
  <c r="S61" i="1"/>
  <c r="T61" i="1" s="1"/>
  <c r="U61" i="1" s="1"/>
  <c r="S57" i="1"/>
  <c r="T57" i="1" s="1"/>
  <c r="U57" i="1" s="1"/>
  <c r="S53" i="1"/>
  <c r="T53" i="1" s="1"/>
  <c r="U53" i="1" s="1"/>
  <c r="S49" i="1"/>
  <c r="T49" i="1" s="1"/>
  <c r="U49" i="1" s="1"/>
  <c r="S45" i="1"/>
  <c r="T45" i="1" s="1"/>
  <c r="U45" i="1" s="1"/>
  <c r="S41" i="1"/>
  <c r="T41" i="1" s="1"/>
  <c r="U41" i="1" s="1"/>
  <c r="S37" i="1"/>
  <c r="T37" i="1" s="1"/>
  <c r="U37" i="1" s="1"/>
  <c r="S33" i="1"/>
  <c r="T33" i="1" s="1"/>
  <c r="U33" i="1" s="1"/>
  <c r="S29" i="1"/>
  <c r="T29" i="1" s="1"/>
  <c r="U29" i="1" s="1"/>
  <c r="S25" i="1"/>
  <c r="T25" i="1" s="1"/>
  <c r="U25" i="1" s="1"/>
  <c r="S21" i="1"/>
  <c r="S17" i="1"/>
  <c r="S13" i="1"/>
  <c r="T13" i="1" s="1"/>
  <c r="U13" i="1" s="1"/>
  <c r="S5" i="1"/>
  <c r="T5" i="1" s="1"/>
  <c r="U5" i="1" s="1"/>
  <c r="S102" i="1"/>
  <c r="T102" i="1" s="1"/>
  <c r="U102" i="1" s="1"/>
  <c r="S86" i="1"/>
  <c r="T86" i="1" s="1"/>
  <c r="U86" i="1" s="1"/>
  <c r="S70" i="1"/>
  <c r="T70" i="1" s="1"/>
  <c r="U70" i="1" s="1"/>
  <c r="S54" i="1"/>
  <c r="T54" i="1" s="1"/>
  <c r="U54" i="1" s="1"/>
  <c r="S38" i="1"/>
  <c r="T38" i="1" s="1"/>
  <c r="U38" i="1" s="1"/>
  <c r="S22" i="1"/>
  <c r="T22" i="1" s="1"/>
  <c r="U22" i="1" s="1"/>
  <c r="S6" i="1"/>
  <c r="T6" i="1" s="1"/>
  <c r="U6" i="1" s="1"/>
  <c r="T337" i="1"/>
  <c r="U337" i="1" s="1"/>
  <c r="S352" i="1"/>
  <c r="T352" i="1" s="1"/>
  <c r="U352" i="1" s="1"/>
  <c r="S340" i="1"/>
  <c r="T340" i="1" s="1"/>
  <c r="U340" i="1" s="1"/>
  <c r="S336" i="1"/>
  <c r="T336" i="1" s="1"/>
  <c r="U336" i="1" s="1"/>
  <c r="S332" i="1"/>
  <c r="T332" i="1" s="1"/>
  <c r="U332" i="1" s="1"/>
  <c r="S328" i="1"/>
  <c r="T328" i="1" s="1"/>
  <c r="U328" i="1" s="1"/>
  <c r="S324" i="1"/>
  <c r="T324" i="1" s="1"/>
  <c r="U324" i="1" s="1"/>
  <c r="S320" i="1"/>
  <c r="T320" i="1" s="1"/>
  <c r="U320" i="1" s="1"/>
  <c r="S312" i="1"/>
  <c r="S308" i="1"/>
  <c r="S304" i="1"/>
  <c r="T304" i="1" s="1"/>
  <c r="U304" i="1" s="1"/>
  <c r="S300" i="1"/>
  <c r="T300" i="1" s="1"/>
  <c r="U300" i="1" s="1"/>
  <c r="S124" i="1"/>
  <c r="T124" i="1" s="1"/>
  <c r="U124" i="1" s="1"/>
  <c r="T346" i="1"/>
  <c r="U346" i="1" s="1"/>
  <c r="S179" i="1"/>
  <c r="T179" i="1" s="1"/>
  <c r="U179" i="1" s="1"/>
  <c r="S178" i="1"/>
  <c r="T178" i="1" s="1"/>
  <c r="U178" i="1" s="1"/>
  <c r="S174" i="1"/>
  <c r="T174" i="1" s="1"/>
  <c r="U174" i="1" s="1"/>
  <c r="S170" i="1"/>
  <c r="T170" i="1" s="1"/>
  <c r="U170" i="1" s="1"/>
  <c r="S166" i="1"/>
  <c r="T166" i="1" s="1"/>
  <c r="U166" i="1" s="1"/>
  <c r="S162" i="1"/>
  <c r="T162" i="1" s="1"/>
  <c r="U162" i="1" s="1"/>
  <c r="S158" i="1"/>
  <c r="T158" i="1" s="1"/>
  <c r="U158" i="1" s="1"/>
  <c r="S154" i="1"/>
  <c r="T154" i="1" s="1"/>
  <c r="U154" i="1" s="1"/>
  <c r="S150" i="1"/>
  <c r="T150" i="1" s="1"/>
  <c r="U150" i="1" s="1"/>
  <c r="S142" i="1"/>
  <c r="T142" i="1" s="1"/>
  <c r="U142" i="1" s="1"/>
  <c r="S138" i="1"/>
  <c r="T138" i="1" s="1"/>
  <c r="U138" i="1" s="1"/>
  <c r="S134" i="1"/>
  <c r="T134" i="1" s="1"/>
  <c r="U134" i="1" s="1"/>
  <c r="S130" i="1"/>
  <c r="T130" i="1" s="1"/>
  <c r="U130" i="1" s="1"/>
  <c r="S126" i="1"/>
  <c r="T126" i="1" s="1"/>
  <c r="U126" i="1" s="1"/>
  <c r="S114" i="1"/>
  <c r="T114" i="1" s="1"/>
  <c r="U114" i="1" s="1"/>
  <c r="S110" i="1"/>
  <c r="T110" i="1" s="1"/>
  <c r="U110" i="1" s="1"/>
  <c r="S106" i="1"/>
  <c r="T106" i="1" s="1"/>
  <c r="U106" i="1" s="1"/>
  <c r="S98" i="1"/>
  <c r="T98" i="1" s="1"/>
  <c r="U98" i="1" s="1"/>
  <c r="S94" i="1"/>
  <c r="T94" i="1" s="1"/>
  <c r="U94" i="1" s="1"/>
  <c r="S90" i="1"/>
  <c r="T90" i="1" s="1"/>
  <c r="U90" i="1" s="1"/>
  <c r="S82" i="1"/>
  <c r="T82" i="1" s="1"/>
  <c r="U82" i="1" s="1"/>
  <c r="S78" i="1"/>
  <c r="T78" i="1" s="1"/>
  <c r="U78" i="1" s="1"/>
  <c r="S74" i="1"/>
  <c r="T74" i="1" s="1"/>
  <c r="U74" i="1" s="1"/>
  <c r="S66" i="1"/>
  <c r="T66" i="1" s="1"/>
  <c r="U66" i="1" s="1"/>
  <c r="S62" i="1"/>
  <c r="T62" i="1" s="1"/>
  <c r="U62" i="1" s="1"/>
  <c r="S58" i="1"/>
  <c r="T58" i="1" s="1"/>
  <c r="U58" i="1" s="1"/>
  <c r="S50" i="1"/>
  <c r="T50" i="1" s="1"/>
  <c r="U50" i="1" s="1"/>
  <c r="S46" i="1"/>
  <c r="T46" i="1" s="1"/>
  <c r="U46" i="1" s="1"/>
  <c r="S42" i="1"/>
  <c r="T42" i="1" s="1"/>
  <c r="U42" i="1" s="1"/>
  <c r="S34" i="1"/>
  <c r="T34" i="1" s="1"/>
  <c r="U34" i="1" s="1"/>
  <c r="S30" i="1"/>
  <c r="T30" i="1" s="1"/>
  <c r="U30" i="1" s="1"/>
  <c r="S26" i="1"/>
  <c r="T26" i="1" s="1"/>
  <c r="U26" i="1" s="1"/>
  <c r="S18" i="1"/>
  <c r="T18" i="1" s="1"/>
  <c r="U18" i="1" s="1"/>
  <c r="S14" i="1"/>
  <c r="T14" i="1" s="1"/>
  <c r="U14" i="1" s="1"/>
  <c r="S10" i="1"/>
  <c r="T10" i="1" s="1"/>
  <c r="U10" i="1" s="1"/>
  <c r="S291" i="1"/>
  <c r="T291" i="1" s="1"/>
  <c r="U291" i="1" s="1"/>
  <c r="T347" i="1"/>
  <c r="U347" i="1" s="1"/>
  <c r="S296" i="1"/>
  <c r="T296" i="1" s="1"/>
  <c r="U296" i="1" s="1"/>
  <c r="S292" i="1"/>
  <c r="T292" i="1" s="1"/>
  <c r="U292" i="1" s="1"/>
  <c r="S288" i="1"/>
  <c r="T288" i="1" s="1"/>
  <c r="U288" i="1" s="1"/>
  <c r="S284" i="1"/>
  <c r="T284" i="1" s="1"/>
  <c r="U284" i="1" s="1"/>
  <c r="S280" i="1"/>
  <c r="T280" i="1" s="1"/>
  <c r="U280" i="1" s="1"/>
  <c r="S276" i="1"/>
  <c r="T276" i="1" s="1"/>
  <c r="U276" i="1" s="1"/>
  <c r="S272" i="1"/>
  <c r="T272" i="1" s="1"/>
  <c r="U272" i="1" s="1"/>
  <c r="S268" i="1"/>
  <c r="T268" i="1" s="1"/>
  <c r="U268" i="1" s="1"/>
  <c r="S264" i="1"/>
  <c r="S260" i="1"/>
  <c r="T260" i="1" s="1"/>
  <c r="U260" i="1" s="1"/>
  <c r="S256" i="1"/>
  <c r="T256" i="1" s="1"/>
  <c r="U256" i="1" s="1"/>
  <c r="S252" i="1"/>
  <c r="T252" i="1" s="1"/>
  <c r="U252" i="1" s="1"/>
  <c r="S248" i="1"/>
  <c r="T248" i="1" s="1"/>
  <c r="U248" i="1" s="1"/>
  <c r="S244" i="1"/>
  <c r="T244" i="1" s="1"/>
  <c r="U244" i="1" s="1"/>
  <c r="S240" i="1"/>
  <c r="T240" i="1" s="1"/>
  <c r="U240" i="1" s="1"/>
  <c r="S236" i="1"/>
  <c r="S232" i="1"/>
  <c r="T232" i="1" s="1"/>
  <c r="U232" i="1" s="1"/>
  <c r="S228" i="1"/>
  <c r="T228" i="1" s="1"/>
  <c r="U228" i="1" s="1"/>
  <c r="S224" i="1"/>
  <c r="T224" i="1" s="1"/>
  <c r="U224" i="1" s="1"/>
  <c r="S220" i="1"/>
  <c r="T220" i="1" s="1"/>
  <c r="U220" i="1" s="1"/>
  <c r="S116" i="1"/>
  <c r="T116" i="1" s="1"/>
  <c r="U116" i="1" s="1"/>
  <c r="S112" i="1"/>
  <c r="T112" i="1" s="1"/>
  <c r="U112" i="1" s="1"/>
  <c r="S108" i="1"/>
  <c r="T108" i="1" s="1"/>
  <c r="U108" i="1" s="1"/>
  <c r="S104" i="1"/>
  <c r="T104" i="1" s="1"/>
  <c r="U104" i="1" s="1"/>
  <c r="S100" i="1"/>
  <c r="T100" i="1" s="1"/>
  <c r="U100" i="1" s="1"/>
  <c r="S96" i="1"/>
  <c r="S92" i="1"/>
  <c r="T92" i="1" s="1"/>
  <c r="U92" i="1" s="1"/>
  <c r="S88" i="1"/>
  <c r="T88" i="1" s="1"/>
  <c r="U88" i="1" s="1"/>
  <c r="S84" i="1"/>
  <c r="T84" i="1" s="1"/>
  <c r="U84" i="1" s="1"/>
  <c r="S80" i="1"/>
  <c r="T80" i="1" s="1"/>
  <c r="U80" i="1" s="1"/>
  <c r="S76" i="1"/>
  <c r="T76" i="1" s="1"/>
  <c r="U76" i="1" s="1"/>
  <c r="S72" i="1"/>
  <c r="T72" i="1" s="1"/>
  <c r="U72" i="1" s="1"/>
  <c r="S68" i="1"/>
  <c r="S64" i="1"/>
  <c r="T64" i="1" s="1"/>
  <c r="U64" i="1" s="1"/>
  <c r="S60" i="1"/>
  <c r="T60" i="1" s="1"/>
  <c r="U60" i="1" s="1"/>
  <c r="S56" i="1"/>
  <c r="T56" i="1" s="1"/>
  <c r="U56" i="1" s="1"/>
  <c r="S52" i="1"/>
  <c r="T52" i="1" s="1"/>
  <c r="U52" i="1" s="1"/>
  <c r="S48" i="1"/>
  <c r="T48" i="1" s="1"/>
  <c r="U48" i="1" s="1"/>
  <c r="S44" i="1"/>
  <c r="T44" i="1" s="1"/>
  <c r="U44" i="1" s="1"/>
  <c r="S40" i="1"/>
  <c r="S36" i="1"/>
  <c r="T36" i="1" s="1"/>
  <c r="U36" i="1" s="1"/>
  <c r="S32" i="1"/>
  <c r="T32" i="1" s="1"/>
  <c r="U32" i="1" s="1"/>
  <c r="S28" i="1"/>
  <c r="T28" i="1" s="1"/>
  <c r="U28" i="1" s="1"/>
  <c r="S24" i="1"/>
  <c r="T24" i="1" s="1"/>
  <c r="U24" i="1" s="1"/>
  <c r="S20" i="1"/>
  <c r="T20" i="1" s="1"/>
  <c r="U20" i="1" s="1"/>
  <c r="S16" i="1"/>
  <c r="T16" i="1" s="1"/>
  <c r="U16" i="1" s="1"/>
  <c r="S12" i="1"/>
  <c r="T12" i="1" s="1"/>
  <c r="U12" i="1" s="1"/>
  <c r="S8" i="1"/>
  <c r="T8" i="1" s="1"/>
  <c r="U8" i="1" s="1"/>
  <c r="S4" i="1"/>
  <c r="T4" i="1" s="1"/>
  <c r="U4" i="1" s="1"/>
  <c r="T200" i="1"/>
  <c r="U200" i="1" s="1"/>
  <c r="T132" i="1"/>
  <c r="U132" i="1" s="1"/>
  <c r="S115" i="1"/>
  <c r="T115" i="1" s="1"/>
  <c r="U115" i="1" s="1"/>
  <c r="S111" i="1"/>
  <c r="T111" i="1" s="1"/>
  <c r="U111" i="1" s="1"/>
  <c r="S107" i="1"/>
  <c r="T107" i="1" s="1"/>
  <c r="U107" i="1" s="1"/>
  <c r="S103" i="1"/>
  <c r="T103" i="1" s="1"/>
  <c r="U103" i="1" s="1"/>
  <c r="S99" i="1"/>
  <c r="S95" i="1"/>
  <c r="T95" i="1" s="1"/>
  <c r="U95" i="1" s="1"/>
  <c r="S91" i="1"/>
  <c r="S87" i="1"/>
  <c r="S83" i="1"/>
  <c r="T83" i="1" s="1"/>
  <c r="U83" i="1" s="1"/>
  <c r="S79" i="1"/>
  <c r="T79" i="1" s="1"/>
  <c r="U79" i="1" s="1"/>
  <c r="S75" i="1"/>
  <c r="T75" i="1" s="1"/>
  <c r="U75" i="1" s="1"/>
  <c r="S71" i="1"/>
  <c r="T71" i="1" s="1"/>
  <c r="U71" i="1" s="1"/>
  <c r="S67" i="1"/>
  <c r="T67" i="1" s="1"/>
  <c r="U67" i="1" s="1"/>
  <c r="S63" i="1"/>
  <c r="S59" i="1"/>
  <c r="T59" i="1" s="1"/>
  <c r="U59" i="1" s="1"/>
  <c r="S55" i="1"/>
  <c r="T55" i="1" s="1"/>
  <c r="U55" i="1" s="1"/>
  <c r="S51" i="1"/>
  <c r="T51" i="1" s="1"/>
  <c r="U51" i="1" s="1"/>
  <c r="S47" i="1"/>
  <c r="T47" i="1" s="1"/>
  <c r="U47" i="1" s="1"/>
  <c r="S43" i="1"/>
  <c r="T43" i="1" s="1"/>
  <c r="U43" i="1" s="1"/>
  <c r="S39" i="1"/>
  <c r="S35" i="1"/>
  <c r="T35" i="1" s="1"/>
  <c r="U35" i="1" s="1"/>
  <c r="S31" i="1"/>
  <c r="T31" i="1" s="1"/>
  <c r="U31" i="1" s="1"/>
  <c r="S27" i="1"/>
  <c r="T27" i="1" s="1"/>
  <c r="U27" i="1" s="1"/>
  <c r="S23" i="1"/>
  <c r="S19" i="1"/>
  <c r="T19" i="1" s="1"/>
  <c r="U19" i="1" s="1"/>
  <c r="S15" i="1"/>
  <c r="T15" i="1" s="1"/>
  <c r="U15" i="1" s="1"/>
  <c r="S11" i="1"/>
  <c r="T11" i="1" s="1"/>
  <c r="U11" i="1" s="1"/>
  <c r="S7" i="1"/>
  <c r="T7" i="1" s="1"/>
  <c r="U7" i="1" s="1"/>
  <c r="S3" i="1"/>
  <c r="T3" i="1" s="1"/>
  <c r="U3" i="1" s="1"/>
  <c r="T348" i="1"/>
  <c r="U348" i="1" s="1"/>
  <c r="T344" i="1"/>
  <c r="U344" i="1" s="1"/>
  <c r="K328" i="1"/>
  <c r="L328" i="1" s="1"/>
  <c r="M328" i="1" s="1"/>
  <c r="K320" i="1"/>
  <c r="L320" i="1" s="1"/>
  <c r="M320" i="1" s="1"/>
  <c r="K215" i="1"/>
  <c r="L215" i="1" s="1"/>
  <c r="M215" i="1" s="1"/>
  <c r="K236" i="1"/>
  <c r="L236" i="1" s="1"/>
  <c r="M236" i="1" s="1"/>
  <c r="K75" i="1"/>
  <c r="L75" i="1" s="1"/>
  <c r="M75" i="1" s="1"/>
  <c r="K11" i="1"/>
  <c r="L11" i="1" s="1"/>
  <c r="M11" i="1" s="1"/>
  <c r="K186" i="1"/>
  <c r="L186" i="1" s="1"/>
  <c r="M186" i="1" s="1"/>
  <c r="K170" i="1"/>
  <c r="L170" i="1" s="1"/>
  <c r="M170" i="1" s="1"/>
  <c r="K154" i="1"/>
  <c r="L154" i="1" s="1"/>
  <c r="M154" i="1" s="1"/>
  <c r="K345" i="1"/>
  <c r="L345" i="1" s="1"/>
  <c r="M345" i="1" s="1"/>
  <c r="K144" i="1"/>
  <c r="L144" i="1" s="1"/>
  <c r="M144" i="1" s="1"/>
  <c r="K98" i="1"/>
  <c r="L98" i="1" s="1"/>
  <c r="M98" i="1" s="1"/>
  <c r="K66" i="1"/>
  <c r="L66" i="1" s="1"/>
  <c r="M66" i="1" s="1"/>
  <c r="K34" i="1"/>
  <c r="L34" i="1" s="1"/>
  <c r="M34" i="1" s="1"/>
  <c r="W306" i="3" l="1"/>
  <c r="W167" i="3"/>
  <c r="W172" i="3"/>
  <c r="W185" i="3"/>
  <c r="W198" i="3"/>
  <c r="W280" i="3"/>
  <c r="W270" i="3"/>
  <c r="W294" i="3"/>
  <c r="W80" i="3"/>
  <c r="W300" i="3"/>
  <c r="W279" i="3"/>
  <c r="W165" i="3"/>
  <c r="W24" i="3"/>
  <c r="W186" i="3"/>
  <c r="W240" i="3"/>
  <c r="W99" i="3"/>
  <c r="W107" i="3"/>
  <c r="W151" i="3"/>
  <c r="W194" i="3"/>
  <c r="W299" i="3"/>
  <c r="W269" i="3"/>
  <c r="W46" i="3"/>
  <c r="W72" i="3"/>
  <c r="W281" i="3"/>
  <c r="W286" i="3"/>
  <c r="W191" i="3"/>
  <c r="W220" i="3"/>
  <c r="W293" i="3"/>
  <c r="W7" i="3"/>
  <c r="W93" i="3"/>
  <c r="W44" i="3"/>
  <c r="W177" i="3"/>
  <c r="W295" i="3"/>
  <c r="W305" i="3"/>
  <c r="W296" i="3"/>
  <c r="W201" i="3"/>
  <c r="W192" i="3"/>
  <c r="W285" i="3"/>
  <c r="W183" i="3"/>
  <c r="W69" i="3"/>
  <c r="W26" i="3"/>
  <c r="W268" i="3"/>
  <c r="W236" i="3"/>
  <c r="W282" i="3"/>
  <c r="W159" i="3"/>
  <c r="W298" i="3"/>
  <c r="W97" i="3"/>
  <c r="W265" i="3"/>
  <c r="W196" i="3"/>
  <c r="W178" i="3"/>
  <c r="W272" i="3"/>
  <c r="W287" i="3"/>
  <c r="W317" i="3"/>
  <c r="W130" i="3"/>
  <c r="W264" i="3"/>
  <c r="W297" i="3"/>
  <c r="W233" i="3"/>
  <c r="W283" i="3"/>
  <c r="W64" i="3"/>
  <c r="W187" i="3"/>
  <c r="W277" i="3"/>
  <c r="W278" i="3"/>
  <c r="W195" i="3"/>
  <c r="W184" i="3"/>
  <c r="W318" i="3"/>
  <c r="W27" i="3"/>
  <c r="W23" i="3"/>
  <c r="W25" i="3"/>
  <c r="W304" i="3"/>
  <c r="W193" i="3"/>
  <c r="W271" i="3"/>
  <c r="W291" i="3"/>
  <c r="W266" i="3"/>
  <c r="W348" i="3"/>
  <c r="W345" i="3"/>
  <c r="W200" i="3"/>
  <c r="W101" i="3"/>
  <c r="W346" i="3"/>
  <c r="W132" i="3"/>
  <c r="W202" i="3"/>
  <c r="W146" i="3"/>
  <c r="W344" i="3"/>
  <c r="W263" i="3"/>
  <c r="W307" i="3"/>
  <c r="W303" i="3"/>
  <c r="W30" i="3"/>
  <c r="W274" i="3"/>
  <c r="W171" i="3"/>
  <c r="W168" i="3"/>
  <c r="W275" i="3"/>
  <c r="W96" i="3"/>
  <c r="W284" i="3"/>
  <c r="W347" i="3"/>
  <c r="W199" i="3"/>
  <c r="W197" i="3"/>
  <c r="W308" i="3"/>
  <c r="T95" i="3"/>
  <c r="S212" i="3"/>
  <c r="W212" i="3" s="1"/>
  <c r="S74" i="3"/>
  <c r="W74" i="3" s="1"/>
  <c r="S339" i="3"/>
  <c r="W339" i="3" s="1"/>
  <c r="S156" i="3"/>
  <c r="W156" i="3" s="1"/>
  <c r="S11" i="3"/>
  <c r="W11" i="3" s="1"/>
  <c r="S241" i="3"/>
  <c r="W241" i="3" s="1"/>
  <c r="S150" i="3"/>
  <c r="W150" i="3" s="1"/>
  <c r="S143" i="3"/>
  <c r="W143" i="3" s="1"/>
  <c r="S174" i="3"/>
  <c r="W174" i="3" s="1"/>
  <c r="S121" i="3"/>
  <c r="W121" i="3" s="1"/>
  <c r="S245" i="3"/>
  <c r="W245" i="3" s="1"/>
  <c r="S119" i="3"/>
  <c r="W119" i="3" s="1"/>
  <c r="S259" i="3"/>
  <c r="W259" i="3" s="1"/>
  <c r="S8" i="3"/>
  <c r="W8" i="3" s="1"/>
  <c r="S329" i="3"/>
  <c r="W329" i="3" s="1"/>
  <c r="S22" i="3"/>
  <c r="W22" i="3" s="1"/>
  <c r="S105" i="3"/>
  <c r="W105" i="3" s="1"/>
  <c r="S224" i="3"/>
  <c r="W224" i="3" s="1"/>
  <c r="S75" i="3"/>
  <c r="W75" i="3" s="1"/>
  <c r="S189" i="3"/>
  <c r="W189" i="3" s="1"/>
  <c r="S77" i="3"/>
  <c r="W77" i="3" s="1"/>
  <c r="S340" i="3"/>
  <c r="W340" i="3" s="1"/>
  <c r="S34" i="3"/>
  <c r="W34" i="3" s="1"/>
  <c r="S106" i="3"/>
  <c r="W106" i="3" s="1"/>
  <c r="S154" i="3"/>
  <c r="W154" i="3" s="1"/>
  <c r="S123" i="3"/>
  <c r="W123" i="3" s="1"/>
  <c r="S148" i="3"/>
  <c r="W148" i="3" s="1"/>
  <c r="S32" i="3"/>
  <c r="W32" i="3" s="1"/>
  <c r="S125" i="3"/>
  <c r="W125" i="3" s="1"/>
  <c r="S98" i="3"/>
  <c r="W98" i="3" s="1"/>
  <c r="S256" i="3"/>
  <c r="W256" i="3" s="1"/>
  <c r="S342" i="3"/>
  <c r="W342" i="3" s="1"/>
  <c r="S164" i="3"/>
  <c r="W164" i="3" s="1"/>
  <c r="S246" i="3"/>
  <c r="W246" i="3" s="1"/>
  <c r="S16" i="3"/>
  <c r="W16" i="3" s="1"/>
  <c r="S312" i="3"/>
  <c r="W312" i="3" s="1"/>
  <c r="S290" i="3"/>
  <c r="W290" i="3" s="1"/>
  <c r="S301" i="3"/>
  <c r="W301" i="3" s="1"/>
  <c r="S116" i="3"/>
  <c r="W116" i="3" s="1"/>
  <c r="S328" i="3"/>
  <c r="W328" i="3" s="1"/>
  <c r="S314" i="3"/>
  <c r="W314" i="3" s="1"/>
  <c r="S12" i="3"/>
  <c r="W12" i="3" s="1"/>
  <c r="S149" i="3"/>
  <c r="W149" i="3" s="1"/>
  <c r="S21" i="3"/>
  <c r="W21" i="3" s="1"/>
  <c r="S252" i="3"/>
  <c r="W252" i="3" s="1"/>
  <c r="S227" i="3"/>
  <c r="W227" i="3" s="1"/>
  <c r="S302" i="3"/>
  <c r="W302" i="3" s="1"/>
  <c r="S103" i="3"/>
  <c r="W103" i="3" s="1"/>
  <c r="S37" i="3"/>
  <c r="W37" i="3" s="1"/>
  <c r="S43" i="3"/>
  <c r="W43" i="3" s="1"/>
  <c r="S147" i="3"/>
  <c r="W147" i="3" s="1"/>
  <c r="S145" i="3"/>
  <c r="W145" i="3" s="1"/>
  <c r="S49" i="3"/>
  <c r="W49" i="3" s="1"/>
  <c r="S50" i="3"/>
  <c r="W50" i="3" s="1"/>
  <c r="S321" i="3"/>
  <c r="W321" i="3" s="1"/>
  <c r="S204" i="3"/>
  <c r="W204" i="3" s="1"/>
  <c r="S100" i="3"/>
  <c r="W100" i="3" s="1"/>
  <c r="S341" i="3"/>
  <c r="W341" i="3" s="1"/>
  <c r="S209" i="3"/>
  <c r="W209" i="3" s="1"/>
  <c r="S251" i="3"/>
  <c r="W251" i="3" s="1"/>
  <c r="S118" i="3"/>
  <c r="W118" i="3" s="1"/>
  <c r="S350" i="3"/>
  <c r="W350" i="3" s="1"/>
  <c r="S59" i="3"/>
  <c r="W59" i="3" s="1"/>
  <c r="S87" i="3"/>
  <c r="W87" i="3" s="1"/>
  <c r="S108" i="3"/>
  <c r="W108" i="3" s="1"/>
  <c r="S89" i="3"/>
  <c r="W89" i="3" s="1"/>
  <c r="S82" i="3"/>
  <c r="W82" i="3" s="1"/>
  <c r="S58" i="3"/>
  <c r="W58" i="3" s="1"/>
  <c r="S253" i="3"/>
  <c r="W253" i="3" s="1"/>
  <c r="S84" i="3"/>
  <c r="W84" i="3" s="1"/>
  <c r="S207" i="3"/>
  <c r="S127" i="3"/>
  <c r="W127" i="3" s="1"/>
  <c r="S51" i="3"/>
  <c r="W51" i="3" s="1"/>
  <c r="S120" i="3"/>
  <c r="W120" i="3" s="1"/>
  <c r="S173" i="3"/>
  <c r="W173" i="3" s="1"/>
  <c r="S109" i="3"/>
  <c r="W109" i="3" s="1"/>
  <c r="S61" i="3"/>
  <c r="W61" i="3" s="1"/>
  <c r="S13" i="3"/>
  <c r="W13" i="3" s="1"/>
  <c r="S255" i="3"/>
  <c r="W255" i="3" s="1"/>
  <c r="S10" i="3"/>
  <c r="W10" i="3" s="1"/>
  <c r="S288" i="3"/>
  <c r="W288" i="3" s="1"/>
  <c r="S248" i="3"/>
  <c r="W248" i="3" s="1"/>
  <c r="S142" i="3"/>
  <c r="W142" i="3" s="1"/>
  <c r="S226" i="3"/>
  <c r="W226" i="3" s="1"/>
  <c r="S71" i="3"/>
  <c r="W71" i="3" s="1"/>
  <c r="S73" i="3"/>
  <c r="W73" i="3" s="1"/>
  <c r="S122" i="3"/>
  <c r="W122" i="3" s="1"/>
  <c r="S229" i="3"/>
  <c r="W229" i="3" s="1"/>
  <c r="S52" i="3"/>
  <c r="W52" i="3" s="1"/>
  <c r="S334" i="3"/>
  <c r="W334" i="3" s="1"/>
  <c r="S134" i="3"/>
  <c r="W134" i="3" s="1"/>
  <c r="S250" i="3"/>
  <c r="W250" i="3" s="1"/>
  <c r="S83" i="3"/>
  <c r="W83" i="3" s="1"/>
  <c r="S117" i="3"/>
  <c r="W117" i="3" s="1"/>
  <c r="S327" i="3"/>
  <c r="W327" i="3" s="1"/>
  <c r="S222" i="3"/>
  <c r="W222" i="3" s="1"/>
  <c r="S62" i="3"/>
  <c r="W62" i="3" s="1"/>
  <c r="S166" i="3"/>
  <c r="W166" i="3" s="1"/>
  <c r="S63" i="3"/>
  <c r="W63" i="3" s="1"/>
  <c r="S133" i="3"/>
  <c r="S5" i="3"/>
  <c r="W5" i="3" s="1"/>
  <c r="S42" i="3"/>
  <c r="W42" i="3" s="1"/>
  <c r="S254" i="3"/>
  <c r="W254" i="3" s="1"/>
  <c r="S190" i="3"/>
  <c r="W190" i="3" s="1"/>
  <c r="S338" i="3"/>
  <c r="W338" i="3" s="1"/>
  <c r="S211" i="3"/>
  <c r="W211" i="3" s="1"/>
  <c r="S163" i="3"/>
  <c r="W163" i="3" s="1"/>
  <c r="S161" i="3"/>
  <c r="W161" i="3" s="1"/>
  <c r="S4" i="3"/>
  <c r="W4" i="3" s="1"/>
  <c r="S15" i="3"/>
  <c r="W15" i="3" s="1"/>
  <c r="S131" i="3"/>
  <c r="S55" i="3"/>
  <c r="W55" i="3" s="1"/>
  <c r="S144" i="3"/>
  <c r="W144" i="3" s="1"/>
  <c r="S129" i="3"/>
  <c r="W129" i="3" s="1"/>
  <c r="S33" i="3"/>
  <c r="W33" i="3" s="1"/>
  <c r="S162" i="3"/>
  <c r="W162" i="3" s="1"/>
  <c r="S313" i="3"/>
  <c r="W313" i="3" s="1"/>
  <c r="S257" i="3"/>
  <c r="W257" i="3" s="1"/>
  <c r="S68" i="3"/>
  <c r="W68" i="3" s="1"/>
  <c r="S332" i="3"/>
  <c r="W332" i="3" s="1"/>
  <c r="S323" i="3"/>
  <c r="W323" i="3" s="1"/>
  <c r="S214" i="3"/>
  <c r="W214" i="3" s="1"/>
  <c r="S86" i="3"/>
  <c r="W86" i="3" s="1"/>
  <c r="S330" i="3"/>
  <c r="W330" i="3" s="1"/>
  <c r="S92" i="3"/>
  <c r="W92" i="3" s="1"/>
  <c r="S76" i="3"/>
  <c r="W76" i="3" s="1"/>
  <c r="S169" i="3"/>
  <c r="W169" i="3" s="1"/>
  <c r="S41" i="3"/>
  <c r="W41" i="3" s="1"/>
  <c r="S223" i="3"/>
  <c r="W223" i="3" s="1"/>
  <c r="S335" i="3"/>
  <c r="W335" i="3" s="1"/>
  <c r="S309" i="3"/>
  <c r="W309" i="3" s="1"/>
  <c r="S237" i="3"/>
  <c r="W237" i="3" s="1"/>
  <c r="S20" i="3"/>
  <c r="W20" i="3" s="1"/>
  <c r="S104" i="3"/>
  <c r="W104" i="3" s="1"/>
  <c r="S111" i="3"/>
  <c r="W111" i="3" s="1"/>
  <c r="S160" i="3"/>
  <c r="W160" i="3" s="1"/>
  <c r="S157" i="3"/>
  <c r="W157" i="3" s="1"/>
  <c r="S45" i="3"/>
  <c r="W45" i="3" s="1"/>
  <c r="S247" i="3"/>
  <c r="W247" i="3" s="1"/>
  <c r="S239" i="3"/>
  <c r="W239" i="3" s="1"/>
  <c r="S343" i="3"/>
  <c r="W343" i="3" s="1"/>
  <c r="S243" i="3"/>
  <c r="W243" i="3" s="1"/>
  <c r="S110" i="3"/>
  <c r="W110" i="3" s="1"/>
  <c r="S48" i="3"/>
  <c r="W48" i="3" s="1"/>
  <c r="S139" i="3"/>
  <c r="W139" i="3" s="1"/>
  <c r="S136" i="3"/>
  <c r="W136" i="3" s="1"/>
  <c r="S57" i="3"/>
  <c r="W57" i="3" s="1"/>
  <c r="S210" i="3"/>
  <c r="W210" i="3" s="1"/>
  <c r="S221" i="3"/>
  <c r="W221" i="3" s="1"/>
  <c r="S349" i="3"/>
  <c r="W349" i="3" s="1"/>
  <c r="S70" i="3"/>
  <c r="W70" i="3" s="1"/>
  <c r="S140" i="3"/>
  <c r="W140" i="3" s="1"/>
  <c r="S39" i="3"/>
  <c r="W39" i="3" s="1"/>
  <c r="S85" i="3"/>
  <c r="W85" i="3" s="1"/>
  <c r="S354" i="3"/>
  <c r="W354" i="3" s="1"/>
  <c r="S102" i="3"/>
  <c r="W102" i="3" s="1"/>
  <c r="S232" i="3"/>
  <c r="W232" i="3" s="1"/>
  <c r="S19" i="3"/>
  <c r="W19" i="3" s="1"/>
  <c r="S18" i="3"/>
  <c r="W18" i="3" s="1"/>
  <c r="S260" i="3"/>
  <c r="W260" i="3" s="1"/>
  <c r="S326" i="3"/>
  <c r="W326" i="3" s="1"/>
  <c r="S351" i="3"/>
  <c r="W351" i="3" s="1"/>
  <c r="S94" i="3"/>
  <c r="W94" i="3" s="1"/>
  <c r="S205" i="3"/>
  <c r="W205" i="3" s="1"/>
  <c r="S128" i="3"/>
  <c r="W128" i="3" s="1"/>
  <c r="S65" i="3"/>
  <c r="W65" i="3" s="1"/>
  <c r="S188" i="3"/>
  <c r="W188" i="3" s="1"/>
  <c r="S228" i="3"/>
  <c r="W228" i="3" s="1"/>
  <c r="S179" i="3"/>
  <c r="S115" i="3"/>
  <c r="W115" i="3" s="1"/>
  <c r="S35" i="3"/>
  <c r="W35" i="3" s="1"/>
  <c r="S112" i="3"/>
  <c r="W112" i="3" s="1"/>
  <c r="S40" i="3"/>
  <c r="W40" i="3" s="1"/>
  <c r="S81" i="3"/>
  <c r="W81" i="3" s="1"/>
  <c r="S17" i="3"/>
  <c r="W17" i="3" s="1"/>
  <c r="S231" i="3"/>
  <c r="W231" i="3" s="1"/>
  <c r="S337" i="3"/>
  <c r="W337" i="3" s="1"/>
  <c r="S289" i="3"/>
  <c r="W289" i="3" s="1"/>
  <c r="S249" i="3"/>
  <c r="W249" i="3" s="1"/>
  <c r="S225" i="3"/>
  <c r="W225" i="3" s="1"/>
  <c r="S36" i="3"/>
  <c r="W36" i="3" s="1"/>
  <c r="S324" i="3"/>
  <c r="W324" i="3" s="1"/>
  <c r="S182" i="3"/>
  <c r="S54" i="3"/>
  <c r="W54" i="3" s="1"/>
  <c r="S234" i="3"/>
  <c r="W234" i="3" s="1"/>
  <c r="S155" i="3"/>
  <c r="W155" i="3" s="1"/>
  <c r="S137" i="3"/>
  <c r="W137" i="3" s="1"/>
  <c r="S333" i="3"/>
  <c r="W333" i="3" s="1"/>
  <c r="S208" i="3"/>
  <c r="W208" i="3" s="1"/>
  <c r="S352" i="3"/>
  <c r="W352" i="3" s="1"/>
  <c r="S60" i="3"/>
  <c r="W60" i="3" s="1"/>
  <c r="S91" i="3"/>
  <c r="W91" i="3" s="1"/>
  <c r="S88" i="3"/>
  <c r="W88" i="3" s="1"/>
  <c r="S141" i="3"/>
  <c r="W141" i="3" s="1"/>
  <c r="S138" i="3"/>
  <c r="W138" i="3" s="1"/>
  <c r="S353" i="3"/>
  <c r="W353" i="3" s="1"/>
  <c r="S238" i="3"/>
  <c r="W238" i="3" s="1"/>
  <c r="S315" i="3"/>
  <c r="W315" i="3" s="1"/>
  <c r="S206" i="3"/>
  <c r="S322" i="3"/>
  <c r="W322" i="3" s="1"/>
  <c r="S31" i="3"/>
  <c r="W31" i="3" s="1"/>
  <c r="S203" i="3"/>
  <c r="W203" i="3" s="1"/>
  <c r="S153" i="3"/>
  <c r="W153" i="3" s="1"/>
  <c r="S9" i="3"/>
  <c r="W9" i="3" s="1"/>
  <c r="S325" i="3"/>
  <c r="W325" i="3" s="1"/>
  <c r="S261" i="3"/>
  <c r="W261" i="3" s="1"/>
  <c r="S216" i="3"/>
  <c r="W216" i="3" s="1"/>
  <c r="S336" i="3"/>
  <c r="W336" i="3" s="1"/>
  <c r="S6" i="3"/>
  <c r="W6" i="3" s="1"/>
  <c r="S215" i="3"/>
  <c r="W215" i="3" s="1"/>
  <c r="S124" i="3"/>
  <c r="W124" i="3" s="1"/>
  <c r="S181" i="3"/>
  <c r="S53" i="3"/>
  <c r="W53" i="3" s="1"/>
  <c r="S316" i="3"/>
  <c r="W316" i="3" s="1"/>
  <c r="S242" i="3"/>
  <c r="W242" i="3" s="1"/>
  <c r="S38" i="3"/>
  <c r="W38" i="3" s="1"/>
  <c r="S213" i="3"/>
  <c r="W213" i="3" s="1"/>
  <c r="S135" i="3"/>
  <c r="W135" i="3" s="1"/>
  <c r="S56" i="3"/>
  <c r="W56" i="3" s="1"/>
  <c r="S244" i="3"/>
  <c r="W244" i="3" s="1"/>
  <c r="S331" i="3"/>
  <c r="W331" i="3" s="1"/>
  <c r="S230" i="3"/>
  <c r="W230" i="3" s="1"/>
  <c r="T126" i="3"/>
  <c r="AD4" i="3"/>
  <c r="T78" i="3"/>
  <c r="T66" i="3"/>
  <c r="T319" i="3"/>
  <c r="T219" i="3"/>
  <c r="T311" i="3"/>
  <c r="T217" i="3"/>
  <c r="T218" i="3"/>
  <c r="T320" i="3"/>
  <c r="T258" i="3"/>
  <c r="T79" i="3"/>
  <c r="V79" i="3" s="1"/>
  <c r="T180" i="3"/>
  <c r="T267" i="3"/>
  <c r="T67" i="3"/>
  <c r="T262" i="3"/>
  <c r="T182" i="3"/>
  <c r="T207" i="3"/>
  <c r="V207" i="3" s="1"/>
  <c r="U2" i="3"/>
  <c r="V2" i="3" s="1"/>
  <c r="T206" i="3"/>
  <c r="V206" i="3" s="1"/>
  <c r="P158" i="3"/>
  <c r="U158" i="3"/>
  <c r="V158" i="3" s="1"/>
  <c r="P66" i="3"/>
  <c r="U66" i="3"/>
  <c r="P310" i="3"/>
  <c r="U310" i="3"/>
  <c r="V310" i="3" s="1"/>
  <c r="P78" i="3"/>
  <c r="U78" i="3"/>
  <c r="AD5" i="3"/>
  <c r="P183" i="3"/>
  <c r="P184" i="3"/>
  <c r="P168" i="3"/>
  <c r="P193" i="3"/>
  <c r="P177" i="3"/>
  <c r="P192" i="3"/>
  <c r="P79" i="3"/>
  <c r="P132" i="3"/>
  <c r="P345" i="3"/>
  <c r="P348" i="3"/>
  <c r="P60" i="3"/>
  <c r="P215" i="3"/>
  <c r="P155" i="3"/>
  <c r="P115" i="3"/>
  <c r="P87" i="3"/>
  <c r="P19" i="3"/>
  <c r="P161" i="3"/>
  <c r="P145" i="3"/>
  <c r="P129" i="3"/>
  <c r="R131" i="3"/>
  <c r="W131" i="3" s="1"/>
  <c r="R133" i="3"/>
  <c r="R179" i="3"/>
  <c r="W179" i="3" s="1"/>
  <c r="P113" i="3"/>
  <c r="P97" i="3"/>
  <c r="P81" i="3"/>
  <c r="P65" i="3"/>
  <c r="P49" i="3"/>
  <c r="P33" i="3"/>
  <c r="P17" i="3"/>
  <c r="P353" i="3"/>
  <c r="P318" i="3"/>
  <c r="P254" i="3"/>
  <c r="P307" i="3"/>
  <c r="P243" i="3"/>
  <c r="P182" i="3"/>
  <c r="P118" i="3"/>
  <c r="P54" i="3"/>
  <c r="P306" i="3"/>
  <c r="P242" i="3"/>
  <c r="P140" i="3"/>
  <c r="P167" i="3"/>
  <c r="P55" i="3"/>
  <c r="P124" i="3"/>
  <c r="P295" i="3"/>
  <c r="P313" i="3"/>
  <c r="P273" i="3"/>
  <c r="P225" i="3"/>
  <c r="P164" i="3"/>
  <c r="P4" i="3"/>
  <c r="P300" i="3"/>
  <c r="P252" i="3"/>
  <c r="P294" i="3"/>
  <c r="P314" i="3"/>
  <c r="P188" i="3"/>
  <c r="P128" i="3"/>
  <c r="P228" i="3"/>
  <c r="P211" i="3"/>
  <c r="P163" i="3"/>
  <c r="P131" i="3"/>
  <c r="P103" i="3"/>
  <c r="P83" i="3"/>
  <c r="P51" i="3"/>
  <c r="P27" i="3"/>
  <c r="P112" i="3"/>
  <c r="P44" i="3"/>
  <c r="P28" i="3"/>
  <c r="P263" i="3"/>
  <c r="P279" i="3"/>
  <c r="P335" i="3"/>
  <c r="P333" i="3"/>
  <c r="P317" i="3"/>
  <c r="P301" i="3"/>
  <c r="P285" i="3"/>
  <c r="P269" i="3"/>
  <c r="P253" i="3"/>
  <c r="P237" i="3"/>
  <c r="P221" i="3"/>
  <c r="P208" i="3"/>
  <c r="P116" i="3"/>
  <c r="P52" i="3"/>
  <c r="P349" i="3"/>
  <c r="P328" i="3"/>
  <c r="P312" i="3"/>
  <c r="P296" i="3"/>
  <c r="P280" i="3"/>
  <c r="P264" i="3"/>
  <c r="P248" i="3"/>
  <c r="P246" i="3"/>
  <c r="P331" i="3"/>
  <c r="P330" i="3"/>
  <c r="P266" i="3"/>
  <c r="P205" i="3"/>
  <c r="P195" i="3"/>
  <c r="P56" i="3"/>
  <c r="P271" i="3"/>
  <c r="P297" i="3"/>
  <c r="P265" i="3"/>
  <c r="P233" i="3"/>
  <c r="P196" i="3"/>
  <c r="P36" i="3"/>
  <c r="P308" i="3"/>
  <c r="P268" i="3"/>
  <c r="P326" i="3"/>
  <c r="P282" i="3"/>
  <c r="P72" i="3"/>
  <c r="P199" i="3"/>
  <c r="P171" i="3"/>
  <c r="P139" i="3"/>
  <c r="P111" i="3"/>
  <c r="P71" i="3"/>
  <c r="P160" i="3"/>
  <c r="P12" i="3"/>
  <c r="P197" i="3"/>
  <c r="P181" i="3"/>
  <c r="P165" i="3"/>
  <c r="P149" i="3"/>
  <c r="P133" i="3"/>
  <c r="P117" i="3"/>
  <c r="P85" i="3"/>
  <c r="P69" i="3"/>
  <c r="P53" i="3"/>
  <c r="P37" i="3"/>
  <c r="P21" i="3"/>
  <c r="P5" i="3"/>
  <c r="P247" i="3"/>
  <c r="P303" i="3"/>
  <c r="P352" i="3"/>
  <c r="P302" i="3"/>
  <c r="P238" i="3"/>
  <c r="P291" i="3"/>
  <c r="P227" i="3"/>
  <c r="P166" i="3"/>
  <c r="P102" i="3"/>
  <c r="P38" i="3"/>
  <c r="P290" i="3"/>
  <c r="P226" i="3"/>
  <c r="P187" i="3"/>
  <c r="P127" i="3"/>
  <c r="P47" i="3"/>
  <c r="P108" i="3"/>
  <c r="P337" i="3"/>
  <c r="P257" i="3"/>
  <c r="P68" i="3"/>
  <c r="P316" i="3"/>
  <c r="P260" i="3"/>
  <c r="P16" i="3"/>
  <c r="R181" i="3"/>
  <c r="P64" i="3"/>
  <c r="P92" i="3"/>
  <c r="P232" i="3"/>
  <c r="P203" i="3"/>
  <c r="P175" i="3"/>
  <c r="P135" i="3"/>
  <c r="P107" i="3"/>
  <c r="P75" i="3"/>
  <c r="P7" i="3"/>
  <c r="P24" i="3"/>
  <c r="P96" i="3"/>
  <c r="P185" i="3"/>
  <c r="P169" i="3"/>
  <c r="P153" i="3"/>
  <c r="P137" i="3"/>
  <c r="P121" i="3"/>
  <c r="P105" i="3"/>
  <c r="P89" i="3"/>
  <c r="P73" i="3"/>
  <c r="P57" i="3"/>
  <c r="P41" i="3"/>
  <c r="P25" i="3"/>
  <c r="P9" i="3"/>
  <c r="P239" i="3"/>
  <c r="P286" i="3"/>
  <c r="P222" i="3"/>
  <c r="P339" i="3"/>
  <c r="P275" i="3"/>
  <c r="P214" i="3"/>
  <c r="P150" i="3"/>
  <c r="P86" i="3"/>
  <c r="P22" i="3"/>
  <c r="P338" i="3"/>
  <c r="P274" i="3"/>
  <c r="P213" i="3"/>
  <c r="P207" i="3"/>
  <c r="P99" i="3"/>
  <c r="P23" i="3"/>
  <c r="P40" i="3"/>
  <c r="P329" i="3"/>
  <c r="P289" i="3"/>
  <c r="P241" i="3"/>
  <c r="P100" i="3"/>
  <c r="P324" i="3"/>
  <c r="P276" i="3"/>
  <c r="P236" i="3"/>
  <c r="P201" i="3"/>
  <c r="P152" i="3"/>
  <c r="P80" i="3"/>
  <c r="P220" i="3"/>
  <c r="P191" i="3"/>
  <c r="P143" i="3"/>
  <c r="P123" i="3"/>
  <c r="P63" i="3"/>
  <c r="P39" i="3"/>
  <c r="P136" i="3"/>
  <c r="P76" i="3"/>
  <c r="P120" i="3"/>
  <c r="P327" i="3"/>
  <c r="P325" i="3"/>
  <c r="P309" i="3"/>
  <c r="P293" i="3"/>
  <c r="P277" i="3"/>
  <c r="P261" i="3"/>
  <c r="P245" i="3"/>
  <c r="P229" i="3"/>
  <c r="P216" i="3"/>
  <c r="P148" i="3"/>
  <c r="P84" i="3"/>
  <c r="P20" i="3"/>
  <c r="P336" i="3"/>
  <c r="P304" i="3"/>
  <c r="P288" i="3"/>
  <c r="P272" i="3"/>
  <c r="P256" i="3"/>
  <c r="P240" i="3"/>
  <c r="P340" i="3"/>
  <c r="P278" i="3"/>
  <c r="P351" i="3"/>
  <c r="P299" i="3"/>
  <c r="P101" i="3"/>
  <c r="P298" i="3"/>
  <c r="P234" i="3"/>
  <c r="P176" i="3"/>
  <c r="P147" i="3"/>
  <c r="P35" i="3"/>
  <c r="P144" i="3"/>
  <c r="P321" i="3"/>
  <c r="P281" i="3"/>
  <c r="P249" i="3"/>
  <c r="P212" i="3"/>
  <c r="P332" i="3"/>
  <c r="P284" i="3"/>
  <c r="P244" i="3"/>
  <c r="P230" i="3"/>
  <c r="P104" i="3"/>
  <c r="P48" i="3"/>
  <c r="P179" i="3"/>
  <c r="P151" i="3"/>
  <c r="P119" i="3"/>
  <c r="P91" i="3"/>
  <c r="P11" i="3"/>
  <c r="P32" i="3"/>
  <c r="P156" i="3"/>
  <c r="P189" i="3"/>
  <c r="P173" i="3"/>
  <c r="P157" i="3"/>
  <c r="P141" i="3"/>
  <c r="P125" i="3"/>
  <c r="P109" i="3"/>
  <c r="P93" i="3"/>
  <c r="P77" i="3"/>
  <c r="P61" i="3"/>
  <c r="P45" i="3"/>
  <c r="P29" i="3"/>
  <c r="P13" i="3"/>
  <c r="P8" i="3"/>
  <c r="P334" i="3"/>
  <c r="P270" i="3"/>
  <c r="P209" i="3"/>
  <c r="P323" i="3"/>
  <c r="P259" i="3"/>
  <c r="P198" i="3"/>
  <c r="P134" i="3"/>
  <c r="P70" i="3"/>
  <c r="P6" i="3"/>
  <c r="P322" i="3"/>
  <c r="P224" i="3"/>
  <c r="P159" i="3"/>
  <c r="P88" i="3"/>
  <c r="P346" i="3"/>
  <c r="P305" i="3"/>
  <c r="P204" i="3"/>
  <c r="P341" i="3"/>
  <c r="P292" i="3"/>
  <c r="P343" i="3"/>
  <c r="P250" i="3"/>
  <c r="P319" i="3"/>
  <c r="P126" i="3"/>
  <c r="P262" i="3"/>
  <c r="P67" i="3"/>
  <c r="P180" i="3"/>
  <c r="P3" i="3"/>
  <c r="P267" i="3"/>
  <c r="P347" i="3"/>
  <c r="P2" i="3"/>
  <c r="P59" i="3"/>
  <c r="P43" i="3"/>
  <c r="P219" i="3"/>
  <c r="P311" i="3"/>
  <c r="P202" i="3"/>
  <c r="P320" i="3"/>
  <c r="P130" i="3"/>
  <c r="P122" i="3"/>
  <c r="P231" i="3"/>
  <c r="P190" i="3"/>
  <c r="P30" i="3"/>
  <c r="P114" i="3"/>
  <c r="P223" i="3"/>
  <c r="P170" i="3"/>
  <c r="P42" i="3"/>
  <c r="P210" i="3"/>
  <c r="P235" i="3"/>
  <c r="P174" i="3"/>
  <c r="P110" i="3"/>
  <c r="P46" i="3"/>
  <c r="P350" i="3"/>
  <c r="P74" i="3"/>
  <c r="P251" i="3"/>
  <c r="P62" i="3"/>
  <c r="P162" i="3"/>
  <c r="P18" i="3"/>
  <c r="P194" i="3"/>
  <c r="P154" i="3"/>
  <c r="P26" i="3"/>
  <c r="P10" i="3"/>
  <c r="P94" i="3"/>
  <c r="P15" i="3"/>
  <c r="P217" i="3"/>
  <c r="P146" i="3"/>
  <c r="P344" i="3"/>
  <c r="P200" i="3"/>
  <c r="P258" i="3"/>
  <c r="P218" i="3"/>
  <c r="P178" i="3"/>
  <c r="P34" i="3"/>
  <c r="P255" i="3"/>
  <c r="P186" i="3"/>
  <c r="P58" i="3"/>
  <c r="P354" i="3"/>
  <c r="P138" i="3"/>
  <c r="P283" i="3"/>
  <c r="P82" i="3"/>
  <c r="P106" i="3"/>
  <c r="P206" i="3"/>
  <c r="P142" i="3"/>
  <c r="P14" i="3"/>
  <c r="P98" i="3"/>
  <c r="P315" i="3"/>
  <c r="P50" i="3"/>
  <c r="P90" i="3"/>
  <c r="P287" i="3"/>
  <c r="P342" i="3"/>
  <c r="P31" i="3"/>
  <c r="P95" i="3"/>
  <c r="R117" i="1"/>
  <c r="S117" i="1" s="1"/>
  <c r="N105" i="1"/>
  <c r="T105" i="1" s="1"/>
  <c r="U105" i="1" s="1"/>
  <c r="N168" i="1"/>
  <c r="T168" i="1" s="1"/>
  <c r="U168" i="1" s="1"/>
  <c r="N238" i="1"/>
  <c r="T238" i="1" s="1"/>
  <c r="U238" i="1" s="1"/>
  <c r="N23" i="1"/>
  <c r="N193" i="1"/>
  <c r="N312" i="1"/>
  <c r="T312" i="1" s="1"/>
  <c r="U312" i="1" s="1"/>
  <c r="N39" i="1"/>
  <c r="T39" i="1" s="1"/>
  <c r="U39" i="1" s="1"/>
  <c r="N96" i="1"/>
  <c r="T96" i="1" s="1"/>
  <c r="U96" i="1" s="1"/>
  <c r="N17" i="1"/>
  <c r="T17" i="1" s="1"/>
  <c r="U17" i="1" s="1"/>
  <c r="N129" i="1"/>
  <c r="T129" i="1" s="1"/>
  <c r="U129" i="1" s="1"/>
  <c r="N159" i="1"/>
  <c r="T159" i="1" s="1"/>
  <c r="U159" i="1" s="1"/>
  <c r="N63" i="1"/>
  <c r="T63" i="1" s="1"/>
  <c r="U63" i="1" s="1"/>
  <c r="N91" i="1"/>
  <c r="T91" i="1" s="1"/>
  <c r="U91" i="1" s="1"/>
  <c r="N183" i="1"/>
  <c r="T183" i="1" s="1"/>
  <c r="U183" i="1" s="1"/>
  <c r="N230" i="1"/>
  <c r="T230" i="1" s="1"/>
  <c r="U230" i="1" s="1"/>
  <c r="N338" i="1"/>
  <c r="T338" i="1" s="1"/>
  <c r="U338" i="1" s="1"/>
  <c r="N165" i="1"/>
  <c r="T165" i="1" s="1"/>
  <c r="U165" i="1" s="1"/>
  <c r="N117" i="1"/>
  <c r="N135" i="1"/>
  <c r="T135" i="1" s="1"/>
  <c r="U135" i="1" s="1"/>
  <c r="N157" i="1"/>
  <c r="T157" i="1" s="1"/>
  <c r="U157" i="1" s="1"/>
  <c r="N167" i="1"/>
  <c r="T167" i="1" s="1"/>
  <c r="U167" i="1" s="1"/>
  <c r="N163" i="1"/>
  <c r="T163" i="1" s="1"/>
  <c r="U163" i="1" s="1"/>
  <c r="N21" i="1"/>
  <c r="T21" i="1" s="1"/>
  <c r="U21" i="1" s="1"/>
  <c r="N160" i="1"/>
  <c r="T160" i="1" s="1"/>
  <c r="U160" i="1" s="1"/>
  <c r="N40" i="1"/>
  <c r="T40" i="1" s="1"/>
  <c r="U40" i="1" s="1"/>
  <c r="N156" i="1"/>
  <c r="T156" i="1" s="1"/>
  <c r="U156" i="1" s="1"/>
  <c r="N305" i="1"/>
  <c r="T305" i="1" s="1"/>
  <c r="U305" i="1" s="1"/>
  <c r="N226" i="1"/>
  <c r="T226" i="1" s="1"/>
  <c r="U226" i="1" s="1"/>
  <c r="N306" i="1"/>
  <c r="T306" i="1" s="1"/>
  <c r="U306" i="1" s="1"/>
  <c r="N87" i="1"/>
  <c r="T87" i="1" s="1"/>
  <c r="U87" i="1" s="1"/>
  <c r="N308" i="1"/>
  <c r="T308" i="1" s="1"/>
  <c r="U308" i="1" s="1"/>
  <c r="N99" i="1"/>
  <c r="T99" i="1" s="1"/>
  <c r="U99" i="1" s="1"/>
  <c r="T193" i="1"/>
  <c r="U193" i="1" s="1"/>
  <c r="K9" i="1"/>
  <c r="L9" i="1" s="1"/>
  <c r="M9" i="1" s="1"/>
  <c r="Q123" i="1"/>
  <c r="S123" i="1" s="1"/>
  <c r="T123" i="1" s="1"/>
  <c r="U123" i="1" s="1"/>
  <c r="T23" i="1"/>
  <c r="U23" i="1" s="1"/>
  <c r="Q318" i="1"/>
  <c r="S318" i="1" s="1"/>
  <c r="T318" i="1" s="1"/>
  <c r="U318" i="1" s="1"/>
  <c r="Q316" i="1"/>
  <c r="S316" i="1" s="1"/>
  <c r="T316" i="1" s="1"/>
  <c r="U316" i="1" s="1"/>
  <c r="N68" i="1"/>
  <c r="T68" i="1" s="1"/>
  <c r="U68" i="1" s="1"/>
  <c r="Q120" i="1"/>
  <c r="S120" i="1" s="1"/>
  <c r="T120" i="1" s="1"/>
  <c r="U120" i="1" s="1"/>
  <c r="N152" i="1"/>
  <c r="T152" i="1" s="1"/>
  <c r="U152" i="1" s="1"/>
  <c r="N172" i="1"/>
  <c r="T172" i="1" s="1"/>
  <c r="U172" i="1" s="1"/>
  <c r="N212" i="1"/>
  <c r="T212" i="1" s="1"/>
  <c r="U212" i="1" s="1"/>
  <c r="Q317" i="1"/>
  <c r="S317" i="1" s="1"/>
  <c r="T317" i="1" s="1"/>
  <c r="U317" i="1" s="1"/>
  <c r="N171" i="1"/>
  <c r="T171" i="1" s="1"/>
  <c r="U171" i="1" s="1"/>
  <c r="N264" i="1"/>
  <c r="T264" i="1" s="1"/>
  <c r="U264" i="1" s="1"/>
  <c r="Q298" i="1"/>
  <c r="S298" i="1" s="1"/>
  <c r="T298" i="1" s="1"/>
  <c r="U298" i="1" s="1"/>
  <c r="N236" i="1"/>
  <c r="T236" i="1" s="1"/>
  <c r="U236" i="1" s="1"/>
  <c r="Q118" i="1"/>
  <c r="S118" i="1" s="1"/>
  <c r="T118" i="1" s="1"/>
  <c r="U118" i="1" s="1"/>
  <c r="Q119" i="1"/>
  <c r="S119" i="1" s="1"/>
  <c r="T119" i="1" s="1"/>
  <c r="U119" i="1" s="1"/>
  <c r="P125" i="1"/>
  <c r="S125" i="1" s="1"/>
  <c r="T125" i="1" s="1"/>
  <c r="U125" i="1" s="1"/>
  <c r="Q121" i="1"/>
  <c r="S121" i="1" s="1"/>
  <c r="T121" i="1" s="1"/>
  <c r="U121" i="1" s="1"/>
  <c r="Q122" i="1"/>
  <c r="S122" i="1" s="1"/>
  <c r="T122" i="1" s="1"/>
  <c r="U122" i="1" s="1"/>
  <c r="Q9" i="1"/>
  <c r="S9" i="1" s="1"/>
  <c r="T9" i="1" s="1"/>
  <c r="U9" i="1" s="1"/>
  <c r="K321" i="1"/>
  <c r="L321" i="1" s="1"/>
  <c r="M321" i="1" s="1"/>
  <c r="K253" i="1"/>
  <c r="L253" i="1" s="1"/>
  <c r="M253" i="1" s="1"/>
  <c r="K333" i="1"/>
  <c r="L333" i="1" s="1"/>
  <c r="M333" i="1" s="1"/>
  <c r="K59" i="1"/>
  <c r="L59" i="1" s="1"/>
  <c r="M59" i="1" s="1"/>
  <c r="K171" i="1"/>
  <c r="L171" i="1" s="1"/>
  <c r="M171" i="1" s="1"/>
  <c r="K309" i="1"/>
  <c r="L309" i="1" s="1"/>
  <c r="M309" i="1" s="1"/>
  <c r="K203" i="1"/>
  <c r="L203" i="1" s="1"/>
  <c r="M203" i="1" s="1"/>
  <c r="K78" i="1"/>
  <c r="L78" i="1" s="1"/>
  <c r="M78" i="1" s="1"/>
  <c r="K110" i="1"/>
  <c r="L110" i="1" s="1"/>
  <c r="M110" i="1" s="1"/>
  <c r="K126" i="1"/>
  <c r="L126" i="1" s="1"/>
  <c r="M126" i="1" s="1"/>
  <c r="K226" i="1"/>
  <c r="L226" i="1" s="1"/>
  <c r="M226" i="1" s="1"/>
  <c r="K313" i="1"/>
  <c r="L313" i="1" s="1"/>
  <c r="M313" i="1" s="1"/>
  <c r="K202" i="1"/>
  <c r="L202" i="1" s="1"/>
  <c r="M202" i="1" s="1"/>
  <c r="K219" i="1"/>
  <c r="L219" i="1" s="1"/>
  <c r="M219" i="1" s="1"/>
  <c r="K235" i="1"/>
  <c r="L235" i="1" s="1"/>
  <c r="M235" i="1" s="1"/>
  <c r="K251" i="1"/>
  <c r="L251" i="1" s="1"/>
  <c r="M251" i="1" s="1"/>
  <c r="K267" i="1"/>
  <c r="L267" i="1" s="1"/>
  <c r="M267" i="1" s="1"/>
  <c r="K283" i="1"/>
  <c r="L283" i="1" s="1"/>
  <c r="M283" i="1" s="1"/>
  <c r="K299" i="1"/>
  <c r="L299" i="1" s="1"/>
  <c r="M299" i="1" s="1"/>
  <c r="K315" i="1"/>
  <c r="L315" i="1" s="1"/>
  <c r="M315" i="1" s="1"/>
  <c r="K331" i="1"/>
  <c r="L331" i="1" s="1"/>
  <c r="M331" i="1" s="1"/>
  <c r="K343" i="1"/>
  <c r="L343" i="1" s="1"/>
  <c r="M343" i="1" s="1"/>
  <c r="K268" i="1"/>
  <c r="L268" i="1" s="1"/>
  <c r="M268" i="1" s="1"/>
  <c r="K3" i="1"/>
  <c r="L3" i="1" s="1"/>
  <c r="M3" i="1" s="1"/>
  <c r="K67" i="1"/>
  <c r="L67" i="1" s="1"/>
  <c r="M67" i="1" s="1"/>
  <c r="K115" i="1"/>
  <c r="L115" i="1" s="1"/>
  <c r="M115" i="1" s="1"/>
  <c r="K175" i="1"/>
  <c r="L175" i="1" s="1"/>
  <c r="M175" i="1" s="1"/>
  <c r="K183" i="1"/>
  <c r="L183" i="1" s="1"/>
  <c r="M183" i="1" s="1"/>
  <c r="K197" i="1"/>
  <c r="L197" i="1" s="1"/>
  <c r="M197" i="1" s="1"/>
  <c r="K269" i="1"/>
  <c r="L269" i="1" s="1"/>
  <c r="M269" i="1" s="1"/>
  <c r="K341" i="1"/>
  <c r="L341" i="1" s="1"/>
  <c r="M341" i="1" s="1"/>
  <c r="K36" i="1"/>
  <c r="L36" i="1" s="1"/>
  <c r="M36" i="1" s="1"/>
  <c r="K40" i="1"/>
  <c r="L40" i="1" s="1"/>
  <c r="M40" i="1" s="1"/>
  <c r="K60" i="1"/>
  <c r="L60" i="1" s="1"/>
  <c r="M60" i="1" s="1"/>
  <c r="K84" i="1"/>
  <c r="L84" i="1" s="1"/>
  <c r="M84" i="1" s="1"/>
  <c r="K88" i="1"/>
  <c r="L88" i="1" s="1"/>
  <c r="M88" i="1" s="1"/>
  <c r="K100" i="1"/>
  <c r="L100" i="1" s="1"/>
  <c r="M100" i="1" s="1"/>
  <c r="K104" i="1"/>
  <c r="L104" i="1" s="1"/>
  <c r="M104" i="1" s="1"/>
  <c r="K148" i="1"/>
  <c r="L148" i="1" s="1"/>
  <c r="M148" i="1" s="1"/>
  <c r="K152" i="1"/>
  <c r="L152" i="1" s="1"/>
  <c r="M152" i="1" s="1"/>
  <c r="K180" i="1"/>
  <c r="L180" i="1" s="1"/>
  <c r="M180" i="1" s="1"/>
  <c r="K184" i="1"/>
  <c r="L184" i="1" s="1"/>
  <c r="M184" i="1" s="1"/>
  <c r="K204" i="1"/>
  <c r="L204" i="1" s="1"/>
  <c r="M204" i="1" s="1"/>
  <c r="K277" i="1"/>
  <c r="L277" i="1" s="1"/>
  <c r="M277" i="1" s="1"/>
  <c r="K281" i="1"/>
  <c r="L281" i="1" s="1"/>
  <c r="M281" i="1" s="1"/>
  <c r="K167" i="1"/>
  <c r="L167" i="1" s="1"/>
  <c r="M167" i="1" s="1"/>
  <c r="K292" i="1"/>
  <c r="L292" i="1" s="1"/>
  <c r="M292" i="1" s="1"/>
  <c r="K344" i="1"/>
  <c r="L344" i="1" s="1"/>
  <c r="M344" i="1" s="1"/>
  <c r="K181" i="1"/>
  <c r="L181" i="1" s="1"/>
  <c r="M181" i="1" s="1"/>
  <c r="K336" i="1"/>
  <c r="L336" i="1" s="1"/>
  <c r="M336" i="1" s="1"/>
  <c r="K141" i="1"/>
  <c r="L141" i="1" s="1"/>
  <c r="M141" i="1" s="1"/>
  <c r="K153" i="1"/>
  <c r="L153" i="1" s="1"/>
  <c r="M153" i="1" s="1"/>
  <c r="K230" i="1"/>
  <c r="L230" i="1" s="1"/>
  <c r="M230" i="1" s="1"/>
  <c r="K302" i="1"/>
  <c r="L302" i="1" s="1"/>
  <c r="M302" i="1" s="1"/>
  <c r="K310" i="1"/>
  <c r="L310" i="1" s="1"/>
  <c r="M310" i="1" s="1"/>
  <c r="K334" i="1"/>
  <c r="L334" i="1" s="1"/>
  <c r="M334" i="1" s="1"/>
  <c r="K346" i="1"/>
  <c r="L346" i="1" s="1"/>
  <c r="M346" i="1" s="1"/>
  <c r="K300" i="1"/>
  <c r="L300" i="1" s="1"/>
  <c r="M300" i="1" s="1"/>
  <c r="K95" i="1"/>
  <c r="L95" i="1" s="1"/>
  <c r="M95" i="1" s="1"/>
  <c r="K103" i="1"/>
  <c r="L103" i="1" s="1"/>
  <c r="M103" i="1" s="1"/>
  <c r="K111" i="1"/>
  <c r="L111" i="1" s="1"/>
  <c r="M111" i="1" s="1"/>
  <c r="K119" i="1"/>
  <c r="L119" i="1" s="1"/>
  <c r="M119" i="1" s="1"/>
  <c r="K179" i="1"/>
  <c r="L179" i="1" s="1"/>
  <c r="M179" i="1" s="1"/>
  <c r="K191" i="1"/>
  <c r="L191" i="1" s="1"/>
  <c r="M191" i="1" s="1"/>
  <c r="K14" i="1"/>
  <c r="L14" i="1" s="1"/>
  <c r="M14" i="1" s="1"/>
  <c r="K46" i="1"/>
  <c r="L46" i="1" s="1"/>
  <c r="M46" i="1" s="1"/>
  <c r="K274" i="1"/>
  <c r="L274" i="1" s="1"/>
  <c r="M274" i="1" s="1"/>
  <c r="K10" i="1"/>
  <c r="L10" i="1" s="1"/>
  <c r="M10" i="1" s="1"/>
  <c r="K74" i="1"/>
  <c r="L74" i="1" s="1"/>
  <c r="M74" i="1" s="1"/>
  <c r="K353" i="1"/>
  <c r="L353" i="1" s="1"/>
  <c r="M353" i="1" s="1"/>
  <c r="K166" i="1"/>
  <c r="L166" i="1" s="1"/>
  <c r="M166" i="1" s="1"/>
  <c r="K182" i="1"/>
  <c r="L182" i="1" s="1"/>
  <c r="M182" i="1" s="1"/>
  <c r="K198" i="1"/>
  <c r="L198" i="1" s="1"/>
  <c r="M198" i="1" s="1"/>
  <c r="K214" i="1"/>
  <c r="L214" i="1" s="1"/>
  <c r="M214" i="1" s="1"/>
  <c r="K231" i="1"/>
  <c r="L231" i="1" s="1"/>
  <c r="M231" i="1" s="1"/>
  <c r="K247" i="1"/>
  <c r="L247" i="1" s="1"/>
  <c r="M247" i="1" s="1"/>
  <c r="K263" i="1"/>
  <c r="L263" i="1" s="1"/>
  <c r="M263" i="1" s="1"/>
  <c r="K279" i="1"/>
  <c r="L279" i="1" s="1"/>
  <c r="M279" i="1" s="1"/>
  <c r="K295" i="1"/>
  <c r="L295" i="1" s="1"/>
  <c r="M295" i="1" s="1"/>
  <c r="K311" i="1"/>
  <c r="L311" i="1" s="1"/>
  <c r="M311" i="1" s="1"/>
  <c r="K327" i="1"/>
  <c r="L327" i="1" s="1"/>
  <c r="M327" i="1" s="1"/>
  <c r="K51" i="1"/>
  <c r="L51" i="1" s="1"/>
  <c r="M51" i="1" s="1"/>
  <c r="K99" i="1"/>
  <c r="L99" i="1" s="1"/>
  <c r="M99" i="1" s="1"/>
  <c r="K163" i="1"/>
  <c r="L163" i="1" s="1"/>
  <c r="M163" i="1" s="1"/>
  <c r="K352" i="1"/>
  <c r="L352" i="1" s="1"/>
  <c r="M352" i="1" s="1"/>
  <c r="K317" i="1"/>
  <c r="L317" i="1" s="1"/>
  <c r="M317" i="1" s="1"/>
  <c r="K349" i="1"/>
  <c r="L349" i="1" s="1"/>
  <c r="M349" i="1" s="1"/>
  <c r="K12" i="1"/>
  <c r="L12" i="1" s="1"/>
  <c r="M12" i="1" s="1"/>
  <c r="K52" i="1"/>
  <c r="L52" i="1" s="1"/>
  <c r="M52" i="1" s="1"/>
  <c r="K56" i="1"/>
  <c r="L56" i="1" s="1"/>
  <c r="M56" i="1" s="1"/>
  <c r="K76" i="1"/>
  <c r="L76" i="1" s="1"/>
  <c r="M76" i="1" s="1"/>
  <c r="K132" i="1"/>
  <c r="L132" i="1" s="1"/>
  <c r="M132" i="1" s="1"/>
  <c r="K136" i="1"/>
  <c r="L136" i="1" s="1"/>
  <c r="M136" i="1" s="1"/>
  <c r="K140" i="1"/>
  <c r="L140" i="1" s="1"/>
  <c r="M140" i="1" s="1"/>
  <c r="K225" i="1"/>
  <c r="L225" i="1" s="1"/>
  <c r="M225" i="1" s="1"/>
  <c r="K137" i="1"/>
  <c r="L137" i="1" s="1"/>
  <c r="M137" i="1" s="1"/>
  <c r="K306" i="1"/>
  <c r="L306" i="1" s="1"/>
  <c r="M306" i="1" s="1"/>
  <c r="K342" i="1"/>
  <c r="L342" i="1" s="1"/>
  <c r="M342" i="1" s="1"/>
  <c r="K47" i="1"/>
  <c r="L47" i="1" s="1"/>
  <c r="M47" i="1" s="1"/>
  <c r="K55" i="1"/>
  <c r="L55" i="1" s="1"/>
  <c r="M55" i="1" s="1"/>
  <c r="K63" i="1"/>
  <c r="L63" i="1" s="1"/>
  <c r="M63" i="1" s="1"/>
  <c r="K71" i="1"/>
  <c r="L71" i="1" s="1"/>
  <c r="M71" i="1" s="1"/>
  <c r="K79" i="1"/>
  <c r="L79" i="1" s="1"/>
  <c r="M79" i="1" s="1"/>
  <c r="K87" i="1"/>
  <c r="L87" i="1" s="1"/>
  <c r="M87" i="1" s="1"/>
  <c r="K43" i="1"/>
  <c r="L43" i="1" s="1"/>
  <c r="M43" i="1" s="1"/>
  <c r="K329" i="1"/>
  <c r="L329" i="1" s="1"/>
  <c r="M329" i="1" s="1"/>
  <c r="K290" i="1"/>
  <c r="L290" i="1" s="1"/>
  <c r="M290" i="1" s="1"/>
  <c r="K5" i="1"/>
  <c r="L5" i="1" s="1"/>
  <c r="M5" i="1" s="1"/>
  <c r="K21" i="1"/>
  <c r="L21" i="1" s="1"/>
  <c r="M21" i="1" s="1"/>
  <c r="K37" i="1"/>
  <c r="L37" i="1" s="1"/>
  <c r="M37" i="1" s="1"/>
  <c r="K53" i="1"/>
  <c r="L53" i="1" s="1"/>
  <c r="M53" i="1" s="1"/>
  <c r="K69" i="1"/>
  <c r="L69" i="1" s="1"/>
  <c r="M69" i="1" s="1"/>
  <c r="K85" i="1"/>
  <c r="L85" i="1" s="1"/>
  <c r="M85" i="1" s="1"/>
  <c r="K101" i="1"/>
  <c r="L101" i="1" s="1"/>
  <c r="M101" i="1" s="1"/>
  <c r="K284" i="1"/>
  <c r="L284" i="1" s="1"/>
  <c r="M284" i="1" s="1"/>
  <c r="K213" i="1"/>
  <c r="L213" i="1" s="1"/>
  <c r="M213" i="1" s="1"/>
  <c r="K29" i="1"/>
  <c r="L29" i="1" s="1"/>
  <c r="M29" i="1" s="1"/>
  <c r="K45" i="1"/>
  <c r="L45" i="1" s="1"/>
  <c r="M45" i="1" s="1"/>
  <c r="K109" i="1"/>
  <c r="L109" i="1" s="1"/>
  <c r="M109" i="1" s="1"/>
  <c r="K22" i="1"/>
  <c r="L22" i="1" s="1"/>
  <c r="M22" i="1" s="1"/>
  <c r="K42" i="1"/>
  <c r="L42" i="1" s="1"/>
  <c r="M42" i="1" s="1"/>
  <c r="K54" i="1"/>
  <c r="L54" i="1" s="1"/>
  <c r="M54" i="1" s="1"/>
  <c r="K86" i="1"/>
  <c r="L86" i="1" s="1"/>
  <c r="M86" i="1" s="1"/>
  <c r="K106" i="1"/>
  <c r="L106" i="1" s="1"/>
  <c r="M106" i="1" s="1"/>
  <c r="K27" i="1"/>
  <c r="L27" i="1" s="1"/>
  <c r="M27" i="1" s="1"/>
  <c r="K91" i="1"/>
  <c r="L91" i="1" s="1"/>
  <c r="M91" i="1" s="1"/>
  <c r="K165" i="1"/>
  <c r="L165" i="1" s="1"/>
  <c r="M165" i="1" s="1"/>
  <c r="K242" i="1"/>
  <c r="L242" i="1" s="1"/>
  <c r="M242" i="1" s="1"/>
  <c r="K285" i="1"/>
  <c r="L285" i="1" s="1"/>
  <c r="M285" i="1" s="1"/>
  <c r="K142" i="1"/>
  <c r="L142" i="1" s="1"/>
  <c r="M142" i="1" s="1"/>
  <c r="K308" i="1"/>
  <c r="L308" i="1" s="1"/>
  <c r="M308" i="1" s="1"/>
  <c r="K237" i="1"/>
  <c r="L237" i="1" s="1"/>
  <c r="M237" i="1" s="1"/>
  <c r="K280" i="1"/>
  <c r="L280" i="1" s="1"/>
  <c r="M280" i="1" s="1"/>
  <c r="K156" i="1"/>
  <c r="L156" i="1" s="1"/>
  <c r="M156" i="1" s="1"/>
  <c r="K188" i="1"/>
  <c r="L188" i="1" s="1"/>
  <c r="M188" i="1" s="1"/>
  <c r="K229" i="1"/>
  <c r="L229" i="1" s="1"/>
  <c r="M229" i="1" s="1"/>
  <c r="K233" i="1"/>
  <c r="L233" i="1" s="1"/>
  <c r="M233" i="1" s="1"/>
  <c r="K293" i="1"/>
  <c r="L293" i="1" s="1"/>
  <c r="M293" i="1" s="1"/>
  <c r="K297" i="1"/>
  <c r="L297" i="1" s="1"/>
  <c r="M297" i="1" s="1"/>
  <c r="K294" i="1"/>
  <c r="L294" i="1" s="1"/>
  <c r="M294" i="1" s="1"/>
  <c r="K145" i="1"/>
  <c r="L145" i="1" s="1"/>
  <c r="M145" i="1" s="1"/>
  <c r="K193" i="1"/>
  <c r="L193" i="1" s="1"/>
  <c r="M193" i="1" s="1"/>
  <c r="K205" i="1"/>
  <c r="L205" i="1" s="1"/>
  <c r="M205" i="1" s="1"/>
  <c r="K209" i="1"/>
  <c r="L209" i="1" s="1"/>
  <c r="M209" i="1" s="1"/>
  <c r="K222" i="1"/>
  <c r="L222" i="1" s="1"/>
  <c r="M222" i="1" s="1"/>
  <c r="K286" i="1"/>
  <c r="L286" i="1" s="1"/>
  <c r="M286" i="1" s="1"/>
  <c r="K298" i="1"/>
  <c r="L298" i="1" s="1"/>
  <c r="M298" i="1" s="1"/>
  <c r="K330" i="1"/>
  <c r="L330" i="1" s="1"/>
  <c r="M330" i="1" s="1"/>
  <c r="K348" i="1"/>
  <c r="L348" i="1" s="1"/>
  <c r="M348" i="1" s="1"/>
  <c r="K228" i="1"/>
  <c r="L228" i="1" s="1"/>
  <c r="M228" i="1" s="1"/>
  <c r="K73" i="1"/>
  <c r="L73" i="1" s="1"/>
  <c r="M73" i="1" s="1"/>
  <c r="K57" i="1"/>
  <c r="L57" i="1" s="1"/>
  <c r="M57" i="1" s="1"/>
  <c r="K289" i="1"/>
  <c r="L289" i="1" s="1"/>
  <c r="M289" i="1" s="1"/>
  <c r="K25" i="1"/>
  <c r="L25" i="1" s="1"/>
  <c r="M25" i="1" s="1"/>
  <c r="K32" i="1"/>
  <c r="L32" i="1" s="1"/>
  <c r="M32" i="1" s="1"/>
  <c r="K48" i="1"/>
  <c r="L48" i="1" s="1"/>
  <c r="M48" i="1" s="1"/>
  <c r="K96" i="1"/>
  <c r="L96" i="1" s="1"/>
  <c r="M96" i="1" s="1"/>
  <c r="K160" i="1"/>
  <c r="L160" i="1" s="1"/>
  <c r="M160" i="1" s="1"/>
  <c r="K312" i="1"/>
  <c r="L312" i="1" s="1"/>
  <c r="M312" i="1" s="1"/>
  <c r="K125" i="1"/>
  <c r="L125" i="1" s="1"/>
  <c r="M125" i="1" s="1"/>
  <c r="K133" i="1"/>
  <c r="L133" i="1" s="1"/>
  <c r="M133" i="1" s="1"/>
  <c r="K155" i="1"/>
  <c r="L155" i="1" s="1"/>
  <c r="M155" i="1" s="1"/>
  <c r="K332" i="1"/>
  <c r="L332" i="1" s="1"/>
  <c r="M332" i="1" s="1"/>
  <c r="K304" i="1"/>
  <c r="L304" i="1" s="1"/>
  <c r="M304" i="1" s="1"/>
  <c r="K13" i="1"/>
  <c r="L13" i="1" s="1"/>
  <c r="M13" i="1" s="1"/>
  <c r="K61" i="1"/>
  <c r="L61" i="1" s="1"/>
  <c r="M61" i="1" s="1"/>
  <c r="K77" i="1"/>
  <c r="L77" i="1" s="1"/>
  <c r="M77" i="1" s="1"/>
  <c r="K93" i="1"/>
  <c r="L93" i="1" s="1"/>
  <c r="M93" i="1" s="1"/>
  <c r="K118" i="1"/>
  <c r="L118" i="1" s="1"/>
  <c r="M118" i="1" s="1"/>
  <c r="K18" i="1"/>
  <c r="L18" i="1" s="1"/>
  <c r="M18" i="1" s="1"/>
  <c r="K30" i="1"/>
  <c r="L30" i="1" s="1"/>
  <c r="M30" i="1" s="1"/>
  <c r="K50" i="1"/>
  <c r="L50" i="1" s="1"/>
  <c r="M50" i="1" s="1"/>
  <c r="K62" i="1"/>
  <c r="L62" i="1" s="1"/>
  <c r="M62" i="1" s="1"/>
  <c r="K82" i="1"/>
  <c r="L82" i="1" s="1"/>
  <c r="M82" i="1" s="1"/>
  <c r="K94" i="1"/>
  <c r="L94" i="1" s="1"/>
  <c r="M94" i="1" s="1"/>
  <c r="K114" i="1"/>
  <c r="L114" i="1" s="1"/>
  <c r="M114" i="1" s="1"/>
  <c r="K122" i="1"/>
  <c r="L122" i="1" s="1"/>
  <c r="M122" i="1" s="1"/>
  <c r="K130" i="1"/>
  <c r="L130" i="1" s="1"/>
  <c r="M130" i="1" s="1"/>
  <c r="K107" i="1"/>
  <c r="L107" i="1" s="1"/>
  <c r="M107" i="1" s="1"/>
  <c r="K187" i="1"/>
  <c r="L187" i="1" s="1"/>
  <c r="M187" i="1" s="1"/>
  <c r="K296" i="1"/>
  <c r="L296" i="1" s="1"/>
  <c r="M296" i="1" s="1"/>
  <c r="K138" i="1"/>
  <c r="L138" i="1" s="1"/>
  <c r="M138" i="1" s="1"/>
  <c r="K150" i="1"/>
  <c r="L150" i="1" s="1"/>
  <c r="M150" i="1" s="1"/>
  <c r="K162" i="1"/>
  <c r="L162" i="1" s="1"/>
  <c r="M162" i="1" s="1"/>
  <c r="K178" i="1"/>
  <c r="L178" i="1" s="1"/>
  <c r="M178" i="1" s="1"/>
  <c r="K194" i="1"/>
  <c r="L194" i="1" s="1"/>
  <c r="M194" i="1" s="1"/>
  <c r="K210" i="1"/>
  <c r="L210" i="1" s="1"/>
  <c r="M210" i="1" s="1"/>
  <c r="K227" i="1"/>
  <c r="L227" i="1" s="1"/>
  <c r="M227" i="1" s="1"/>
  <c r="K243" i="1"/>
  <c r="L243" i="1" s="1"/>
  <c r="M243" i="1" s="1"/>
  <c r="K259" i="1"/>
  <c r="L259" i="1" s="1"/>
  <c r="M259" i="1" s="1"/>
  <c r="K275" i="1"/>
  <c r="L275" i="1" s="1"/>
  <c r="M275" i="1" s="1"/>
  <c r="K291" i="1"/>
  <c r="L291" i="1" s="1"/>
  <c r="M291" i="1" s="1"/>
  <c r="K307" i="1"/>
  <c r="L307" i="1" s="1"/>
  <c r="M307" i="1" s="1"/>
  <c r="K323" i="1"/>
  <c r="L323" i="1" s="1"/>
  <c r="M323" i="1" s="1"/>
  <c r="K339" i="1"/>
  <c r="L339" i="1" s="1"/>
  <c r="M339" i="1" s="1"/>
  <c r="K351" i="1"/>
  <c r="L351" i="1" s="1"/>
  <c r="M351" i="1" s="1"/>
  <c r="K324" i="1"/>
  <c r="L324" i="1" s="1"/>
  <c r="M324" i="1" s="1"/>
  <c r="K35" i="1"/>
  <c r="L35" i="1" s="1"/>
  <c r="M35" i="1" s="1"/>
  <c r="K147" i="1"/>
  <c r="L147" i="1" s="1"/>
  <c r="M147" i="1" s="1"/>
  <c r="K224" i="1"/>
  <c r="L224" i="1" s="1"/>
  <c r="M224" i="1" s="1"/>
  <c r="K240" i="1"/>
  <c r="L240" i="1" s="1"/>
  <c r="M240" i="1" s="1"/>
  <c r="K248" i="1"/>
  <c r="L248" i="1" s="1"/>
  <c r="M248" i="1" s="1"/>
  <c r="K325" i="1"/>
  <c r="L325" i="1" s="1"/>
  <c r="M325" i="1" s="1"/>
  <c r="K4" i="1"/>
  <c r="L4" i="1" s="1"/>
  <c r="M4" i="1" s="1"/>
  <c r="K8" i="1"/>
  <c r="L8" i="1" s="1"/>
  <c r="M8" i="1" s="1"/>
  <c r="K28" i="1"/>
  <c r="L28" i="1" s="1"/>
  <c r="M28" i="1" s="1"/>
  <c r="K68" i="1"/>
  <c r="L68" i="1" s="1"/>
  <c r="M68" i="1" s="1"/>
  <c r="K72" i="1"/>
  <c r="L72" i="1" s="1"/>
  <c r="M72" i="1" s="1"/>
  <c r="K116" i="1"/>
  <c r="L116" i="1" s="1"/>
  <c r="M116" i="1" s="1"/>
  <c r="K120" i="1"/>
  <c r="L120" i="1" s="1"/>
  <c r="M120" i="1" s="1"/>
  <c r="K124" i="1"/>
  <c r="L124" i="1" s="1"/>
  <c r="M124" i="1" s="1"/>
  <c r="K164" i="1"/>
  <c r="L164" i="1" s="1"/>
  <c r="M164" i="1" s="1"/>
  <c r="K168" i="1"/>
  <c r="L168" i="1" s="1"/>
  <c r="M168" i="1" s="1"/>
  <c r="K172" i="1"/>
  <c r="L172" i="1" s="1"/>
  <c r="M172" i="1" s="1"/>
  <c r="K212" i="1"/>
  <c r="L212" i="1" s="1"/>
  <c r="M212" i="1" s="1"/>
  <c r="K216" i="1"/>
  <c r="L216" i="1" s="1"/>
  <c r="M216" i="1" s="1"/>
  <c r="K245" i="1"/>
  <c r="L245" i="1" s="1"/>
  <c r="M245" i="1" s="1"/>
  <c r="K249" i="1"/>
  <c r="L249" i="1" s="1"/>
  <c r="M249" i="1" s="1"/>
  <c r="K252" i="1"/>
  <c r="L252" i="1" s="1"/>
  <c r="M252" i="1" s="1"/>
  <c r="K161" i="1"/>
  <c r="L161" i="1" s="1"/>
  <c r="M161" i="1" s="1"/>
  <c r="K173" i="1"/>
  <c r="L173" i="1" s="1"/>
  <c r="M173" i="1" s="1"/>
  <c r="K177" i="1"/>
  <c r="L177" i="1" s="1"/>
  <c r="M177" i="1" s="1"/>
  <c r="K189" i="1"/>
  <c r="L189" i="1" s="1"/>
  <c r="M189" i="1" s="1"/>
  <c r="K201" i="1"/>
  <c r="L201" i="1" s="1"/>
  <c r="M201" i="1" s="1"/>
  <c r="K218" i="1"/>
  <c r="L218" i="1" s="1"/>
  <c r="M218" i="1" s="1"/>
  <c r="K254" i="1"/>
  <c r="L254" i="1" s="1"/>
  <c r="M254" i="1" s="1"/>
  <c r="K266" i="1"/>
  <c r="L266" i="1" s="1"/>
  <c r="M266" i="1" s="1"/>
  <c r="K270" i="1"/>
  <c r="L270" i="1" s="1"/>
  <c r="M270" i="1" s="1"/>
  <c r="K282" i="1"/>
  <c r="L282" i="1" s="1"/>
  <c r="M282" i="1" s="1"/>
  <c r="K318" i="1"/>
  <c r="L318" i="1" s="1"/>
  <c r="M318" i="1" s="1"/>
  <c r="K326" i="1"/>
  <c r="L326" i="1" s="1"/>
  <c r="M326" i="1" s="1"/>
  <c r="K354" i="1"/>
  <c r="L354" i="1" s="1"/>
  <c r="M354" i="1" s="1"/>
  <c r="K7" i="1"/>
  <c r="L7" i="1" s="1"/>
  <c r="M7" i="1" s="1"/>
  <c r="K15" i="1"/>
  <c r="L15" i="1" s="1"/>
  <c r="M15" i="1" s="1"/>
  <c r="K23" i="1"/>
  <c r="L23" i="1" s="1"/>
  <c r="M23" i="1" s="1"/>
  <c r="K31" i="1"/>
  <c r="L31" i="1" s="1"/>
  <c r="M31" i="1" s="1"/>
  <c r="K39" i="1"/>
  <c r="L39" i="1" s="1"/>
  <c r="M39" i="1" s="1"/>
  <c r="K257" i="1"/>
  <c r="L257" i="1" s="1"/>
  <c r="M257" i="1" s="1"/>
  <c r="K121" i="1"/>
  <c r="L121" i="1" s="1"/>
  <c r="M121" i="1" s="1"/>
  <c r="K41" i="1"/>
  <c r="L41" i="1" s="1"/>
  <c r="M41" i="1" s="1"/>
  <c r="K17" i="1"/>
  <c r="L17" i="1" s="1"/>
  <c r="M17" i="1" s="1"/>
  <c r="K33" i="1"/>
  <c r="L33" i="1" s="1"/>
  <c r="M33" i="1" s="1"/>
  <c r="K49" i="1"/>
  <c r="L49" i="1" s="1"/>
  <c r="M49" i="1" s="1"/>
  <c r="K65" i="1"/>
  <c r="L65" i="1" s="1"/>
  <c r="M65" i="1" s="1"/>
  <c r="K81" i="1"/>
  <c r="L81" i="1" s="1"/>
  <c r="M81" i="1" s="1"/>
  <c r="K97" i="1"/>
  <c r="L97" i="1" s="1"/>
  <c r="M97" i="1" s="1"/>
  <c r="K113" i="1"/>
  <c r="L113" i="1" s="1"/>
  <c r="M113" i="1" s="1"/>
  <c r="K6" i="1"/>
  <c r="L6" i="1" s="1"/>
  <c r="M6" i="1" s="1"/>
  <c r="K26" i="1"/>
  <c r="L26" i="1" s="1"/>
  <c r="M26" i="1" s="1"/>
  <c r="K38" i="1"/>
  <c r="L38" i="1" s="1"/>
  <c r="M38" i="1" s="1"/>
  <c r="K58" i="1"/>
  <c r="L58" i="1" s="1"/>
  <c r="M58" i="1" s="1"/>
  <c r="K70" i="1"/>
  <c r="L70" i="1" s="1"/>
  <c r="M70" i="1" s="1"/>
  <c r="K90" i="1"/>
  <c r="L90" i="1" s="1"/>
  <c r="M90" i="1" s="1"/>
  <c r="K102" i="1"/>
  <c r="L102" i="1" s="1"/>
  <c r="M102" i="1" s="1"/>
  <c r="K123" i="1"/>
  <c r="L123" i="1" s="1"/>
  <c r="M123" i="1" s="1"/>
  <c r="K208" i="1"/>
  <c r="L208" i="1" s="1"/>
  <c r="M208" i="1" s="1"/>
  <c r="K264" i="1"/>
  <c r="L264" i="1" s="1"/>
  <c r="M264" i="1" s="1"/>
  <c r="K305" i="1"/>
  <c r="L305" i="1" s="1"/>
  <c r="M305" i="1" s="1"/>
  <c r="K337" i="1"/>
  <c r="L337" i="1" s="1"/>
  <c r="M337" i="1" s="1"/>
  <c r="K134" i="1"/>
  <c r="L134" i="1" s="1"/>
  <c r="M134" i="1" s="1"/>
  <c r="K146" i="1"/>
  <c r="L146" i="1" s="1"/>
  <c r="M146" i="1" s="1"/>
  <c r="K158" i="1"/>
  <c r="L158" i="1" s="1"/>
  <c r="M158" i="1" s="1"/>
  <c r="K174" i="1"/>
  <c r="L174" i="1" s="1"/>
  <c r="M174" i="1" s="1"/>
  <c r="K190" i="1"/>
  <c r="L190" i="1" s="1"/>
  <c r="M190" i="1" s="1"/>
  <c r="K206" i="1"/>
  <c r="L206" i="1" s="1"/>
  <c r="M206" i="1" s="1"/>
  <c r="K223" i="1"/>
  <c r="L223" i="1" s="1"/>
  <c r="M223" i="1" s="1"/>
  <c r="K239" i="1"/>
  <c r="L239" i="1" s="1"/>
  <c r="M239" i="1" s="1"/>
  <c r="K255" i="1"/>
  <c r="L255" i="1" s="1"/>
  <c r="M255" i="1" s="1"/>
  <c r="K271" i="1"/>
  <c r="L271" i="1" s="1"/>
  <c r="M271" i="1" s="1"/>
  <c r="K287" i="1"/>
  <c r="L287" i="1" s="1"/>
  <c r="M287" i="1" s="1"/>
  <c r="K303" i="1"/>
  <c r="L303" i="1" s="1"/>
  <c r="M303" i="1" s="1"/>
  <c r="K319" i="1"/>
  <c r="L319" i="1" s="1"/>
  <c r="M319" i="1" s="1"/>
  <c r="K335" i="1"/>
  <c r="L335" i="1" s="1"/>
  <c r="M335" i="1" s="1"/>
  <c r="K347" i="1"/>
  <c r="L347" i="1" s="1"/>
  <c r="M347" i="1" s="1"/>
  <c r="K340" i="1"/>
  <c r="L340" i="1" s="1"/>
  <c r="M340" i="1" s="1"/>
  <c r="K19" i="1"/>
  <c r="L19" i="1" s="1"/>
  <c r="M19" i="1" s="1"/>
  <c r="K83" i="1"/>
  <c r="L83" i="1" s="1"/>
  <c r="M83" i="1" s="1"/>
  <c r="K131" i="1"/>
  <c r="L131" i="1" s="1"/>
  <c r="M131" i="1" s="1"/>
  <c r="K195" i="1"/>
  <c r="L195" i="1" s="1"/>
  <c r="M195" i="1" s="1"/>
  <c r="K207" i="1"/>
  <c r="L207" i="1" s="1"/>
  <c r="M207" i="1" s="1"/>
  <c r="K276" i="1"/>
  <c r="L276" i="1" s="1"/>
  <c r="M276" i="1" s="1"/>
  <c r="K288" i="1"/>
  <c r="L288" i="1" s="1"/>
  <c r="M288" i="1" s="1"/>
  <c r="K176" i="1"/>
  <c r="L176" i="1" s="1"/>
  <c r="M176" i="1" s="1"/>
  <c r="K258" i="1"/>
  <c r="L258" i="1" s="1"/>
  <c r="M258" i="1" s="1"/>
  <c r="K301" i="1"/>
  <c r="L301" i="1" s="1"/>
  <c r="M301" i="1" s="1"/>
  <c r="K20" i="1"/>
  <c r="L20" i="1" s="1"/>
  <c r="M20" i="1" s="1"/>
  <c r="K24" i="1"/>
  <c r="L24" i="1" s="1"/>
  <c r="M24" i="1" s="1"/>
  <c r="K44" i="1"/>
  <c r="L44" i="1" s="1"/>
  <c r="M44" i="1" s="1"/>
  <c r="K92" i="1"/>
  <c r="L92" i="1" s="1"/>
  <c r="M92" i="1" s="1"/>
  <c r="K108" i="1"/>
  <c r="L108" i="1" s="1"/>
  <c r="M108" i="1" s="1"/>
  <c r="K196" i="1"/>
  <c r="L196" i="1" s="1"/>
  <c r="M196" i="1" s="1"/>
  <c r="K200" i="1"/>
  <c r="L200" i="1" s="1"/>
  <c r="M200" i="1" s="1"/>
  <c r="K217" i="1"/>
  <c r="L217" i="1" s="1"/>
  <c r="M217" i="1" s="1"/>
  <c r="K261" i="1"/>
  <c r="L261" i="1" s="1"/>
  <c r="M261" i="1" s="1"/>
  <c r="K265" i="1"/>
  <c r="L265" i="1" s="1"/>
  <c r="M265" i="1" s="1"/>
  <c r="K199" i="1"/>
  <c r="L199" i="1" s="1"/>
  <c r="M199" i="1" s="1"/>
  <c r="K211" i="1"/>
  <c r="L211" i="1" s="1"/>
  <c r="M211" i="1" s="1"/>
  <c r="K220" i="1"/>
  <c r="L220" i="1" s="1"/>
  <c r="M220" i="1" s="1"/>
  <c r="K244" i="1"/>
  <c r="L244" i="1" s="1"/>
  <c r="M244" i="1" s="1"/>
  <c r="K256" i="1"/>
  <c r="L256" i="1" s="1"/>
  <c r="M256" i="1" s="1"/>
  <c r="K262" i="1"/>
  <c r="L262" i="1" s="1"/>
  <c r="M262" i="1" s="1"/>
  <c r="K157" i="1"/>
  <c r="L157" i="1" s="1"/>
  <c r="M157" i="1" s="1"/>
  <c r="K169" i="1"/>
  <c r="L169" i="1" s="1"/>
  <c r="M169" i="1" s="1"/>
  <c r="K185" i="1"/>
  <c r="L185" i="1" s="1"/>
  <c r="M185" i="1" s="1"/>
  <c r="K234" i="1"/>
  <c r="L234" i="1" s="1"/>
  <c r="M234" i="1" s="1"/>
  <c r="K238" i="1"/>
  <c r="L238" i="1" s="1"/>
  <c r="M238" i="1" s="1"/>
  <c r="K250" i="1"/>
  <c r="L250" i="1" s="1"/>
  <c r="M250" i="1" s="1"/>
  <c r="K314" i="1"/>
  <c r="L314" i="1" s="1"/>
  <c r="M314" i="1" s="1"/>
  <c r="K322" i="1"/>
  <c r="L322" i="1" s="1"/>
  <c r="M322" i="1" s="1"/>
  <c r="K338" i="1"/>
  <c r="L338" i="1" s="1"/>
  <c r="M338" i="1" s="1"/>
  <c r="K350" i="1"/>
  <c r="L350" i="1" s="1"/>
  <c r="M350" i="1" s="1"/>
  <c r="K127" i="1"/>
  <c r="L127" i="1" s="1"/>
  <c r="M127" i="1" s="1"/>
  <c r="K135" i="1"/>
  <c r="L135" i="1" s="1"/>
  <c r="M135" i="1" s="1"/>
  <c r="K143" i="1"/>
  <c r="L143" i="1" s="1"/>
  <c r="M143" i="1" s="1"/>
  <c r="K151" i="1"/>
  <c r="L151" i="1" s="1"/>
  <c r="M151" i="1" s="1"/>
  <c r="K159" i="1"/>
  <c r="L159" i="1" s="1"/>
  <c r="M159" i="1" s="1"/>
  <c r="K260" i="1"/>
  <c r="L260" i="1" s="1"/>
  <c r="M260" i="1" s="1"/>
  <c r="K272" i="1"/>
  <c r="L272" i="1" s="1"/>
  <c r="M272" i="1" s="1"/>
  <c r="K278" i="1"/>
  <c r="L278" i="1" s="1"/>
  <c r="M278" i="1" s="1"/>
  <c r="K105" i="1"/>
  <c r="L105" i="1" s="1"/>
  <c r="M105" i="1" s="1"/>
  <c r="K246" i="1"/>
  <c r="L246" i="1" s="1"/>
  <c r="M246" i="1" s="1"/>
  <c r="K16" i="1"/>
  <c r="L16" i="1" s="1"/>
  <c r="M16" i="1" s="1"/>
  <c r="K64" i="1"/>
  <c r="L64" i="1" s="1"/>
  <c r="M64" i="1" s="1"/>
  <c r="K80" i="1"/>
  <c r="L80" i="1" s="1"/>
  <c r="M80" i="1" s="1"/>
  <c r="K112" i="1"/>
  <c r="L112" i="1" s="1"/>
  <c r="M112" i="1" s="1"/>
  <c r="K128" i="1"/>
  <c r="L128" i="1" s="1"/>
  <c r="M128" i="1" s="1"/>
  <c r="K192" i="1"/>
  <c r="L192" i="1" s="1"/>
  <c r="M192" i="1" s="1"/>
  <c r="K221" i="1"/>
  <c r="L221" i="1" s="1"/>
  <c r="M221" i="1" s="1"/>
  <c r="K241" i="1"/>
  <c r="L241" i="1" s="1"/>
  <c r="M241" i="1" s="1"/>
  <c r="K273" i="1"/>
  <c r="L273" i="1" s="1"/>
  <c r="M273" i="1" s="1"/>
  <c r="K117" i="1"/>
  <c r="L117" i="1" s="1"/>
  <c r="M117" i="1" s="1"/>
  <c r="K129" i="1"/>
  <c r="L129" i="1" s="1"/>
  <c r="M129" i="1" s="1"/>
  <c r="K149" i="1"/>
  <c r="L149" i="1" s="1"/>
  <c r="M149" i="1" s="1"/>
  <c r="K139" i="1"/>
  <c r="L139" i="1" s="1"/>
  <c r="M139" i="1" s="1"/>
  <c r="K232" i="1"/>
  <c r="L232" i="1" s="1"/>
  <c r="M232" i="1" s="1"/>
  <c r="K316" i="1"/>
  <c r="L316" i="1" s="1"/>
  <c r="M316" i="1" s="1"/>
  <c r="K2" i="1"/>
  <c r="L2" i="1" s="1"/>
  <c r="M2" i="1" s="1"/>
  <c r="Q2" i="1"/>
  <c r="R2" i="1"/>
  <c r="P2" i="1"/>
  <c r="O2" i="1"/>
  <c r="N2" i="1"/>
  <c r="W133" i="3" l="1"/>
  <c r="AE14" i="3"/>
  <c r="V182" i="3"/>
  <c r="V218" i="3"/>
  <c r="W218" i="3" s="1"/>
  <c r="V126" i="3"/>
  <c r="W126" i="3" s="1"/>
  <c r="V262" i="3"/>
  <c r="W262" i="3" s="1"/>
  <c r="V217" i="3"/>
  <c r="W217" i="3" s="1"/>
  <c r="V67" i="3"/>
  <c r="W67" i="3" s="1"/>
  <c r="V311" i="3"/>
  <c r="W311" i="3" s="1"/>
  <c r="V267" i="3"/>
  <c r="W267" i="3" s="1"/>
  <c r="V219" i="3"/>
  <c r="W219" i="3" s="1"/>
  <c r="V180" i="3"/>
  <c r="W180" i="3" s="1"/>
  <c r="V319" i="3"/>
  <c r="W319" i="3" s="1"/>
  <c r="V66" i="3"/>
  <c r="W66" i="3" s="1"/>
  <c r="V258" i="3"/>
  <c r="W258" i="3" s="1"/>
  <c r="V78" i="3"/>
  <c r="W78" i="3" s="1"/>
  <c r="V320" i="3"/>
  <c r="W320" i="3" s="1"/>
  <c r="V95" i="3"/>
  <c r="W95" i="3" s="1"/>
  <c r="W79" i="3"/>
  <c r="W310" i="3"/>
  <c r="W158" i="3"/>
  <c r="W206" i="3"/>
  <c r="W182" i="3"/>
  <c r="W207" i="3"/>
  <c r="W181" i="3"/>
  <c r="AE11" i="3"/>
  <c r="AE5" i="3"/>
  <c r="AE6" i="3"/>
  <c r="AE4" i="3"/>
  <c r="AE12" i="3"/>
  <c r="T117" i="1"/>
  <c r="U117" i="1" s="1"/>
  <c r="S2" i="1"/>
  <c r="T2" i="1" s="1"/>
  <c r="U2" i="1" s="1"/>
  <c r="AD7" i="3"/>
  <c r="AF4" i="3" s="1"/>
  <c r="AF3" i="3" l="1"/>
  <c r="AF6" i="3"/>
  <c r="AF5" i="3"/>
  <c r="AF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Visintin, Jaelyn - ARS</author>
  </authors>
  <commentList>
    <comment ref="A317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May need afterripening</t>
        </r>
      </text>
    </comment>
    <comment ref="A318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May need after ripening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Visintin, Jaelyn - ARS</author>
  </authors>
  <commentList>
    <comment ref="C317" authorId="0" shapeId="0" xr:uid="{D6F343D1-00D0-4AF4-B608-0153EEECF18F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May need afterripening</t>
        </r>
      </text>
    </comment>
    <comment ref="C318" authorId="0" shapeId="0" xr:uid="{76EA2CF6-C996-4CDB-8D1C-E5744954D117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May need after ripening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Visintin, Jaelyn - ARS</author>
  </authors>
  <commentList>
    <comment ref="A317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May need afterripening</t>
        </r>
      </text>
    </comment>
    <comment ref="A318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May need after ripening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Visintin, Jaelyn - ARS</author>
  </authors>
  <commentList>
    <comment ref="A317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May need afterripening</t>
        </r>
      </text>
    </comment>
    <comment ref="A318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May need after ripening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Visintin, Jaelyn - ARS</author>
  </authors>
  <commentList>
    <comment ref="I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Visintin, Jaelyn - ARS:</t>
        </r>
        <r>
          <rPr>
            <sz val="9"/>
            <color indexed="81"/>
            <rFont val="Tahoma"/>
            <family val="2"/>
          </rPr>
          <t xml:space="preserve">
Rep 2: hypocotyl lesions and stubby roots</t>
        </r>
      </text>
    </comment>
    <comment ref="I8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 (4) primary fungal infection (3) stubby roots with necrosis
Rep 2: (6) primary fungal infection (3) stubby roots (2) hypocotyl lesions</t>
        </r>
      </text>
    </comment>
    <comment ref="I9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 (1) dettatched cotyledon (1) fungal infection)
Rep 2: (1) stubby roots (1) lesions to cotyledon and hypocotyl</t>
        </r>
      </text>
    </comment>
    <comment ref="I11" authorId="0" shapeId="0" xr:uid="{00000000-0006-0000-0400-000004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 (1) fungal
Rep 2: (1) necrosis of hypocotyl area</t>
        </r>
      </text>
    </comment>
    <comment ref="I12" authorId="0" shapeId="0" xr:uid="{00000000-0006-0000-0400-000005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2: (1) fungal (2) stubby roots (1) watery embryo</t>
        </r>
      </text>
    </comment>
    <comment ref="I13" authorId="0" shapeId="0" xr:uid="{00000000-0006-0000-0400-000006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2: (3) fungal (3) stubby roots </t>
        </r>
      </text>
    </comment>
    <comment ref="I47" authorId="0" shapeId="0" xr:uid="{00000000-0006-0000-0400-000007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 (1) double embryo
Rep 2: (1) stubby roots (2) coteledon detattached from embryo</t>
        </r>
      </text>
    </comment>
    <comment ref="I69" authorId="0" shapeId="0" xr:uid="{00000000-0006-0000-0400-000008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 (1) fungal (2) watery embryo
Rep 2: (2) fungal (1) necrosis of radical
</t>
        </r>
      </text>
    </comment>
    <comment ref="I85" authorId="0" shapeId="0" xr:uid="{00000000-0006-0000-0400-000009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
Rep 2: Fungal (7)</t>
        </r>
      </text>
    </comment>
    <comment ref="I90" authorId="0" shapeId="0" xr:uid="{00000000-0006-0000-0400-00000A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2: (2) fungi</t>
        </r>
      </text>
    </comment>
    <comment ref="I92" authorId="0" shapeId="0" xr:uid="{00000000-0006-0000-0400-00000B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
Rep 2: Primary fungal infection (1)</t>
        </r>
      </text>
    </comment>
    <comment ref="I93" authorId="0" shapeId="0" xr:uid="{00000000-0006-0000-0400-00000C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 (1) fungal
Rep 2: (3) fungal</t>
        </r>
      </text>
    </comment>
    <comment ref="I98" authorId="0" shapeId="0" xr:uid="{00000000-0006-0000-0400-00000D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 PFI (4)
Rep 2: PFI (7)</t>
        </r>
      </text>
    </comment>
    <comment ref="I107" authorId="0" shapeId="0" xr:uid="{00000000-0006-0000-0400-00000E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 Primary fungal infection (9)
Rep 2: Primary fungal infection (8)</t>
        </r>
      </text>
    </comment>
    <comment ref="I118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Visintin, Jaelyn - ARS:</t>
        </r>
        <r>
          <rPr>
            <sz val="9"/>
            <color indexed="81"/>
            <rFont val="Tahoma"/>
            <family val="2"/>
          </rPr>
          <t xml:space="preserve">
Rep 1: (1) fungal infection site</t>
        </r>
      </text>
    </comment>
    <comment ref="I131" authorId="0" shapeId="0" xr:uid="{00000000-0006-0000-0400-000010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 Fungal (2)
Rep 2: Fungal (1), Lesionson hypcotyl and insect damage to cotyledon (1), stubby roots (1)</t>
        </r>
      </text>
    </comment>
    <comment ref="I133" authorId="0" shapeId="0" xr:uid="{00000000-0006-0000-0400-000011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 fungal (7)
Rep 2: fungal (8)
</t>
        </r>
      </text>
    </comment>
    <comment ref="I136" authorId="0" shapeId="0" xr:uid="{00000000-0006-0000-0400-000012000000}">
      <text>
        <r>
          <rPr>
            <b/>
            <sz val="9"/>
            <color indexed="81"/>
            <rFont val="Tahoma"/>
            <family val="2"/>
          </rPr>
          <t>Visintin, Jaelyn - ARS:</t>
        </r>
        <r>
          <rPr>
            <sz val="9"/>
            <color indexed="81"/>
            <rFont val="Tahoma"/>
            <family val="2"/>
          </rPr>
          <t xml:space="preserve">
Rep 1: (8) fungal infection 
Rep 2: (2) fungal infection</t>
        </r>
      </text>
    </comment>
    <comment ref="I137" authorId="0" shapeId="0" xr:uid="{00000000-0006-0000-0400-000013000000}">
      <text>
        <r>
          <rPr>
            <b/>
            <sz val="9"/>
            <color indexed="81"/>
            <rFont val="Tahoma"/>
            <family val="2"/>
          </rPr>
          <t>Visintin, Jaelyn - ARS:</t>
        </r>
        <r>
          <rPr>
            <sz val="9"/>
            <color indexed="81"/>
            <rFont val="Tahoma"/>
            <family val="2"/>
          </rPr>
          <t xml:space="preserve">
Rep 1: (3) fungal infectiong
</t>
        </r>
      </text>
    </comment>
    <comment ref="I138" authorId="0" shapeId="0" xr:uid="{00000000-0006-0000-0400-000014000000}">
      <text>
        <r>
          <rPr>
            <b/>
            <sz val="9"/>
            <color indexed="81"/>
            <rFont val="Tahoma"/>
            <family val="2"/>
          </rPr>
          <t>Visintin, Jaelyn - ARS:</t>
        </r>
        <r>
          <rPr>
            <sz val="9"/>
            <color indexed="81"/>
            <rFont val="Tahoma"/>
            <family val="2"/>
          </rPr>
          <t xml:space="preserve">
Rep 1: (1) fungal infection
Rep 2: (5) fungal infection</t>
        </r>
      </text>
    </comment>
    <comment ref="I140" authorId="0" shapeId="0" xr:uid="{00000000-0006-0000-0400-000015000000}">
      <text>
        <r>
          <rPr>
            <b/>
            <sz val="9"/>
            <color indexed="81"/>
            <rFont val="Tahoma"/>
            <family val="2"/>
          </rPr>
          <t>Visintin, Jaelyn - ARS:</t>
        </r>
        <r>
          <rPr>
            <sz val="9"/>
            <color indexed="81"/>
            <rFont val="Tahoma"/>
            <family val="2"/>
          </rPr>
          <t xml:space="preserve">
Rep 1: (3) fungal infection
</t>
        </r>
      </text>
    </comment>
    <comment ref="I148" authorId="0" shapeId="0" xr:uid="{00000000-0006-0000-0400-000016000000}">
      <text>
        <r>
          <rPr>
            <b/>
            <sz val="9"/>
            <color indexed="81"/>
            <rFont val="Tahoma"/>
            <family val="2"/>
          </rPr>
          <t>Visintin, Jaelyn - ARS:</t>
        </r>
        <r>
          <rPr>
            <sz val="9"/>
            <color indexed="81"/>
            <rFont val="Tahoma"/>
            <family val="2"/>
          </rPr>
          <t xml:space="preserve">
Rep 1: (1) watery seedling
Rep 2: (2) watery seedling</t>
        </r>
      </text>
    </comment>
    <comment ref="I179" authorId="0" shapeId="0" xr:uid="{00000000-0006-0000-0400-000017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
Rep 2: Fungal (1)
</t>
        </r>
      </text>
    </comment>
    <comment ref="I181" authorId="0" shapeId="0" xr:uid="{00000000-0006-0000-0400-000018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 (1) waterty (2) stubby roots
Rep 2: (1) fungal (1) hyocotyl lesions (1) stubby roots</t>
        </r>
      </text>
    </comment>
    <comment ref="I182" authorId="0" shapeId="0" xr:uid="{00000000-0006-0000-0400-000019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 (2) fungal
Rep 2: (1) root lesions (2) fungal</t>
        </r>
      </text>
    </comment>
    <comment ref="I206" authorId="0" shapeId="0" xr:uid="{00000000-0006-0000-0400-00001A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 0
Rep 2: (3) fungal</t>
        </r>
      </text>
    </comment>
    <comment ref="I230" authorId="0" shapeId="0" xr:uid="{00000000-0006-0000-0400-00001B000000}">
      <text>
        <r>
          <rPr>
            <b/>
            <sz val="9"/>
            <color indexed="81"/>
            <rFont val="Tahoma"/>
            <family val="2"/>
          </rPr>
          <t>Visintin, Jaelyn - ARS:</t>
        </r>
        <r>
          <rPr>
            <sz val="9"/>
            <color indexed="81"/>
            <rFont val="Tahoma"/>
            <family val="2"/>
          </rPr>
          <t xml:space="preserve">
rep 2: (6) fungal infection site</t>
        </r>
      </text>
    </comment>
    <comment ref="I231" authorId="0" shapeId="0" xr:uid="{00000000-0006-0000-0400-00001C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 (2) stubby roots (2) missing roots (1) missing cotyledon</t>
        </r>
      </text>
    </comment>
    <comment ref="I232" authorId="0" shapeId="0" xr:uid="{00000000-0006-0000-0400-00001D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 (1) fungal (2) stubby roots (1) missing radical
Rep 2: (1) split cotyledon (3) stubby roots</t>
        </r>
      </text>
    </comment>
    <comment ref="I233" authorId="0" shapeId="0" xr:uid="{00000000-0006-0000-0400-00001E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 (3) fungal (1) stunted roots
Rep 2: (2) fungal (1) cotyledon dettached from hypocotyl and radical</t>
        </r>
      </text>
    </comment>
    <comment ref="H238" authorId="0" shapeId="0" xr:uid="{00000000-0006-0000-0400-00001F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14 seeds empty</t>
        </r>
      </text>
    </comment>
    <comment ref="I238" authorId="0" shapeId="0" xr:uid="{00000000-0006-0000-0400-000020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 (4) fungal infection site
Rep 2: (6) fungal infection (1) stubby root</t>
        </r>
      </text>
    </comment>
    <comment ref="H241" authorId="0" shapeId="0" xr:uid="{00000000-0006-0000-0400-000021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27 seeds empty</t>
        </r>
      </text>
    </comment>
    <comment ref="I241" authorId="0" shapeId="0" xr:uid="{00000000-0006-0000-0400-000022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 (1) albino (5) fungal infection ite
Rep 2: (1) necrosis of root (3) fungal infection site</t>
        </r>
      </text>
    </comment>
    <comment ref="I245" authorId="0" shapeId="0" xr:uid="{00000000-0006-0000-0400-000023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 (1) water mold </t>
        </r>
      </text>
    </comment>
    <comment ref="I341" authorId="0" shapeId="0" xr:uid="{00000000-0006-0000-0400-000024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Rep 1: (5) fungal infection site 
Rep 2: (7) fungal infection site</t>
        </r>
      </text>
    </comment>
    <comment ref="I343" authorId="0" shapeId="0" xr:uid="{00000000-0006-0000-0400-000025000000}">
      <text>
        <r>
          <rPr>
            <b/>
            <sz val="9"/>
            <color indexed="81"/>
            <rFont val="Tahoma"/>
            <charset val="1"/>
          </rPr>
          <t>Visintin, Jaelyn - ARS:</t>
        </r>
        <r>
          <rPr>
            <sz val="9"/>
            <color indexed="81"/>
            <rFont val="Tahoma"/>
            <charset val="1"/>
          </rPr>
          <t xml:space="preserve">
fungal infection site (1)</t>
        </r>
      </text>
    </comment>
  </commentList>
</comments>
</file>

<file path=xl/sharedStrings.xml><?xml version="1.0" encoding="utf-8"?>
<sst xmlns="http://schemas.openxmlformats.org/spreadsheetml/2006/main" count="9755" uniqueCount="731">
  <si>
    <t xml:space="preserve">Genus </t>
  </si>
  <si>
    <t>Species</t>
  </si>
  <si>
    <t>Account Number</t>
  </si>
  <si>
    <t>Agalinis</t>
  </si>
  <si>
    <t>maritima</t>
  </si>
  <si>
    <t>NEWFS-425</t>
  </si>
  <si>
    <t>NEWFS-759</t>
  </si>
  <si>
    <t>Alnus</t>
  </si>
  <si>
    <t>serrulata</t>
  </si>
  <si>
    <t>NCBG-292</t>
  </si>
  <si>
    <t>NCBG-392</t>
  </si>
  <si>
    <t>Andropogon</t>
  </si>
  <si>
    <t>gerardii</t>
  </si>
  <si>
    <t>NCBG-405</t>
  </si>
  <si>
    <t>Aristida</t>
  </si>
  <si>
    <t>purpurascens var. virgata</t>
  </si>
  <si>
    <t>NCBG-572</t>
  </si>
  <si>
    <t>Asclepias</t>
  </si>
  <si>
    <t>syriaca</t>
  </si>
  <si>
    <t>NCBG-374</t>
  </si>
  <si>
    <t>NEWFS-715</t>
  </si>
  <si>
    <t>NEWFS-822</t>
  </si>
  <si>
    <t>Atriplex</t>
  </si>
  <si>
    <t>prostrata</t>
  </si>
  <si>
    <t>NEWFS-776</t>
  </si>
  <si>
    <t>NEWFS-797</t>
  </si>
  <si>
    <t>Baccharis</t>
  </si>
  <si>
    <t>halimifolia</t>
  </si>
  <si>
    <t>NCBG-384</t>
  </si>
  <si>
    <t>Betula</t>
  </si>
  <si>
    <t>populifolia</t>
  </si>
  <si>
    <t>NEWFS-856</t>
  </si>
  <si>
    <t>Bolboschoenus</t>
  </si>
  <si>
    <t>maritimus</t>
  </si>
  <si>
    <t>NEWFS-424</t>
  </si>
  <si>
    <t>NEWFS-651</t>
  </si>
  <si>
    <t>NEWFS-69</t>
  </si>
  <si>
    <t>NEWFS-789</t>
  </si>
  <si>
    <t>NEWFS-812</t>
  </si>
  <si>
    <t>robustus</t>
  </si>
  <si>
    <t>NCBG-719</t>
  </si>
  <si>
    <t>NCBG-724</t>
  </si>
  <si>
    <t>NCBG-725</t>
  </si>
  <si>
    <t>Carex</t>
  </si>
  <si>
    <t>annectens</t>
  </si>
  <si>
    <t>MARSB-565</t>
  </si>
  <si>
    <t>NEWFS-363</t>
  </si>
  <si>
    <t>NEWFS-656</t>
  </si>
  <si>
    <t>comosa</t>
  </si>
  <si>
    <t>NEWFS-666</t>
  </si>
  <si>
    <t>crinita</t>
  </si>
  <si>
    <t>NEWFS-328</t>
  </si>
  <si>
    <t>NEWFS-634</t>
  </si>
  <si>
    <t>NEWFS-678</t>
  </si>
  <si>
    <t>NEWFS-701</t>
  </si>
  <si>
    <t>intumescens</t>
  </si>
  <si>
    <t>NEWFS-694</t>
  </si>
  <si>
    <t>lupulina</t>
  </si>
  <si>
    <t>NEWFS-676</t>
  </si>
  <si>
    <t>lurida</t>
  </si>
  <si>
    <t>MARSB-635</t>
  </si>
  <si>
    <t>NEWFS-338</t>
  </si>
  <si>
    <t>NEWFS-361</t>
  </si>
  <si>
    <t>NEWFS-655</t>
  </si>
  <si>
    <t>NEWFS-677</t>
  </si>
  <si>
    <t>NEWFS-683</t>
  </si>
  <si>
    <t>NEWFS-693</t>
  </si>
  <si>
    <t>scorparia var. scorparia</t>
  </si>
  <si>
    <t>NEWFS-633</t>
  </si>
  <si>
    <t>NEWFS-635</t>
  </si>
  <si>
    <t>NEWFS-652</t>
  </si>
  <si>
    <t>NEWFS-703</t>
  </si>
  <si>
    <t>stricta</t>
  </si>
  <si>
    <t>NEWFS-637</t>
  </si>
  <si>
    <t>Carpinus</t>
  </si>
  <si>
    <t>caroliniana</t>
  </si>
  <si>
    <t>NCBG-371</t>
  </si>
  <si>
    <t>Cephalanthus</t>
  </si>
  <si>
    <t>occidentalis</t>
  </si>
  <si>
    <t>NCBG-396</t>
  </si>
  <si>
    <t>NEWFS-920</t>
  </si>
  <si>
    <t>Chamaecyparis</t>
  </si>
  <si>
    <t>thyoides</t>
  </si>
  <si>
    <t>NEWFS-847</t>
  </si>
  <si>
    <t>Chamaedaphne</t>
  </si>
  <si>
    <t>calyculata</t>
  </si>
  <si>
    <t>NEWFS-845</t>
  </si>
  <si>
    <t>NEWFS-8923</t>
  </si>
  <si>
    <t>Clethra</t>
  </si>
  <si>
    <t>alnifolia</t>
  </si>
  <si>
    <t>NCBG-753</t>
  </si>
  <si>
    <t>NEWFS-848</t>
  </si>
  <si>
    <t>NEWFS-872</t>
  </si>
  <si>
    <t>NEWFS-902</t>
  </si>
  <si>
    <t>NEWFS-919</t>
  </si>
  <si>
    <t>NEWFS-921</t>
  </si>
  <si>
    <t>NEWFS-936</t>
  </si>
  <si>
    <t>Cyperus</t>
  </si>
  <si>
    <t>erythrorhizos</t>
  </si>
  <si>
    <t>NEWFS-705</t>
  </si>
  <si>
    <t>flavicomus</t>
  </si>
  <si>
    <t>NCBG-523</t>
  </si>
  <si>
    <t>grayi</t>
  </si>
  <si>
    <t>NCBG-504</t>
  </si>
  <si>
    <t>NCBG-510</t>
  </si>
  <si>
    <t>NEWFS-688</t>
  </si>
  <si>
    <t>lupulinus</t>
  </si>
  <si>
    <t>NEWFS-714</t>
  </si>
  <si>
    <t>odoratus</t>
  </si>
  <si>
    <t>NCBG-731</t>
  </si>
  <si>
    <t>strigosus</t>
  </si>
  <si>
    <t>NCBG-512</t>
  </si>
  <si>
    <t>Decodon</t>
  </si>
  <si>
    <t>verticillatus</t>
  </si>
  <si>
    <t>NCBG-532</t>
  </si>
  <si>
    <t>NEWFS-918</t>
  </si>
  <si>
    <t>Dichanthelium</t>
  </si>
  <si>
    <t>scoparium</t>
  </si>
  <si>
    <t>MARSB-636</t>
  </si>
  <si>
    <t>Digitaria</t>
  </si>
  <si>
    <t>cognata</t>
  </si>
  <si>
    <t>NEWFS-713</t>
  </si>
  <si>
    <t>Diospyros</t>
  </si>
  <si>
    <t>virginiana</t>
  </si>
  <si>
    <t>NCBG-373</t>
  </si>
  <si>
    <t>Distichlis</t>
  </si>
  <si>
    <t>spicata</t>
  </si>
  <si>
    <t>NCBG-741</t>
  </si>
  <si>
    <t>NCBG-746</t>
  </si>
  <si>
    <t>NEWFS-723</t>
  </si>
  <si>
    <t>NEWFS-735</t>
  </si>
  <si>
    <t>NEWFS-736</t>
  </si>
  <si>
    <t>NEWFS-762</t>
  </si>
  <si>
    <t>NEWFS-796</t>
  </si>
  <si>
    <t>NEWFS-805</t>
  </si>
  <si>
    <t>NEWFS-818</t>
  </si>
  <si>
    <t>Doellingeria</t>
  </si>
  <si>
    <t>umbellata var. umbellata</t>
  </si>
  <si>
    <t>NEWFS-863</t>
  </si>
  <si>
    <t>Dulichium</t>
  </si>
  <si>
    <t>arundinaceum</t>
  </si>
  <si>
    <t>NEWFS-716</t>
  </si>
  <si>
    <t>NEWFS-727</t>
  </si>
  <si>
    <t>NEWFS-834</t>
  </si>
  <si>
    <t>Eleocharis</t>
  </si>
  <si>
    <t>obtusa</t>
  </si>
  <si>
    <t>NEWFS-670</t>
  </si>
  <si>
    <t>NEWFS-682</t>
  </si>
  <si>
    <t>NEWFS-700</t>
  </si>
  <si>
    <t>palustris</t>
  </si>
  <si>
    <t>NEWFS-632</t>
  </si>
  <si>
    <t>quadrangulata</t>
  </si>
  <si>
    <t>NCBG-506</t>
  </si>
  <si>
    <t>NCBG-571</t>
  </si>
  <si>
    <t>Elymus</t>
  </si>
  <si>
    <t>virginicus</t>
  </si>
  <si>
    <t>MARSB-267</t>
  </si>
  <si>
    <t>Eragrostis</t>
  </si>
  <si>
    <t>spectabilis</t>
  </si>
  <si>
    <t>NEWFS-378</t>
  </si>
  <si>
    <t>NEWFS-745</t>
  </si>
  <si>
    <t>Erechtites</t>
  </si>
  <si>
    <t>hieraciifolia</t>
  </si>
  <si>
    <t>NEWFS-412</t>
  </si>
  <si>
    <t>Eriophorum</t>
  </si>
  <si>
    <t>virginicum</t>
  </si>
  <si>
    <t>NEWFS-452</t>
  </si>
  <si>
    <t>NEWFS-696</t>
  </si>
  <si>
    <t>Eupatorium</t>
  </si>
  <si>
    <t>hyssopifolium</t>
  </si>
  <si>
    <t>NCBG-315</t>
  </si>
  <si>
    <t>NCBG-395</t>
  </si>
  <si>
    <t>perfoliatum</t>
  </si>
  <si>
    <t>NEWFS-874</t>
  </si>
  <si>
    <t>serotinum</t>
  </si>
  <si>
    <t>MARSB-375</t>
  </si>
  <si>
    <t>Eurybia</t>
  </si>
  <si>
    <t>divaricata</t>
  </si>
  <si>
    <t>NEWFS-849</t>
  </si>
  <si>
    <t>NEWFS-864</t>
  </si>
  <si>
    <t>NEWFS-917</t>
  </si>
  <si>
    <t>NEWFS-925</t>
  </si>
  <si>
    <t>Euthamia</t>
  </si>
  <si>
    <t>MARSB-405</t>
  </si>
  <si>
    <t>NEWFS-855</t>
  </si>
  <si>
    <t>graminifolia</t>
  </si>
  <si>
    <t>NEWFS-854</t>
  </si>
  <si>
    <t>NEWFS-861</t>
  </si>
  <si>
    <t>NEWFS-875</t>
  </si>
  <si>
    <t>NEWFS-892</t>
  </si>
  <si>
    <t>NEWFS-897</t>
  </si>
  <si>
    <t>NEWFS-903</t>
  </si>
  <si>
    <t>NEWFS-905</t>
  </si>
  <si>
    <t>NEWFS-914</t>
  </si>
  <si>
    <t>NEWFS-932</t>
  </si>
  <si>
    <t>Eutrochium</t>
  </si>
  <si>
    <t>dubium</t>
  </si>
  <si>
    <t>NEWFS-756</t>
  </si>
  <si>
    <t>NEWFS-901</t>
  </si>
  <si>
    <t>Fimbristylis</t>
  </si>
  <si>
    <t>annua</t>
  </si>
  <si>
    <t>NCBG-555</t>
  </si>
  <si>
    <t>autumnalis</t>
  </si>
  <si>
    <t>NCBG-527</t>
  </si>
  <si>
    <t>castanea</t>
  </si>
  <si>
    <t>NCBG-520</t>
  </si>
  <si>
    <t>NCBG-546</t>
  </si>
  <si>
    <t>NCBG-548</t>
  </si>
  <si>
    <t>NCBG-562</t>
  </si>
  <si>
    <t>NCBG-742</t>
  </si>
  <si>
    <t>Gaultheria</t>
  </si>
  <si>
    <t>procumbens</t>
  </si>
  <si>
    <t>NEWFS-616</t>
  </si>
  <si>
    <t>NEWFS-926</t>
  </si>
  <si>
    <t>Gaylussacia</t>
  </si>
  <si>
    <t>baccata</t>
  </si>
  <si>
    <t>NEWFS-351</t>
  </si>
  <si>
    <t>Glyceria</t>
  </si>
  <si>
    <t>canadensis</t>
  </si>
  <si>
    <t>NEWFS-650</t>
  </si>
  <si>
    <t>NEWFS-665</t>
  </si>
  <si>
    <t>NEWFS-698</t>
  </si>
  <si>
    <t>Helenium</t>
  </si>
  <si>
    <t>autumnale</t>
  </si>
  <si>
    <t>NCBG-398</t>
  </si>
  <si>
    <t>Hibiscus</t>
  </si>
  <si>
    <t>moscheutos</t>
  </si>
  <si>
    <t>NCBG-489</t>
  </si>
  <si>
    <t>NEWFS-317</t>
  </si>
  <si>
    <t>NEWFS-896</t>
  </si>
  <si>
    <t>Hieracium</t>
  </si>
  <si>
    <t>panicalatum</t>
  </si>
  <si>
    <t>NEWFS-366</t>
  </si>
  <si>
    <t>Hudsonia</t>
  </si>
  <si>
    <t>ericoides</t>
  </si>
  <si>
    <t>MARSB-134</t>
  </si>
  <si>
    <t>tomentosa</t>
  </si>
  <si>
    <t>MARSB-132</t>
  </si>
  <si>
    <t>MARSB-133</t>
  </si>
  <si>
    <t>MARSB-137</t>
  </si>
  <si>
    <t>MARSB-144</t>
  </si>
  <si>
    <t>NCBG-713</t>
  </si>
  <si>
    <t>NEWFS-259</t>
  </si>
  <si>
    <t>Hypericum</t>
  </si>
  <si>
    <t>canadense</t>
  </si>
  <si>
    <t>NEWFS-836</t>
  </si>
  <si>
    <t>Ilex</t>
  </si>
  <si>
    <t>opaca</t>
  </si>
  <si>
    <t>NCBG-390</t>
  </si>
  <si>
    <t>NCBG-425</t>
  </si>
  <si>
    <t>verticillata</t>
  </si>
  <si>
    <t>NCBG-5665</t>
  </si>
  <si>
    <t>verticullata</t>
  </si>
  <si>
    <t>NEWFS-606</t>
  </si>
  <si>
    <t>NEWFS-939</t>
  </si>
  <si>
    <t>Iris</t>
  </si>
  <si>
    <t>versicolor</t>
  </si>
  <si>
    <t>NCBG-595</t>
  </si>
  <si>
    <t>Iva</t>
  </si>
  <si>
    <t>frutescens</t>
  </si>
  <si>
    <t>NCBG-743</t>
  </si>
  <si>
    <t>NCBG-744</t>
  </si>
  <si>
    <t>NEWFS-712</t>
  </si>
  <si>
    <t>NEWFS-734</t>
  </si>
  <si>
    <t>NEWFS-738</t>
  </si>
  <si>
    <t>NEWFS-743</t>
  </si>
  <si>
    <t>NEWFS-815</t>
  </si>
  <si>
    <t>Juncus</t>
  </si>
  <si>
    <t>NEWFS-924</t>
  </si>
  <si>
    <t>effusus</t>
  </si>
  <si>
    <t>NEWFS-337</t>
  </si>
  <si>
    <t>NEWFS-359</t>
  </si>
  <si>
    <t>NEWFS-360</t>
  </si>
  <si>
    <t>NEWFS-664</t>
  </si>
  <si>
    <t>NEWFS-667</t>
  </si>
  <si>
    <t>NEWFS-695</t>
  </si>
  <si>
    <t>NEWFS-699</t>
  </si>
  <si>
    <t>NEWFS-702</t>
  </si>
  <si>
    <t>NEWFS-327</t>
  </si>
  <si>
    <t>NEWFS-343</t>
  </si>
  <si>
    <t>NEWFS-638</t>
  </si>
  <si>
    <t>NEWFS-639</t>
  </si>
  <si>
    <t>NEWFS-645</t>
  </si>
  <si>
    <t>NEWFS-649</t>
  </si>
  <si>
    <t>NEWFS-668</t>
  </si>
  <si>
    <t>NEWFS-673</t>
  </si>
  <si>
    <t>NEWFS-804</t>
  </si>
  <si>
    <t>Kalmia</t>
  </si>
  <si>
    <t>angustifolia</t>
  </si>
  <si>
    <t>NEWFS-846</t>
  </si>
  <si>
    <t>NEWFS-858</t>
  </si>
  <si>
    <t>NEWFS-922</t>
  </si>
  <si>
    <t>NEWFS-938</t>
  </si>
  <si>
    <t>Kosteletzkya</t>
  </si>
  <si>
    <t>virginica</t>
  </si>
  <si>
    <t>NCBG-514</t>
  </si>
  <si>
    <t>Leersia</t>
  </si>
  <si>
    <t>oryzoides</t>
  </si>
  <si>
    <t>NCBG-576</t>
  </si>
  <si>
    <t>Lespedeza</t>
  </si>
  <si>
    <t>capitata</t>
  </si>
  <si>
    <t>NEWFS-754</t>
  </si>
  <si>
    <t>NEWFS-821</t>
  </si>
  <si>
    <t>Limonium</t>
  </si>
  <si>
    <t>carolinianum</t>
  </si>
  <si>
    <t>MARSB-415</t>
  </si>
  <si>
    <t>NEWFS-792</t>
  </si>
  <si>
    <t>NEWFS-814</t>
  </si>
  <si>
    <t>NEWFS-913</t>
  </si>
  <si>
    <t>NEWFS-933</t>
  </si>
  <si>
    <t>Lycopus</t>
  </si>
  <si>
    <t>americanus</t>
  </si>
  <si>
    <t>NEWFS-893</t>
  </si>
  <si>
    <t>Mitchella</t>
  </si>
  <si>
    <t>repens</t>
  </si>
  <si>
    <t>NEWFS-927</t>
  </si>
  <si>
    <t>Myrica</t>
  </si>
  <si>
    <t>gale</t>
  </si>
  <si>
    <t>NEWFS-886</t>
  </si>
  <si>
    <t>Panicum</t>
  </si>
  <si>
    <t>amarum</t>
  </si>
  <si>
    <t>NCBG-560</t>
  </si>
  <si>
    <t>NCBG-732</t>
  </si>
  <si>
    <t>virgatum</t>
  </si>
  <si>
    <t>NCBG-529</t>
  </si>
  <si>
    <t>NCBG-530</t>
  </si>
  <si>
    <t>NCBG-596</t>
  </si>
  <si>
    <t>NEWFS-798</t>
  </si>
  <si>
    <t>NEWFS-857</t>
  </si>
  <si>
    <t>NEWFS-906</t>
  </si>
  <si>
    <t>NEWFS-930</t>
  </si>
  <si>
    <t>Parthenocissus</t>
  </si>
  <si>
    <t>quinquefolia</t>
  </si>
  <si>
    <t>NEWFS-482</t>
  </si>
  <si>
    <t>Paspalum</t>
  </si>
  <si>
    <t>boscianum</t>
  </si>
  <si>
    <t>NCBG-591</t>
  </si>
  <si>
    <t>Peltandra</t>
  </si>
  <si>
    <t>NEWFS-721</t>
  </si>
  <si>
    <t>Persecaria</t>
  </si>
  <si>
    <t>sagittata</t>
  </si>
  <si>
    <t>NEWFS-710</t>
  </si>
  <si>
    <t>NEWFS-720</t>
  </si>
  <si>
    <t>NEWFS-728</t>
  </si>
  <si>
    <t>Phytolacca</t>
  </si>
  <si>
    <t>americana</t>
  </si>
  <si>
    <t>NCBG-537</t>
  </si>
  <si>
    <t>NCBG-539</t>
  </si>
  <si>
    <t>Pinus</t>
  </si>
  <si>
    <t>rigida</t>
  </si>
  <si>
    <t>MARSB-446</t>
  </si>
  <si>
    <t>serotina</t>
  </si>
  <si>
    <t>NCBG-424</t>
  </si>
  <si>
    <t>Piptochaetium</t>
  </si>
  <si>
    <t>avenaceum</t>
  </si>
  <si>
    <t>NCBG-703</t>
  </si>
  <si>
    <t>Pityopsis</t>
  </si>
  <si>
    <t>falcata</t>
  </si>
  <si>
    <t>MARSB-357</t>
  </si>
  <si>
    <t>Pluchea</t>
  </si>
  <si>
    <t>odorata</t>
  </si>
  <si>
    <t>MARSB-606</t>
  </si>
  <si>
    <t>NCBG-563</t>
  </si>
  <si>
    <t>NEWFS-794</t>
  </si>
  <si>
    <t>NEWFS-894</t>
  </si>
  <si>
    <t>NEWFS-929</t>
  </si>
  <si>
    <t>Prunus</t>
  </si>
  <si>
    <t>NEWFS-352</t>
  </si>
  <si>
    <t>Pseudognaphalium</t>
  </si>
  <si>
    <t>obtusifolium</t>
  </si>
  <si>
    <t>NEWFS-898</t>
  </si>
  <si>
    <t>NEWFS-928</t>
  </si>
  <si>
    <t>Pycnanthemum</t>
  </si>
  <si>
    <t>muticum</t>
  </si>
  <si>
    <t>NEWFS-753</t>
  </si>
  <si>
    <t>Rhus</t>
  </si>
  <si>
    <t>copallinum</t>
  </si>
  <si>
    <t>NEWFS-908</t>
  </si>
  <si>
    <t>hirta</t>
  </si>
  <si>
    <t>NEWFS-165</t>
  </si>
  <si>
    <t>NEWFS-465</t>
  </si>
  <si>
    <t>NEWFS-779</t>
  </si>
  <si>
    <t>typhina</t>
  </si>
  <si>
    <t>NEWFS-935</t>
  </si>
  <si>
    <t>Rhynchospora</t>
  </si>
  <si>
    <t>alba</t>
  </si>
  <si>
    <t>NEWFS-717</t>
  </si>
  <si>
    <t>NEWFS-725</t>
  </si>
  <si>
    <t>capitellata</t>
  </si>
  <si>
    <t>MARSB-486</t>
  </si>
  <si>
    <t>NCBG-528</t>
  </si>
  <si>
    <t>Saccharum</t>
  </si>
  <si>
    <t>giganteum</t>
  </si>
  <si>
    <t>NCBG-754</t>
  </si>
  <si>
    <t>Salicornia</t>
  </si>
  <si>
    <t>depressa</t>
  </si>
  <si>
    <t>NEWFS-811</t>
  </si>
  <si>
    <t>NEWFS-870</t>
  </si>
  <si>
    <t>Salvia</t>
  </si>
  <si>
    <t>lyrata</t>
  </si>
  <si>
    <t>NCBG-707</t>
  </si>
  <si>
    <t>Schizachyrium</t>
  </si>
  <si>
    <t>littorale</t>
  </si>
  <si>
    <t>NCBG-664</t>
  </si>
  <si>
    <t>scorparium</t>
  </si>
  <si>
    <t>NCBG-347</t>
  </si>
  <si>
    <t>NCBG-580</t>
  </si>
  <si>
    <t>NCBG-597</t>
  </si>
  <si>
    <t>NEWFS-445</t>
  </si>
  <si>
    <t>NEWFS-755</t>
  </si>
  <si>
    <t>NEWFS-800</t>
  </si>
  <si>
    <t>NEWFS-820</t>
  </si>
  <si>
    <t>NEWFS-853</t>
  </si>
  <si>
    <t>NEWFS-865</t>
  </si>
  <si>
    <t>Schoenoplectus</t>
  </si>
  <si>
    <t>NCBG-723</t>
  </si>
  <si>
    <t>NEWFS-644</t>
  </si>
  <si>
    <t>NEWFS-646</t>
  </si>
  <si>
    <t>NEWFS-675</t>
  </si>
  <si>
    <t>NEWFS-733</t>
  </si>
  <si>
    <t>NEWFS-760</t>
  </si>
  <si>
    <t>tabernaemontani</t>
  </si>
  <si>
    <t>NEWFS-691</t>
  </si>
  <si>
    <t>Scirpus</t>
  </si>
  <si>
    <t>atrovirens</t>
  </si>
  <si>
    <t>NEWFS-336</t>
  </si>
  <si>
    <t>NEWFS-729</t>
  </si>
  <si>
    <t>cyperinus</t>
  </si>
  <si>
    <t>NEWFS-382</t>
  </si>
  <si>
    <t>NEWFS-730</t>
  </si>
  <si>
    <t>NEWFS-746</t>
  </si>
  <si>
    <t>NEWFS-785</t>
  </si>
  <si>
    <t>NEWFS-803</t>
  </si>
  <si>
    <t>Smilax</t>
  </si>
  <si>
    <t>glauca</t>
  </si>
  <si>
    <t>NEWFS-934</t>
  </si>
  <si>
    <t>laurifolia</t>
  </si>
  <si>
    <t>NCBG-334</t>
  </si>
  <si>
    <t>rotundifolia</t>
  </si>
  <si>
    <t>NCBG-380</t>
  </si>
  <si>
    <t>NEWFS-607</t>
  </si>
  <si>
    <t>Solidago</t>
  </si>
  <si>
    <t>altissima</t>
  </si>
  <si>
    <t>NEWFS-819</t>
  </si>
  <si>
    <t>NEWFS-890</t>
  </si>
  <si>
    <t>NEWFS-904</t>
  </si>
  <si>
    <t>caesia</t>
  </si>
  <si>
    <t>NEWFS-850</t>
  </si>
  <si>
    <t>NEWFS-158</t>
  </si>
  <si>
    <t>juncea</t>
  </si>
  <si>
    <t>MARSB-403</t>
  </si>
  <si>
    <t>puberula</t>
  </si>
  <si>
    <t>NEWFS-757</t>
  </si>
  <si>
    <t>rugosa</t>
  </si>
  <si>
    <t>MARSB-401</t>
  </si>
  <si>
    <t>NEWFS-787</t>
  </si>
  <si>
    <t>NEWFS-862</t>
  </si>
  <si>
    <t>NEWFS-876</t>
  </si>
  <si>
    <t>NEWFS-885</t>
  </si>
  <si>
    <t>NEWFS-900</t>
  </si>
  <si>
    <t>NEWFS-915</t>
  </si>
  <si>
    <t>sempervirens</t>
  </si>
  <si>
    <t>NEWFS-799</t>
  </si>
  <si>
    <t>NEWFS-808</t>
  </si>
  <si>
    <t>NEWFS-868</t>
  </si>
  <si>
    <t>NEWFS-878</t>
  </si>
  <si>
    <t>NEWFS-895</t>
  </si>
  <si>
    <t>NEWFS-907</t>
  </si>
  <si>
    <t>NEWFS-910</t>
  </si>
  <si>
    <t>NEWFS-931</t>
  </si>
  <si>
    <t>Sorghastrum</t>
  </si>
  <si>
    <t>nutans</t>
  </si>
  <si>
    <t>MARSB-387</t>
  </si>
  <si>
    <t>NCBG-388</t>
  </si>
  <si>
    <t>NCBG-391</t>
  </si>
  <si>
    <t>NCBG-399</t>
  </si>
  <si>
    <t>Sparganium</t>
  </si>
  <si>
    <t>americanum</t>
  </si>
  <si>
    <t>NEWFS-704</t>
  </si>
  <si>
    <t>NEWFS-731</t>
  </si>
  <si>
    <t>NEWFS-747</t>
  </si>
  <si>
    <t>Spartina</t>
  </si>
  <si>
    <t>cynosuroides</t>
  </si>
  <si>
    <t>NCBG-383</t>
  </si>
  <si>
    <t>patens</t>
  </si>
  <si>
    <t>NEWFS-737</t>
  </si>
  <si>
    <t>NEWFS-795</t>
  </si>
  <si>
    <t>NEWFS-817</t>
  </si>
  <si>
    <t>pectinata</t>
  </si>
  <si>
    <t>NEWFS-802</t>
  </si>
  <si>
    <t>Spiraea</t>
  </si>
  <si>
    <t>NEWFS-860</t>
  </si>
  <si>
    <t>NEWFS-937</t>
  </si>
  <si>
    <t>NEWFS-748</t>
  </si>
  <si>
    <t>NEWFS-859</t>
  </si>
  <si>
    <t>NEWFS-940</t>
  </si>
  <si>
    <t>Suaeda</t>
  </si>
  <si>
    <t>NEWFS-783</t>
  </si>
  <si>
    <t>NEWFS-871</t>
  </si>
  <si>
    <t>Symphyotrichum</t>
  </si>
  <si>
    <t>subulatum</t>
  </si>
  <si>
    <t>MARSB-607</t>
  </si>
  <si>
    <t>NEWFS-899</t>
  </si>
  <si>
    <t>tenuifolium</t>
  </si>
  <si>
    <t>NEWFS-426</t>
  </si>
  <si>
    <t>NEWFS-741</t>
  </si>
  <si>
    <t>NEWFS-758</t>
  </si>
  <si>
    <t>NEWFS-916</t>
  </si>
  <si>
    <t>Taxodium</t>
  </si>
  <si>
    <t>distichum</t>
  </si>
  <si>
    <t>NCBG-304</t>
  </si>
  <si>
    <t>Teucrium</t>
  </si>
  <si>
    <t>NEWFS-374</t>
  </si>
  <si>
    <t>Triadenum</t>
  </si>
  <si>
    <t>fraseri</t>
  </si>
  <si>
    <t>NEWFS-539</t>
  </si>
  <si>
    <t>MARSB-610</t>
  </si>
  <si>
    <t>NCBG-559</t>
  </si>
  <si>
    <t>virginicim</t>
  </si>
  <si>
    <t>NEWFS-726</t>
  </si>
  <si>
    <t>Tridens</t>
  </si>
  <si>
    <t>flavus</t>
  </si>
  <si>
    <t>MARSB-410</t>
  </si>
  <si>
    <t>NCBG-568</t>
  </si>
  <si>
    <t>Triglochin</t>
  </si>
  <si>
    <t>NEWFS-641</t>
  </si>
  <si>
    <t>NEWFS-648</t>
  </si>
  <si>
    <t>Tripsacum</t>
  </si>
  <si>
    <t>dactyloides</t>
  </si>
  <si>
    <t>NCBG-516</t>
  </si>
  <si>
    <t>Tsuga</t>
  </si>
  <si>
    <t>NEWFS-867</t>
  </si>
  <si>
    <t>Typha</t>
  </si>
  <si>
    <t>NCBG-505</t>
  </si>
  <si>
    <t>NCBG-509</t>
  </si>
  <si>
    <t>NCBG-513</t>
  </si>
  <si>
    <t>NCBG-518</t>
  </si>
  <si>
    <t>NCBG-521</t>
  </si>
  <si>
    <t>NCBG-534</t>
  </si>
  <si>
    <t>NCBG-536</t>
  </si>
  <si>
    <t>NCBG-543</t>
  </si>
  <si>
    <t>NCBG-547</t>
  </si>
  <si>
    <t>NCBG-549</t>
  </si>
  <si>
    <t>NCBG-575</t>
  </si>
  <si>
    <t>latifolia</t>
  </si>
  <si>
    <t>NCBG-235</t>
  </si>
  <si>
    <t>NCBG-237</t>
  </si>
  <si>
    <t>NCBG-239</t>
  </si>
  <si>
    <t>NCBG-242</t>
  </si>
  <si>
    <t>NCBG-247</t>
  </si>
  <si>
    <t>NCBG-262</t>
  </si>
  <si>
    <t>NCBG-552</t>
  </si>
  <si>
    <t>NCBG-579</t>
  </si>
  <si>
    <t>NEWFS-784</t>
  </si>
  <si>
    <t>Uniola</t>
  </si>
  <si>
    <t>paniculata</t>
  </si>
  <si>
    <t>NCBG-740</t>
  </si>
  <si>
    <t>Vaccinium</t>
  </si>
  <si>
    <t>NEWFS-267</t>
  </si>
  <si>
    <t>NEWFS-355</t>
  </si>
  <si>
    <t>corymbosum</t>
  </si>
  <si>
    <t>NEWFS-357</t>
  </si>
  <si>
    <t>macrocarpon</t>
  </si>
  <si>
    <t>NEWFS-453</t>
  </si>
  <si>
    <t>NEWFS-478</t>
  </si>
  <si>
    <t>NEWFS-801</t>
  </si>
  <si>
    <t>myrtilloides</t>
  </si>
  <si>
    <t>NEWFS-356</t>
  </si>
  <si>
    <t>Verbena</t>
  </si>
  <si>
    <t>hastata</t>
  </si>
  <si>
    <t>NEWFS-786</t>
  </si>
  <si>
    <t>NEWFS-873</t>
  </si>
  <si>
    <t>NEWFS-891</t>
  </si>
  <si>
    <t>Viburnum</t>
  </si>
  <si>
    <t>nudum</t>
  </si>
  <si>
    <t>NCBG-372</t>
  </si>
  <si>
    <t>Xyris</t>
  </si>
  <si>
    <t>difformis</t>
  </si>
  <si>
    <t>NCBG-507</t>
  </si>
  <si>
    <t>NCBG-526</t>
  </si>
  <si>
    <t>100 Seed Weight (g)</t>
  </si>
  <si>
    <t>N/A</t>
  </si>
  <si>
    <t>100 Seed Inert Weight (g)</t>
  </si>
  <si>
    <t>Total Sample Weight (g)</t>
  </si>
  <si>
    <t>Total Estimated Seeds (#)</t>
  </si>
  <si>
    <t>NLGRP Weight (g)</t>
  </si>
  <si>
    <t>NLGRP Estimated Seed (#)</t>
  </si>
  <si>
    <t>Pullman Weight (g)</t>
  </si>
  <si>
    <t>Pullman Estimated Seed (#)</t>
  </si>
  <si>
    <t>GRIN Weight (g)</t>
  </si>
  <si>
    <t>GRIN Estimated Seed (#)</t>
  </si>
  <si>
    <t>Collector Weight (g)</t>
  </si>
  <si>
    <t>Collector Estimated Seed (#)</t>
  </si>
  <si>
    <r>
      <t>Prechill Temperature (</t>
    </r>
    <r>
      <rPr>
        <b/>
        <sz val="11"/>
        <color theme="1"/>
        <rFont val="Calibri"/>
        <family val="2"/>
      </rPr>
      <t>°C)</t>
    </r>
  </si>
  <si>
    <t>Stratification Moisture (Wet/Dry)</t>
  </si>
  <si>
    <t>Total Stratification Days (#)</t>
  </si>
  <si>
    <t>Scarification Method</t>
  </si>
  <si>
    <t>Moisture</t>
  </si>
  <si>
    <t>Substrate</t>
  </si>
  <si>
    <t>Yes</t>
  </si>
  <si>
    <t>No</t>
  </si>
  <si>
    <t>Stratification Attempted (Yes/No)</t>
  </si>
  <si>
    <t>Juniperus</t>
  </si>
  <si>
    <t>NEWFS-739</t>
  </si>
  <si>
    <t>Wet</t>
  </si>
  <si>
    <t>Dry</t>
  </si>
  <si>
    <t>H2O</t>
  </si>
  <si>
    <t>GA3</t>
  </si>
  <si>
    <t>KNO3</t>
  </si>
  <si>
    <t>PPM</t>
  </si>
  <si>
    <t xml:space="preserve">H2O </t>
  </si>
  <si>
    <t>20/30</t>
  </si>
  <si>
    <t>15/25</t>
  </si>
  <si>
    <t>15 or 25</t>
  </si>
  <si>
    <t>5/15 or 15</t>
  </si>
  <si>
    <t>Remove glume</t>
  </si>
  <si>
    <t>3% Bleach for 30hr.</t>
  </si>
  <si>
    <t xml:space="preserve">Remove the glumes </t>
  </si>
  <si>
    <t>3% bleach for 10 hr.</t>
  </si>
  <si>
    <t>10% bleach for 1 hr.</t>
  </si>
  <si>
    <t>Clip</t>
  </si>
  <si>
    <t>Vials</t>
  </si>
  <si>
    <t>1.2% Bleach for 15 min.</t>
  </si>
  <si>
    <t>Petri</t>
  </si>
  <si>
    <t xml:space="preserve">Vials </t>
  </si>
  <si>
    <t>3% Bleach for 3 min.</t>
  </si>
  <si>
    <t>1.2% Bleach for 4 min.</t>
  </si>
  <si>
    <t>Heavy Towels</t>
  </si>
  <si>
    <t>Towels</t>
  </si>
  <si>
    <t>Between Blotters</t>
  </si>
  <si>
    <t>Soaked in GA3 fo 16 hr.</t>
  </si>
  <si>
    <t>Soak in H2O for three days</t>
  </si>
  <si>
    <t>2% Bleach for 3 min.</t>
  </si>
  <si>
    <t>1.2% Bleach for 3.5 min.</t>
  </si>
  <si>
    <t>1.2% Bleach for 5 min.</t>
  </si>
  <si>
    <t>24 Hour soak in hot water at 90C till cool</t>
  </si>
  <si>
    <t>1.5% Bleach for 24 hr.</t>
  </si>
  <si>
    <t>2% Bleach for 5 min.</t>
  </si>
  <si>
    <t>Imbibed in H2O for 16 hr.</t>
  </si>
  <si>
    <t>Imbibed in H2O for 3 days in H2O and 1.5% bleach solution for 10 min.</t>
  </si>
  <si>
    <t xml:space="preserve">Imbibe in KNO3 for 3 days then clip </t>
  </si>
  <si>
    <t>Imbibed in H2O for 4 days</t>
  </si>
  <si>
    <t>Imbibed in H2O for 24 hr.</t>
  </si>
  <si>
    <t>1.5% bleach for 4 min.</t>
  </si>
  <si>
    <t>1.5% Bleach for 45 min.</t>
  </si>
  <si>
    <t>species</t>
  </si>
  <si>
    <t>NCBG-565</t>
  </si>
  <si>
    <t>Total Seeds Planted</t>
  </si>
  <si>
    <t>Normal</t>
  </si>
  <si>
    <t>Abnormal</t>
  </si>
  <si>
    <t>Empty</t>
  </si>
  <si>
    <t>calc. total weight</t>
  </si>
  <si>
    <t>subtract total from sum</t>
  </si>
  <si>
    <t xml:space="preserve">flag for greater than 10% gain (+1) or loss (-1) </t>
  </si>
  <si>
    <t>Accn Number</t>
  </si>
  <si>
    <t>Germ Temp (°C)</t>
  </si>
  <si>
    <t>% normal germ</t>
  </si>
  <si>
    <t>% empty</t>
  </si>
  <si>
    <t>% dormant</t>
  </si>
  <si>
    <t>calc total/weighed total</t>
  </si>
  <si>
    <t>Collection Date</t>
  </si>
  <si>
    <t>NLGRP Received Date</t>
  </si>
  <si>
    <t>Germination Start Date</t>
  </si>
  <si>
    <t>Germination End Date</t>
  </si>
  <si>
    <t>Dormancy Method</t>
  </si>
  <si>
    <t>Number of Seeds Clipped</t>
  </si>
  <si>
    <t>Clipped Positive</t>
  </si>
  <si>
    <t>Clipped Negative</t>
  </si>
  <si>
    <t>TZ Start Date</t>
  </si>
  <si>
    <t>TZ End Date</t>
  </si>
  <si>
    <t>Number of Positive TZ</t>
  </si>
  <si>
    <t>Number of Negative TZ</t>
  </si>
  <si>
    <t>Dormant</t>
  </si>
  <si>
    <t>Dead and Mushy Seeds</t>
  </si>
  <si>
    <t>Notes on Condition of Seed</t>
  </si>
  <si>
    <t>Seeds appear to be moldy and cracked from either age or damage from poor handling and/or storage. This sample was not tested as obtaining a quality sub-sample without empty and damaged seeds was impossible.</t>
  </si>
  <si>
    <t>TZ</t>
  </si>
  <si>
    <t xml:space="preserve">Seeds were discovered to contaminated by a leaking plastic bag from a different sample stored wet. Though the sample was stored, it was not tested. </t>
  </si>
  <si>
    <t xml:space="preserve">test for viability of nongerm seeds </t>
  </si>
  <si>
    <t>Number of Seeds TZed</t>
  </si>
  <si>
    <t>match with xtradata</t>
  </si>
  <si>
    <t>test start date</t>
  </si>
  <si>
    <t>test end date</t>
  </si>
  <si>
    <t>additional test for viability</t>
  </si>
  <si>
    <t># seeds in addl test</t>
  </si>
  <si>
    <t>clip</t>
  </si>
  <si>
    <t>positive for addl test (TZ+ or germ after clip)</t>
  </si>
  <si>
    <t>negative for addl test (TZ- or no germ/abnormal after clip)</t>
  </si>
  <si>
    <t xml:space="preserve">total # seeds minus sum of germ, TZ and empty </t>
  </si>
  <si>
    <t>Initial TZ of ~ 10 seeds indicated no viability.  High proportion of empty seeds or embryos damaged by insect/handling. Perhaps immature. Not planted for germ assay.</t>
  </si>
  <si>
    <t>Sample on packing list but not included in shipment</t>
  </si>
  <si>
    <t>% viable</t>
  </si>
  <si>
    <t>% total germ (incl. abnormal+clip)</t>
  </si>
  <si>
    <t>notes from analyst</t>
  </si>
  <si>
    <t xml:space="preserve">Seeds were  found to be too moldy to clean and test. The sample was discarded. </t>
  </si>
  <si>
    <t>match to weights</t>
  </si>
  <si>
    <t>100 seed weight</t>
  </si>
  <si>
    <t>not received</t>
  </si>
  <si>
    <t>initial TZ only</t>
  </si>
  <si>
    <t>full test</t>
  </si>
  <si>
    <t>no test (too moldy)</t>
  </si>
  <si>
    <t>TOTAL</t>
  </si>
  <si>
    <t xml:space="preserve"># samples </t>
  </si>
  <si>
    <t xml:space="preserve">viability </t>
  </si>
  <si>
    <t>avg viability</t>
  </si>
  <si>
    <t>Germ-tested seeds</t>
  </si>
  <si>
    <t xml:space="preserve">average % empty </t>
  </si>
  <si>
    <t>average % dormant</t>
  </si>
  <si>
    <t>average % total germ</t>
  </si>
  <si>
    <t>% dead</t>
  </si>
  <si>
    <t>average % dead</t>
  </si>
  <si>
    <t>total %</t>
  </si>
  <si>
    <t>prop of accns</t>
  </si>
  <si>
    <t>NEWFS-923</t>
  </si>
  <si>
    <t>GG package</t>
  </si>
  <si>
    <t>2 (2)</t>
  </si>
  <si>
    <t>2 (3)</t>
  </si>
  <si>
    <t>NEWFS-692 listed as 69</t>
  </si>
  <si>
    <t>1 (2)</t>
  </si>
  <si>
    <t>1 (3)</t>
  </si>
  <si>
    <t>Pullman Box</t>
  </si>
  <si>
    <t>NEWFS-464</t>
  </si>
  <si>
    <t>alba or capitellata</t>
  </si>
  <si>
    <t>discrepncie between field data sheet and our spreadsheet: NEWFS-725 Rhynchospora capitellata (field sheet), alba (spreasheet). How was the sample labeled when it came in?</t>
  </si>
  <si>
    <t>NA</t>
  </si>
  <si>
    <t>none assigned</t>
  </si>
  <si>
    <t>2 &amp; 3</t>
  </si>
  <si>
    <t>3 and 2</t>
  </si>
  <si>
    <t>NCBG handled most accurately as they came to NLGRP in the most orderly/cleaned way.</t>
  </si>
  <si>
    <t/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</si>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</sst>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201F1E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4D4D4"/>
      </right>
      <top/>
      <bottom style="medium">
        <color rgb="FFD4D4D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0" fillId="0" borderId="0" xfId="0" applyFill="1"/>
    <xf numFmtId="0" fontId="7" fillId="0" borderId="0" xfId="0" applyFont="1" applyFill="1"/>
    <xf numFmtId="16" fontId="0" fillId="0" borderId="0" xfId="0" applyNumberFormat="1" applyFill="1"/>
    <xf numFmtId="0" fontId="0" fillId="0" borderId="0" xfId="0" applyFill="1" applyAlignment="1">
      <alignment horizontal="left"/>
    </xf>
    <xf numFmtId="0" fontId="0" fillId="2" borderId="0" xfId="0" applyFill="1" applyAlignment="1">
      <alignment horizontal="right"/>
    </xf>
    <xf numFmtId="1" fontId="0" fillId="2" borderId="0" xfId="0" applyNumberFormat="1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1" fontId="0" fillId="4" borderId="0" xfId="0" applyNumberFormat="1" applyFill="1"/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5" borderId="0" xfId="0" applyFont="1" applyFill="1" applyAlignment="1">
      <alignment horizontal="center" wrapText="1"/>
    </xf>
    <xf numFmtId="0" fontId="0" fillId="6" borderId="0" xfId="0" applyFill="1"/>
    <xf numFmtId="0" fontId="0" fillId="0" borderId="0" xfId="0" applyFill="1" applyAlignment="1">
      <alignment horizontal="right"/>
    </xf>
    <xf numFmtId="2" fontId="0" fillId="4" borderId="0" xfId="0" applyNumberFormat="1" applyFill="1"/>
    <xf numFmtId="165" fontId="0" fillId="0" borderId="0" xfId="0" applyNumberFormat="1"/>
    <xf numFmtId="0" fontId="0" fillId="0" borderId="0" xfId="0" applyFont="1" applyFill="1"/>
    <xf numFmtId="0" fontId="0" fillId="0" borderId="0" xfId="0" applyNumberFormat="1" applyFont="1" applyFill="1"/>
    <xf numFmtId="0" fontId="0" fillId="0" borderId="0" xfId="0" applyNumberFormat="1" applyFont="1" applyFill="1" applyAlignment="1">
      <alignment horizontal="left"/>
    </xf>
    <xf numFmtId="14" fontId="0" fillId="0" borderId="0" xfId="0" applyNumberFormat="1" applyFont="1" applyFill="1"/>
    <xf numFmtId="14" fontId="0" fillId="0" borderId="0" xfId="0" applyNumberFormat="1"/>
    <xf numFmtId="0" fontId="0" fillId="0" borderId="0" xfId="0" applyNumberFormat="1"/>
    <xf numFmtId="0" fontId="7" fillId="0" borderId="0" xfId="0" applyFont="1" applyFill="1" applyAlignment="1">
      <alignment horizontal="right"/>
    </xf>
    <xf numFmtId="165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0" fontId="1" fillId="0" borderId="0" xfId="0" applyFont="1" applyFill="1" applyAlignment="1">
      <alignment horizontal="right" wrapText="1"/>
    </xf>
    <xf numFmtId="0" fontId="0" fillId="5" borderId="0" xfId="0" applyFill="1"/>
    <xf numFmtId="14" fontId="11" fillId="5" borderId="0" xfId="0" applyNumberFormat="1" applyFont="1" applyFill="1"/>
    <xf numFmtId="0" fontId="11" fillId="5" borderId="0" xfId="0" applyNumberFormat="1" applyFont="1" applyFill="1"/>
    <xf numFmtId="0" fontId="12" fillId="5" borderId="0" xfId="0" applyFont="1" applyFill="1" applyAlignment="1">
      <alignment horizontal="center" wrapText="1"/>
    </xf>
    <xf numFmtId="0" fontId="9" fillId="0" borderId="0" xfId="0" applyNumberFormat="1" applyFont="1"/>
    <xf numFmtId="0" fontId="9" fillId="0" borderId="0" xfId="0" applyNumberFormat="1" applyFont="1" applyFill="1"/>
    <xf numFmtId="0" fontId="11" fillId="8" borderId="0" xfId="0" applyNumberFormat="1" applyFont="1" applyFill="1"/>
    <xf numFmtId="0" fontId="1" fillId="8" borderId="0" xfId="0" applyFont="1" applyFill="1" applyAlignment="1">
      <alignment horizontal="center" wrapText="1"/>
    </xf>
    <xf numFmtId="14" fontId="13" fillId="0" borderId="0" xfId="0" applyNumberFormat="1" applyFont="1"/>
    <xf numFmtId="0" fontId="9" fillId="0" borderId="0" xfId="0" applyFont="1" applyFill="1"/>
    <xf numFmtId="0" fontId="10" fillId="0" borderId="0" xfId="0" applyFont="1" applyFill="1"/>
    <xf numFmtId="14" fontId="14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0" fillId="0" borderId="0" xfId="0" applyNumberFormat="1" applyFont="1"/>
    <xf numFmtId="0" fontId="0" fillId="0" borderId="0" xfId="0" applyFont="1" applyFill="1" applyAlignment="1">
      <alignment horizontal="right"/>
    </xf>
    <xf numFmtId="14" fontId="15" fillId="9" borderId="1" xfId="0" applyNumberFormat="1" applyFont="1" applyFill="1" applyBorder="1" applyAlignment="1">
      <alignment vertical="center" wrapText="1"/>
    </xf>
    <xf numFmtId="2" fontId="0" fillId="10" borderId="0" xfId="0" applyNumberFormat="1" applyFill="1"/>
    <xf numFmtId="0" fontId="1" fillId="10" borderId="0" xfId="0" applyFont="1" applyFill="1" applyAlignment="1">
      <alignment horizontal="center" wrapText="1"/>
    </xf>
    <xf numFmtId="2" fontId="0" fillId="0" borderId="0" xfId="0" applyNumberFormat="1" applyFill="1"/>
    <xf numFmtId="0" fontId="0" fillId="7" borderId="0" xfId="0" applyFill="1"/>
    <xf numFmtId="0" fontId="0" fillId="7" borderId="0" xfId="0" applyFill="1" applyAlignment="1">
      <alignment horizontal="right"/>
    </xf>
    <xf numFmtId="2" fontId="0" fillId="7" borderId="0" xfId="0" applyNumberFormat="1" applyFill="1"/>
    <xf numFmtId="1" fontId="0" fillId="7" borderId="0" xfId="0" applyNumberFormat="1" applyFill="1"/>
    <xf numFmtId="164" fontId="0" fillId="7" borderId="0" xfId="0" applyNumberFormat="1" applyFill="1"/>
    <xf numFmtId="0" fontId="0" fillId="4" borderId="0" xfId="0" applyFill="1" applyAlignment="1">
      <alignment wrapText="1"/>
    </xf>
    <xf numFmtId="0" fontId="1" fillId="6" borderId="0" xfId="0" applyFont="1" applyFill="1"/>
    <xf numFmtId="166" fontId="0" fillId="4" borderId="0" xfId="0" applyNumberFormat="1" applyFill="1"/>
    <xf numFmtId="0" fontId="0" fillId="6" borderId="0" xfId="0" applyFill="1" applyAlignment="1">
      <alignment horizontal="right"/>
    </xf>
    <xf numFmtId="2" fontId="0" fillId="6" borderId="0" xfId="0" applyNumberFormat="1" applyFill="1"/>
    <xf numFmtId="0" fontId="1" fillId="6" borderId="0" xfId="0" applyFont="1" applyFill="1" applyAlignment="1">
      <alignment wrapText="1"/>
    </xf>
    <xf numFmtId="2" fontId="1" fillId="6" borderId="0" xfId="0" applyNumberFormat="1" applyFont="1" applyFill="1"/>
    <xf numFmtId="0" fontId="9" fillId="2" borderId="0" xfId="0" applyFont="1" applyFill="1"/>
    <xf numFmtId="1" fontId="0" fillId="0" borderId="0" xfId="0" applyNumberFormat="1" applyFill="1"/>
    <xf numFmtId="0" fontId="1" fillId="11" borderId="0" xfId="0" applyFont="1" applyFill="1" applyAlignment="1">
      <alignment horizontal="center" wrapText="1"/>
    </xf>
    <xf numFmtId="2" fontId="0" fillId="11" borderId="0" xfId="0" applyNumberFormat="1" applyFill="1"/>
    <xf numFmtId="0" fontId="0" fillId="11" borderId="0" xfId="0" applyFill="1"/>
    <xf numFmtId="0" fontId="1" fillId="12" borderId="0" xfId="0" applyFont="1" applyFill="1" applyAlignment="1">
      <alignment horizontal="center" wrapText="1"/>
    </xf>
    <xf numFmtId="2" fontId="0" fillId="12" borderId="0" xfId="0" applyNumberFormat="1" applyFill="1"/>
    <xf numFmtId="0" fontId="0" fillId="12" borderId="0" xfId="0" applyFill="1"/>
    <xf numFmtId="0" fontId="1" fillId="0" borderId="0" xfId="0" applyFont="1" applyFill="1" applyAlignment="1">
      <alignment wrapText="1"/>
    </xf>
    <xf numFmtId="1" fontId="0" fillId="1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H1" sqref="H1"/>
    </sheetView>
  </sheetViews>
  <sheetFormatPr defaultRowHeight="15" x14ac:dyDescent="0.25"/>
  <sheetData>
    <row r="1" spans="1:1" x14ac:dyDescent="0.25">
      <c r="A1" t="s">
        <v>723</v>
      </c>
    </row>
    <row r="3" spans="1:1" x14ac:dyDescent="0.25">
      <c r="A3" t="s">
        <v>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354"/>
  <sheetViews>
    <sheetView workbookViewId="0">
      <selection activeCell="B227" sqref="B227"/>
    </sheetView>
  </sheetViews>
  <sheetFormatPr defaultRowHeight="15" x14ac:dyDescent="0.25"/>
  <cols>
    <col min="1" max="1" width="9.7109375" customWidth="1"/>
    <col min="3" max="3" width="12.140625" customWidth="1"/>
    <col min="4" max="4" width="10.85546875" customWidth="1"/>
    <col min="5" max="5" width="10.140625" customWidth="1"/>
    <col min="6" max="6" width="12" customWidth="1"/>
    <col min="7" max="7" width="9.85546875" customWidth="1"/>
    <col min="8" max="8" width="10.7109375" customWidth="1"/>
    <col min="9" max="9" width="9" customWidth="1"/>
    <col min="10" max="10" width="11.42578125" customWidth="1"/>
    <col min="11" max="11" width="9.28515625" customWidth="1"/>
    <col min="13" max="13" width="9.28515625" customWidth="1"/>
    <col min="14" max="14" width="10.7109375" customWidth="1"/>
    <col min="15" max="15" width="11" customWidth="1"/>
    <col min="16" max="16" width="11.140625" customWidth="1"/>
    <col min="17" max="17" width="10.28515625" customWidth="1"/>
    <col min="18" max="18" width="8.140625" customWidth="1"/>
  </cols>
  <sheetData>
    <row r="1" spans="1:22" s="13" customFormat="1" ht="90" x14ac:dyDescent="0.25">
      <c r="A1" s="11" t="s">
        <v>0</v>
      </c>
      <c r="B1" s="11" t="s">
        <v>1</v>
      </c>
      <c r="C1" s="11" t="s">
        <v>654</v>
      </c>
      <c r="D1" s="11" t="s">
        <v>580</v>
      </c>
      <c r="E1" s="11" t="s">
        <v>582</v>
      </c>
      <c r="F1" s="11" t="s">
        <v>583</v>
      </c>
      <c r="G1" s="11" t="s">
        <v>585</v>
      </c>
      <c r="H1" s="11" t="s">
        <v>587</v>
      </c>
      <c r="I1" s="11" t="s">
        <v>591</v>
      </c>
      <c r="J1" s="11" t="s">
        <v>589</v>
      </c>
      <c r="K1" s="12" t="s">
        <v>651</v>
      </c>
      <c r="L1" s="12" t="s">
        <v>659</v>
      </c>
      <c r="M1" s="12" t="s">
        <v>653</v>
      </c>
      <c r="N1" s="11" t="s">
        <v>584</v>
      </c>
      <c r="O1" s="11" t="s">
        <v>586</v>
      </c>
      <c r="P1" s="11" t="s">
        <v>588</v>
      </c>
      <c r="Q1" s="11" t="s">
        <v>592</v>
      </c>
      <c r="R1" s="11" t="s">
        <v>590</v>
      </c>
      <c r="S1" s="12" t="s">
        <v>651</v>
      </c>
      <c r="T1" s="12" t="s">
        <v>652</v>
      </c>
      <c r="U1" s="12" t="s">
        <v>653</v>
      </c>
    </row>
    <row r="2" spans="1:22" s="1" customFormat="1" hidden="1" x14ac:dyDescent="0.25">
      <c r="A2" s="1" t="s">
        <v>3</v>
      </c>
      <c r="B2" s="1" t="s">
        <v>4</v>
      </c>
      <c r="C2" s="1" t="s">
        <v>5</v>
      </c>
      <c r="D2" s="6">
        <v>0.08</v>
      </c>
      <c r="E2" s="1">
        <v>0.84130000000000005</v>
      </c>
      <c r="F2" s="1">
        <v>32.362699999999997</v>
      </c>
      <c r="G2" s="1">
        <v>16.29</v>
      </c>
      <c r="H2" s="1">
        <v>15.85</v>
      </c>
      <c r="I2" s="1">
        <v>0</v>
      </c>
      <c r="J2" s="1">
        <v>0</v>
      </c>
      <c r="K2" s="9">
        <f t="shared" ref="K2:K65" si="0">SUM(G2:J2)</f>
        <v>32.14</v>
      </c>
      <c r="L2" s="20">
        <f>K2/F2</f>
        <v>0.99311862112864513</v>
      </c>
      <c r="M2" s="14" t="str">
        <f>IF(ABS(L2-1)&gt;0.1,1,"")</f>
        <v/>
      </c>
      <c r="N2" s="7">
        <f t="shared" ref="N2:N65" si="1">(F2/(D2+E2))*100</f>
        <v>3512.7211548898294</v>
      </c>
      <c r="O2" s="7">
        <f t="shared" ref="O2:O65" si="2">(G2/(D2+E2))*100</f>
        <v>1768.1536958645393</v>
      </c>
      <c r="P2" s="7">
        <f t="shared" ref="P2:P65" si="3">(H2/(D2+E2))*100</f>
        <v>1720.3950938890696</v>
      </c>
      <c r="Q2" s="1">
        <f t="shared" ref="Q2:Q65" si="4">(I2/(D2+E2))*100</f>
        <v>0</v>
      </c>
      <c r="R2" s="1">
        <f t="shared" ref="R2:R65" si="5">(J2/(D2+E2))*100</f>
        <v>0</v>
      </c>
      <c r="S2" s="14">
        <f>SUM(O2:R2)</f>
        <v>3488.5487897536086</v>
      </c>
      <c r="T2" s="10">
        <f>(N2-S2)/N2</f>
        <v>6.8813788713550641E-3</v>
      </c>
      <c r="U2" s="14" t="str">
        <f>IF(T2&gt;0.1,1,IF(T2&lt;-0.1,-1,""))</f>
        <v/>
      </c>
      <c r="V2" s="1" t="e">
        <f>MATCH(C2,'Weights and Seed Amounts'!D$2:D$400,0)</f>
        <v>#N/A</v>
      </c>
    </row>
    <row r="3" spans="1:22" s="1" customFormat="1" hidden="1" x14ac:dyDescent="0.25">
      <c r="A3" s="1" t="s">
        <v>3</v>
      </c>
      <c r="B3" s="1" t="s">
        <v>4</v>
      </c>
      <c r="C3" s="1" t="s">
        <v>6</v>
      </c>
      <c r="D3" s="6">
        <v>7.4099999999999999E-2</v>
      </c>
      <c r="E3" s="1">
        <v>1.6240000000000001</v>
      </c>
      <c r="F3" s="1">
        <v>155.58000000000001</v>
      </c>
      <c r="G3" s="1">
        <v>51.8</v>
      </c>
      <c r="H3" s="1">
        <v>51.92</v>
      </c>
      <c r="I3" s="1">
        <v>0</v>
      </c>
      <c r="J3" s="1">
        <v>51.86</v>
      </c>
      <c r="K3" s="9">
        <f t="shared" si="0"/>
        <v>155.57999999999998</v>
      </c>
      <c r="L3" s="20">
        <f t="shared" ref="L3:L66" si="6">K3/F3</f>
        <v>0.99999999999999978</v>
      </c>
      <c r="M3" s="14" t="str">
        <f t="shared" ref="M3:M66" si="7">IF(ABS(L3-1)&gt;0.1,1,"")</f>
        <v/>
      </c>
      <c r="N3" s="7">
        <f t="shared" si="1"/>
        <v>9162.0045933690599</v>
      </c>
      <c r="O3" s="7">
        <f t="shared" si="2"/>
        <v>3050.4681703079905</v>
      </c>
      <c r="P3" s="7">
        <f t="shared" si="3"/>
        <v>3057.5348919380481</v>
      </c>
      <c r="Q3" s="1">
        <f t="shared" si="4"/>
        <v>0</v>
      </c>
      <c r="R3" s="1">
        <f t="shared" si="5"/>
        <v>3054.0015311230195</v>
      </c>
      <c r="S3" s="14">
        <f t="shared" ref="S3:S66" si="8">SUM(O3:R3)</f>
        <v>9162.0045933690581</v>
      </c>
      <c r="T3" s="10">
        <f t="shared" ref="T3:T66" si="9">(N3-S3)/N3</f>
        <v>1.9853618113904222E-16</v>
      </c>
      <c r="U3" s="14" t="str">
        <f t="shared" ref="U3:U66" si="10">IF(T3&gt;0.1,1,IF(T3&lt;-0.1,-1,""))</f>
        <v/>
      </c>
    </row>
    <row r="4" spans="1:22" s="1" customFormat="1" hidden="1" x14ac:dyDescent="0.25">
      <c r="A4" s="1" t="s">
        <v>7</v>
      </c>
      <c r="B4" s="1" t="s">
        <v>8</v>
      </c>
      <c r="C4" s="1" t="s">
        <v>9</v>
      </c>
      <c r="D4" s="6">
        <v>9.6699999999999994E-2</v>
      </c>
      <c r="E4" s="1">
        <v>0</v>
      </c>
      <c r="F4" s="1">
        <v>63.094000000000001</v>
      </c>
      <c r="G4" s="1">
        <v>3.77</v>
      </c>
      <c r="H4" s="1">
        <v>3.71</v>
      </c>
      <c r="I4" s="1">
        <v>51.78</v>
      </c>
      <c r="J4" s="1">
        <v>3.71</v>
      </c>
      <c r="K4" s="9">
        <f t="shared" si="0"/>
        <v>62.970000000000006</v>
      </c>
      <c r="L4" s="20">
        <f t="shared" si="6"/>
        <v>0.99803467841633131</v>
      </c>
      <c r="M4" s="14" t="str">
        <f t="shared" si="7"/>
        <v/>
      </c>
      <c r="N4" s="7">
        <f t="shared" si="1"/>
        <v>65247.156153050673</v>
      </c>
      <c r="O4" s="7">
        <f t="shared" si="2"/>
        <v>3898.6556359875904</v>
      </c>
      <c r="P4" s="7">
        <f t="shared" si="3"/>
        <v>3836.6080661840747</v>
      </c>
      <c r="Q4" s="1">
        <f t="shared" si="4"/>
        <v>53547.05274043433</v>
      </c>
      <c r="R4" s="1">
        <f t="shared" si="5"/>
        <v>3836.6080661840747</v>
      </c>
      <c r="S4" s="14">
        <f t="shared" si="8"/>
        <v>65118.924508790071</v>
      </c>
      <c r="T4" s="10">
        <f t="shared" si="9"/>
        <v>1.9653215836688527E-3</v>
      </c>
      <c r="U4" s="14" t="str">
        <f t="shared" si="10"/>
        <v/>
      </c>
    </row>
    <row r="5" spans="1:22" s="1" customFormat="1" hidden="1" x14ac:dyDescent="0.25">
      <c r="A5" s="1" t="s">
        <v>7</v>
      </c>
      <c r="B5" s="1" t="s">
        <v>8</v>
      </c>
      <c r="C5" s="1" t="s">
        <v>10</v>
      </c>
      <c r="D5" s="6">
        <v>9.7000000000000003E-2</v>
      </c>
      <c r="E5" s="1">
        <v>0</v>
      </c>
      <c r="F5" s="1">
        <v>75.703699999999998</v>
      </c>
      <c r="G5" s="1">
        <v>4.21</v>
      </c>
      <c r="H5" s="1">
        <v>4.2300000000000004</v>
      </c>
      <c r="I5" s="1">
        <v>63.74</v>
      </c>
      <c r="J5" s="1">
        <v>4.26</v>
      </c>
      <c r="K5" s="9">
        <f t="shared" si="0"/>
        <v>76.440000000000012</v>
      </c>
      <c r="L5" s="20">
        <f t="shared" si="6"/>
        <v>1.0097260767967751</v>
      </c>
      <c r="M5" s="14" t="str">
        <f t="shared" si="7"/>
        <v/>
      </c>
      <c r="N5" s="7">
        <f t="shared" si="1"/>
        <v>78045.05154639174</v>
      </c>
      <c r="O5" s="7">
        <f t="shared" si="2"/>
        <v>4340.2061855670099</v>
      </c>
      <c r="P5" s="7">
        <f t="shared" si="3"/>
        <v>4360.8247422680415</v>
      </c>
      <c r="Q5" s="1">
        <f t="shared" si="4"/>
        <v>65711.340206185574</v>
      </c>
      <c r="R5" s="1">
        <f t="shared" si="5"/>
        <v>4391.7525773195866</v>
      </c>
      <c r="S5" s="14">
        <f t="shared" si="8"/>
        <v>78804.123711340202</v>
      </c>
      <c r="T5" s="10">
        <f t="shared" si="9"/>
        <v>-9.7260767967749049E-3</v>
      </c>
      <c r="U5" s="14" t="str">
        <f t="shared" si="10"/>
        <v/>
      </c>
    </row>
    <row r="6" spans="1:22" s="1" customFormat="1" hidden="1" x14ac:dyDescent="0.25">
      <c r="A6" s="1" t="s">
        <v>11</v>
      </c>
      <c r="B6" s="1" t="s">
        <v>12</v>
      </c>
      <c r="C6" s="1" t="s">
        <v>13</v>
      </c>
      <c r="D6" s="6">
        <v>0.20979999999999999</v>
      </c>
      <c r="E6" s="1">
        <v>0</v>
      </c>
      <c r="F6" s="1">
        <v>49.263199999999998</v>
      </c>
      <c r="G6" s="1">
        <v>7.03</v>
      </c>
      <c r="H6" s="1">
        <v>7.03</v>
      </c>
      <c r="I6" s="1">
        <v>28.25</v>
      </c>
      <c r="J6" s="1">
        <v>7.06</v>
      </c>
      <c r="K6" s="9">
        <f t="shared" si="0"/>
        <v>49.370000000000005</v>
      </c>
      <c r="L6" s="20">
        <f t="shared" si="6"/>
        <v>1.0021679468650029</v>
      </c>
      <c r="M6" s="14" t="str">
        <f t="shared" si="7"/>
        <v/>
      </c>
      <c r="N6" s="7">
        <f t="shared" si="1"/>
        <v>23481.029551954241</v>
      </c>
      <c r="O6" s="7">
        <f t="shared" si="2"/>
        <v>3350.8102955195427</v>
      </c>
      <c r="P6" s="7">
        <f t="shared" si="3"/>
        <v>3350.8102955195427</v>
      </c>
      <c r="Q6" s="1">
        <f t="shared" si="4"/>
        <v>13465.204957102003</v>
      </c>
      <c r="R6" s="1">
        <f t="shared" si="5"/>
        <v>3365.1096282173498</v>
      </c>
      <c r="S6" s="14">
        <f t="shared" si="8"/>
        <v>23531.935176358438</v>
      </c>
      <c r="T6" s="10">
        <f t="shared" si="9"/>
        <v>-2.1679468650027752E-3</v>
      </c>
      <c r="U6" s="14" t="str">
        <f t="shared" si="10"/>
        <v/>
      </c>
    </row>
    <row r="7" spans="1:22" s="1" customFormat="1" hidden="1" x14ac:dyDescent="0.25">
      <c r="A7" s="1" t="s">
        <v>14</v>
      </c>
      <c r="B7" s="1" t="s">
        <v>15</v>
      </c>
      <c r="C7" s="1" t="s">
        <v>16</v>
      </c>
      <c r="D7" s="6">
        <v>3.39E-2</v>
      </c>
      <c r="E7" s="1">
        <v>0.10879999999999999</v>
      </c>
      <c r="F7" s="1">
        <v>78.400000000000006</v>
      </c>
      <c r="G7" s="1">
        <v>4.91</v>
      </c>
      <c r="H7" s="1">
        <v>4.9800000000000004</v>
      </c>
      <c r="I7" s="1">
        <v>63.08</v>
      </c>
      <c r="J7" s="1">
        <v>5.05</v>
      </c>
      <c r="K7" s="9">
        <f t="shared" si="0"/>
        <v>78.02</v>
      </c>
      <c r="L7" s="20">
        <f t="shared" si="6"/>
        <v>0.99515306122448965</v>
      </c>
      <c r="M7" s="14" t="str">
        <f t="shared" si="7"/>
        <v/>
      </c>
      <c r="N7" s="7">
        <f t="shared" si="1"/>
        <v>54940.434477925723</v>
      </c>
      <c r="O7" s="7">
        <f t="shared" si="2"/>
        <v>3440.7848633496847</v>
      </c>
      <c r="P7" s="7">
        <f t="shared" si="3"/>
        <v>3489.8388227049759</v>
      </c>
      <c r="Q7" s="1">
        <f t="shared" si="4"/>
        <v>44204.625087596352</v>
      </c>
      <c r="R7" s="1">
        <f t="shared" si="5"/>
        <v>3538.8927820602662</v>
      </c>
      <c r="S7" s="14">
        <f t="shared" si="8"/>
        <v>54674.141555711285</v>
      </c>
      <c r="T7" s="10">
        <f t="shared" si="9"/>
        <v>4.8469387755102344E-3</v>
      </c>
      <c r="U7" s="14" t="str">
        <f t="shared" si="10"/>
        <v/>
      </c>
    </row>
    <row r="8" spans="1:22" s="1" customFormat="1" hidden="1" x14ac:dyDescent="0.25">
      <c r="A8" s="1" t="s">
        <v>17</v>
      </c>
      <c r="B8" s="1" t="s">
        <v>18</v>
      </c>
      <c r="C8" s="1" t="s">
        <v>19</v>
      </c>
      <c r="D8" s="6">
        <v>0.4481</v>
      </c>
      <c r="E8" s="1">
        <v>1.9355</v>
      </c>
      <c r="F8" s="1">
        <v>333.65</v>
      </c>
      <c r="G8" s="1">
        <v>80.17</v>
      </c>
      <c r="H8" s="1">
        <v>81.790000000000006</v>
      </c>
      <c r="I8" s="1">
        <v>69.94</v>
      </c>
      <c r="J8" s="1">
        <v>80.23</v>
      </c>
      <c r="K8" s="9">
        <f t="shared" si="0"/>
        <v>312.13</v>
      </c>
      <c r="L8" s="20">
        <f t="shared" si="6"/>
        <v>0.93550127378989967</v>
      </c>
      <c r="M8" s="14" t="str">
        <f t="shared" si="7"/>
        <v/>
      </c>
      <c r="N8" s="7">
        <f t="shared" si="1"/>
        <v>13997.734519214631</v>
      </c>
      <c r="O8" s="7">
        <f t="shared" si="2"/>
        <v>3363.3998993119653</v>
      </c>
      <c r="P8" s="7">
        <f t="shared" si="3"/>
        <v>3431.3643228729652</v>
      </c>
      <c r="Q8" s="1">
        <f t="shared" si="4"/>
        <v>2934.2171505286119</v>
      </c>
      <c r="R8" s="1">
        <f t="shared" si="5"/>
        <v>3365.9171001845948</v>
      </c>
      <c r="S8" s="14">
        <f t="shared" si="8"/>
        <v>13094.898472898138</v>
      </c>
      <c r="T8" s="10">
        <f t="shared" si="9"/>
        <v>6.4498726210100235E-2</v>
      </c>
      <c r="U8" s="14" t="str">
        <f t="shared" si="10"/>
        <v/>
      </c>
    </row>
    <row r="9" spans="1:22" s="1" customFormat="1" hidden="1" x14ac:dyDescent="0.25">
      <c r="A9" s="1" t="s">
        <v>17</v>
      </c>
      <c r="B9" s="1" t="s">
        <v>18</v>
      </c>
      <c r="C9" s="1" t="s">
        <v>20</v>
      </c>
      <c r="D9" s="6">
        <v>0.57420000000000004</v>
      </c>
      <c r="E9" s="1">
        <v>1.2928999999999999</v>
      </c>
      <c r="F9" s="1">
        <v>590.76</v>
      </c>
      <c r="G9" s="1">
        <v>63.61</v>
      </c>
      <c r="H9" s="1">
        <v>66.430000000000007</v>
      </c>
      <c r="I9" s="19">
        <v>391.92</v>
      </c>
      <c r="J9" s="1">
        <v>66.72</v>
      </c>
      <c r="K9" s="9">
        <f t="shared" si="0"/>
        <v>588.68000000000006</v>
      </c>
      <c r="L9" s="20">
        <f t="shared" si="6"/>
        <v>0.99647911165278635</v>
      </c>
      <c r="M9" s="14" t="str">
        <f t="shared" si="7"/>
        <v/>
      </c>
      <c r="N9" s="7">
        <f t="shared" si="1"/>
        <v>31640.512023994434</v>
      </c>
      <c r="O9" s="7">
        <f t="shared" si="2"/>
        <v>3406.8876867869958</v>
      </c>
      <c r="P9" s="7">
        <f t="shared" si="3"/>
        <v>3557.9240533447596</v>
      </c>
      <c r="Q9" s="1">
        <f t="shared" si="4"/>
        <v>20990.841411815116</v>
      </c>
      <c r="R9" s="1">
        <f t="shared" si="5"/>
        <v>3573.4561619624019</v>
      </c>
      <c r="S9" s="14">
        <f t="shared" si="8"/>
        <v>31529.10931390927</v>
      </c>
      <c r="T9" s="10">
        <f t="shared" si="9"/>
        <v>3.5208883472139085E-3</v>
      </c>
      <c r="U9" s="14" t="str">
        <f t="shared" si="10"/>
        <v/>
      </c>
    </row>
    <row r="10" spans="1:22" s="1" customFormat="1" hidden="1" x14ac:dyDescent="0.25">
      <c r="A10" s="1" t="s">
        <v>17</v>
      </c>
      <c r="B10" s="1" t="s">
        <v>18</v>
      </c>
      <c r="C10" s="1" t="s">
        <v>21</v>
      </c>
      <c r="D10" s="6">
        <v>0.88119999999999998</v>
      </c>
      <c r="E10" s="1">
        <v>1.1614</v>
      </c>
      <c r="F10" s="1">
        <v>304.29000000000002</v>
      </c>
      <c r="G10" s="1">
        <v>68.22</v>
      </c>
      <c r="H10" s="1">
        <v>68.12</v>
      </c>
      <c r="I10" s="1">
        <v>98.12</v>
      </c>
      <c r="J10" s="1">
        <v>68.09</v>
      </c>
      <c r="K10" s="9">
        <f t="shared" si="0"/>
        <v>302.55</v>
      </c>
      <c r="L10" s="20">
        <f t="shared" si="6"/>
        <v>0.99428177067928614</v>
      </c>
      <c r="M10" s="14" t="str">
        <f t="shared" si="7"/>
        <v/>
      </c>
      <c r="N10" s="7">
        <f t="shared" si="1"/>
        <v>14897.189856065799</v>
      </c>
      <c r="O10" s="7">
        <f t="shared" si="2"/>
        <v>3339.8609615196315</v>
      </c>
      <c r="P10" s="7">
        <f t="shared" si="3"/>
        <v>3334.9652403799078</v>
      </c>
      <c r="Q10" s="1">
        <f t="shared" si="4"/>
        <v>4803.6815822970721</v>
      </c>
      <c r="R10" s="1">
        <f t="shared" si="5"/>
        <v>3333.4965240379906</v>
      </c>
      <c r="S10" s="14">
        <f t="shared" si="8"/>
        <v>14812.004308234602</v>
      </c>
      <c r="T10" s="10">
        <f t="shared" si="9"/>
        <v>5.7182293207139077E-3</v>
      </c>
      <c r="U10" s="14" t="str">
        <f t="shared" si="10"/>
        <v/>
      </c>
    </row>
    <row r="11" spans="1:22" s="1" customFormat="1" hidden="1" x14ac:dyDescent="0.25">
      <c r="A11" s="1" t="s">
        <v>22</v>
      </c>
      <c r="B11" s="1" t="s">
        <v>23</v>
      </c>
      <c r="C11" s="1" t="s">
        <v>24</v>
      </c>
      <c r="D11" s="6">
        <v>0.1115</v>
      </c>
      <c r="E11" s="1">
        <v>1.254</v>
      </c>
      <c r="F11" s="1">
        <v>68.489400000000003</v>
      </c>
      <c r="G11" s="1">
        <v>34.29</v>
      </c>
      <c r="H11" s="1">
        <v>34.29</v>
      </c>
      <c r="I11" s="1">
        <v>0</v>
      </c>
      <c r="J11" s="1">
        <v>0</v>
      </c>
      <c r="K11" s="9">
        <f t="shared" si="0"/>
        <v>68.58</v>
      </c>
      <c r="L11" s="20">
        <f t="shared" si="6"/>
        <v>1.0013228324383043</v>
      </c>
      <c r="M11" s="14" t="str">
        <f t="shared" si="7"/>
        <v/>
      </c>
      <c r="N11" s="7">
        <f t="shared" si="1"/>
        <v>5015.7012083485906</v>
      </c>
      <c r="O11" s="7">
        <f t="shared" si="2"/>
        <v>2511.1680703039178</v>
      </c>
      <c r="P11" s="7">
        <f t="shared" si="3"/>
        <v>2511.1680703039178</v>
      </c>
      <c r="Q11" s="1">
        <f t="shared" si="4"/>
        <v>0</v>
      </c>
      <c r="R11" s="1">
        <f t="shared" si="5"/>
        <v>0</v>
      </c>
      <c r="S11" s="14">
        <f t="shared" si="8"/>
        <v>5022.3361406078357</v>
      </c>
      <c r="T11" s="10">
        <f t="shared" si="9"/>
        <v>-1.3228324383041891E-3</v>
      </c>
      <c r="U11" s="14" t="str">
        <f t="shared" si="10"/>
        <v/>
      </c>
    </row>
    <row r="12" spans="1:22" s="1" customFormat="1" hidden="1" x14ac:dyDescent="0.25">
      <c r="A12" s="1" t="s">
        <v>22</v>
      </c>
      <c r="B12" s="1" t="s">
        <v>23</v>
      </c>
      <c r="C12" s="1" t="s">
        <v>25</v>
      </c>
      <c r="D12" s="6">
        <v>0.14949999999999999</v>
      </c>
      <c r="E12" s="1">
        <v>1.7298</v>
      </c>
      <c r="F12" s="1">
        <v>42.01782</v>
      </c>
      <c r="G12" s="1">
        <v>21.11</v>
      </c>
      <c r="H12" s="1">
        <v>21.05</v>
      </c>
      <c r="I12" s="1">
        <v>0</v>
      </c>
      <c r="J12" s="1">
        <v>0</v>
      </c>
      <c r="K12" s="9">
        <f t="shared" si="0"/>
        <v>42.16</v>
      </c>
      <c r="L12" s="20">
        <f t="shared" si="6"/>
        <v>1.0033838023962214</v>
      </c>
      <c r="M12" s="14" t="str">
        <f t="shared" si="7"/>
        <v/>
      </c>
      <c r="N12" s="7">
        <f t="shared" si="1"/>
        <v>2235.8229127866762</v>
      </c>
      <c r="O12" s="7">
        <f t="shared" si="2"/>
        <v>1123.290586920662</v>
      </c>
      <c r="P12" s="7">
        <f t="shared" si="3"/>
        <v>1120.0979087958283</v>
      </c>
      <c r="Q12" s="1">
        <f t="shared" si="4"/>
        <v>0</v>
      </c>
      <c r="R12" s="1">
        <f t="shared" si="5"/>
        <v>0</v>
      </c>
      <c r="S12" s="14">
        <f t="shared" si="8"/>
        <v>2243.3884957164901</v>
      </c>
      <c r="T12" s="10">
        <f t="shared" si="9"/>
        <v>-3.3838023962212364E-3</v>
      </c>
      <c r="U12" s="14" t="str">
        <f t="shared" si="10"/>
        <v/>
      </c>
    </row>
    <row r="13" spans="1:22" s="1" customFormat="1" hidden="1" x14ac:dyDescent="0.25">
      <c r="A13" s="1" t="s">
        <v>26</v>
      </c>
      <c r="B13" s="1" t="s">
        <v>27</v>
      </c>
      <c r="C13" s="1" t="s">
        <v>28</v>
      </c>
      <c r="D13" s="6">
        <v>1.4200000000000001E-2</v>
      </c>
      <c r="E13" s="1">
        <v>0.53449999999999998</v>
      </c>
      <c r="F13" s="1">
        <v>41.096499999999999</v>
      </c>
      <c r="G13" s="1">
        <v>16.12</v>
      </c>
      <c r="H13" s="1">
        <v>16.09</v>
      </c>
      <c r="I13" s="1">
        <v>0</v>
      </c>
      <c r="J13" s="1">
        <v>8.06</v>
      </c>
      <c r="K13" s="9">
        <f t="shared" si="0"/>
        <v>40.270000000000003</v>
      </c>
      <c r="L13" s="20">
        <f t="shared" si="6"/>
        <v>0.97988879831615838</v>
      </c>
      <c r="M13" s="14" t="str">
        <f t="shared" si="7"/>
        <v/>
      </c>
      <c r="N13" s="7">
        <f t="shared" si="1"/>
        <v>7489.7940586841632</v>
      </c>
      <c r="O13" s="7">
        <f t="shared" si="2"/>
        <v>2937.8531073446334</v>
      </c>
      <c r="P13" s="7">
        <f t="shared" si="3"/>
        <v>2932.3856387825772</v>
      </c>
      <c r="Q13" s="1">
        <f t="shared" si="4"/>
        <v>0</v>
      </c>
      <c r="R13" s="1">
        <f t="shared" si="5"/>
        <v>1468.9265536723167</v>
      </c>
      <c r="S13" s="14">
        <f t="shared" si="8"/>
        <v>7339.165299799527</v>
      </c>
      <c r="T13" s="10">
        <f t="shared" si="9"/>
        <v>2.0111201683841663E-2</v>
      </c>
      <c r="U13" s="14" t="str">
        <f t="shared" si="10"/>
        <v/>
      </c>
    </row>
    <row r="14" spans="1:22" s="1" customFormat="1" hidden="1" x14ac:dyDescent="0.25">
      <c r="A14" s="1" t="s">
        <v>29</v>
      </c>
      <c r="B14" s="1" t="s">
        <v>30</v>
      </c>
      <c r="C14" s="1" t="s">
        <v>31</v>
      </c>
      <c r="D14" s="6">
        <v>9.1999999999999998E-3</v>
      </c>
      <c r="E14" s="1">
        <v>0.12590000000000001</v>
      </c>
      <c r="F14" s="1">
        <v>159.58179999999999</v>
      </c>
      <c r="G14" s="1">
        <v>4.5999999999999996</v>
      </c>
      <c r="H14" s="1">
        <v>4.51</v>
      </c>
      <c r="I14" s="1">
        <v>146.26</v>
      </c>
      <c r="J14" s="1">
        <v>4.5</v>
      </c>
      <c r="K14" s="9">
        <f t="shared" si="0"/>
        <v>159.87</v>
      </c>
      <c r="L14" s="20">
        <f t="shared" si="6"/>
        <v>1.0018059703550155</v>
      </c>
      <c r="M14" s="14" t="str">
        <f t="shared" si="7"/>
        <v/>
      </c>
      <c r="N14" s="7">
        <f t="shared" si="1"/>
        <v>118121.24352331605</v>
      </c>
      <c r="O14" s="7">
        <f t="shared" si="2"/>
        <v>3404.8852701702444</v>
      </c>
      <c r="P14" s="7">
        <f t="shared" si="3"/>
        <v>3338.2679496669134</v>
      </c>
      <c r="Q14" s="1">
        <f t="shared" si="4"/>
        <v>108260.54774241302</v>
      </c>
      <c r="R14" s="1">
        <f t="shared" si="5"/>
        <v>3330.8660251665437</v>
      </c>
      <c r="S14" s="14">
        <f t="shared" si="8"/>
        <v>118334.56698741672</v>
      </c>
      <c r="T14" s="10">
        <f t="shared" si="9"/>
        <v>-1.8059703550154637E-3</v>
      </c>
      <c r="U14" s="14" t="str">
        <f t="shared" si="10"/>
        <v/>
      </c>
    </row>
    <row r="15" spans="1:22" s="1" customFormat="1" hidden="1" x14ac:dyDescent="0.25">
      <c r="A15" s="1" t="s">
        <v>32</v>
      </c>
      <c r="B15" s="1" t="s">
        <v>33</v>
      </c>
      <c r="C15" s="1" t="s">
        <v>34</v>
      </c>
      <c r="D15" s="6">
        <v>0.31640000000000001</v>
      </c>
      <c r="E15" s="1">
        <v>0.79249999999999998</v>
      </c>
      <c r="F15" s="1">
        <v>141.2586</v>
      </c>
      <c r="G15" s="1">
        <v>25.94</v>
      </c>
      <c r="H15" s="1">
        <v>25.94</v>
      </c>
      <c r="I15" s="1">
        <v>62.55</v>
      </c>
      <c r="J15" s="1">
        <v>25.95</v>
      </c>
      <c r="K15" s="9">
        <f t="shared" si="0"/>
        <v>140.38</v>
      </c>
      <c r="L15" s="20">
        <f t="shared" si="6"/>
        <v>0.99378020170099379</v>
      </c>
      <c r="M15" s="14" t="str">
        <f t="shared" si="7"/>
        <v/>
      </c>
      <c r="N15" s="7">
        <f t="shared" si="1"/>
        <v>12738.623861484353</v>
      </c>
      <c r="O15" s="7">
        <f t="shared" si="2"/>
        <v>2339.2551176841916</v>
      </c>
      <c r="P15" s="7">
        <f t="shared" si="3"/>
        <v>2339.2551176841916</v>
      </c>
      <c r="Q15" s="1">
        <f t="shared" si="4"/>
        <v>5640.7250428352418</v>
      </c>
      <c r="R15" s="1">
        <f t="shared" si="5"/>
        <v>2340.1569122553879</v>
      </c>
      <c r="S15" s="14">
        <f t="shared" si="8"/>
        <v>12659.392190459013</v>
      </c>
      <c r="T15" s="10">
        <f t="shared" si="9"/>
        <v>6.2197982990061778E-3</v>
      </c>
      <c r="U15" s="14" t="str">
        <f t="shared" si="10"/>
        <v/>
      </c>
    </row>
    <row r="16" spans="1:22" s="1" customFormat="1" hidden="1" x14ac:dyDescent="0.25">
      <c r="A16" s="1" t="s">
        <v>32</v>
      </c>
      <c r="B16" s="1" t="s">
        <v>33</v>
      </c>
      <c r="C16" s="1" t="s">
        <v>35</v>
      </c>
      <c r="D16" s="6">
        <v>0.36820000000000003</v>
      </c>
      <c r="E16" s="1">
        <v>0.16320000000000001</v>
      </c>
      <c r="F16" s="1">
        <v>11.3652</v>
      </c>
      <c r="G16" s="1">
        <v>5.62</v>
      </c>
      <c r="H16" s="1">
        <v>5.68</v>
      </c>
      <c r="I16" s="1">
        <v>0</v>
      </c>
      <c r="J16" s="1">
        <v>0</v>
      </c>
      <c r="K16" s="9">
        <f t="shared" si="0"/>
        <v>11.3</v>
      </c>
      <c r="L16" s="20">
        <f t="shared" si="6"/>
        <v>0.99426318938514069</v>
      </c>
      <c r="M16" s="14" t="str">
        <f t="shared" si="7"/>
        <v/>
      </c>
      <c r="N16" s="7">
        <f t="shared" si="1"/>
        <v>2138.7278885961605</v>
      </c>
      <c r="O16" s="7">
        <f t="shared" si="2"/>
        <v>1057.5837410613472</v>
      </c>
      <c r="P16" s="7">
        <f t="shared" si="3"/>
        <v>1068.8746706812192</v>
      </c>
      <c r="Q16" s="1">
        <f t="shared" si="4"/>
        <v>0</v>
      </c>
      <c r="R16" s="1">
        <f t="shared" si="5"/>
        <v>0</v>
      </c>
      <c r="S16" s="14">
        <f t="shared" si="8"/>
        <v>2126.4584117425666</v>
      </c>
      <c r="T16" s="10">
        <f t="shared" si="9"/>
        <v>5.7368106148592262E-3</v>
      </c>
      <c r="U16" s="14" t="str">
        <f t="shared" si="10"/>
        <v/>
      </c>
    </row>
    <row r="17" spans="1:21" s="1" customFormat="1" hidden="1" x14ac:dyDescent="0.25">
      <c r="A17" s="1" t="s">
        <v>32</v>
      </c>
      <c r="B17" s="1" t="s">
        <v>33</v>
      </c>
      <c r="C17" s="1" t="s">
        <v>36</v>
      </c>
      <c r="D17" s="6">
        <v>0.41189999999999999</v>
      </c>
      <c r="E17" s="1">
        <v>0.4617</v>
      </c>
      <c r="F17" s="19">
        <v>527.72</v>
      </c>
      <c r="G17" s="1">
        <v>29.14</v>
      </c>
      <c r="H17" s="1">
        <v>29.16</v>
      </c>
      <c r="I17" s="1">
        <v>403.07</v>
      </c>
      <c r="J17" s="1">
        <v>29.12</v>
      </c>
      <c r="K17" s="9">
        <f t="shared" si="0"/>
        <v>490.49</v>
      </c>
      <c r="L17" s="20">
        <f t="shared" si="6"/>
        <v>0.92945122413401038</v>
      </c>
      <c r="M17" s="14" t="str">
        <f t="shared" si="7"/>
        <v/>
      </c>
      <c r="N17" s="7">
        <f t="shared" si="1"/>
        <v>60407.509157509165</v>
      </c>
      <c r="O17" s="7">
        <f t="shared" si="2"/>
        <v>3335.6227106227111</v>
      </c>
      <c r="P17" s="7">
        <f t="shared" si="3"/>
        <v>3337.9120879120883</v>
      </c>
      <c r="Q17" s="1">
        <f t="shared" si="4"/>
        <v>46138.965201465202</v>
      </c>
      <c r="R17" s="1">
        <f t="shared" si="5"/>
        <v>3333.3333333333335</v>
      </c>
      <c r="S17" s="14">
        <f t="shared" si="8"/>
        <v>56145.833333333336</v>
      </c>
      <c r="T17" s="10">
        <f t="shared" si="9"/>
        <v>7.0548775865989607E-2</v>
      </c>
      <c r="U17" s="14" t="str">
        <f t="shared" si="10"/>
        <v/>
      </c>
    </row>
    <row r="18" spans="1:21" s="1" customFormat="1" hidden="1" x14ac:dyDescent="0.25">
      <c r="A18" s="1" t="s">
        <v>32</v>
      </c>
      <c r="B18" s="1" t="s">
        <v>33</v>
      </c>
      <c r="C18" s="1" t="s">
        <v>37</v>
      </c>
      <c r="D18" s="6">
        <v>0.35539999999999999</v>
      </c>
      <c r="E18" s="1">
        <v>0.441</v>
      </c>
      <c r="F18" s="1">
        <v>116.27</v>
      </c>
      <c r="G18" s="1">
        <v>26.56</v>
      </c>
      <c r="H18" s="1">
        <v>26.56</v>
      </c>
      <c r="I18" s="1">
        <v>36.49</v>
      </c>
      <c r="J18" s="1">
        <v>26.5</v>
      </c>
      <c r="K18" s="9">
        <f t="shared" si="0"/>
        <v>116.11</v>
      </c>
      <c r="L18" s="20">
        <f t="shared" si="6"/>
        <v>0.99862389266362783</v>
      </c>
      <c r="M18" s="14" t="str">
        <f t="shared" si="7"/>
        <v/>
      </c>
      <c r="N18" s="7">
        <f t="shared" si="1"/>
        <v>14599.447513812154</v>
      </c>
      <c r="O18" s="7">
        <f t="shared" si="2"/>
        <v>3335.0075339025616</v>
      </c>
      <c r="P18" s="7">
        <f t="shared" si="3"/>
        <v>3335.0075339025616</v>
      </c>
      <c r="Q18" s="1">
        <f t="shared" si="4"/>
        <v>4581.8684078352589</v>
      </c>
      <c r="R18" s="1">
        <f t="shared" si="5"/>
        <v>3327.4736313410344</v>
      </c>
      <c r="S18" s="14">
        <f t="shared" si="8"/>
        <v>14579.357106981415</v>
      </c>
      <c r="T18" s="10">
        <f t="shared" si="9"/>
        <v>1.3761073363722893E-3</v>
      </c>
      <c r="U18" s="14" t="str">
        <f t="shared" si="10"/>
        <v/>
      </c>
    </row>
    <row r="19" spans="1:21" s="1" customFormat="1" hidden="1" x14ac:dyDescent="0.25">
      <c r="A19" s="1" t="s">
        <v>32</v>
      </c>
      <c r="B19" s="1" t="s">
        <v>33</v>
      </c>
      <c r="C19" s="1" t="s">
        <v>38</v>
      </c>
      <c r="D19" s="6">
        <v>0.29339999999999999</v>
      </c>
      <c r="E19" s="1">
        <v>0.99890000000000001</v>
      </c>
      <c r="F19" s="1">
        <v>31.4099</v>
      </c>
      <c r="G19" s="1">
        <v>15.64</v>
      </c>
      <c r="H19" s="1">
        <v>15.72</v>
      </c>
      <c r="I19" s="1">
        <v>0</v>
      </c>
      <c r="J19" s="1">
        <v>0</v>
      </c>
      <c r="K19" s="9">
        <f t="shared" si="0"/>
        <v>31.36</v>
      </c>
      <c r="L19" s="20">
        <f t="shared" si="6"/>
        <v>0.99841132891222195</v>
      </c>
      <c r="M19" s="14" t="str">
        <f t="shared" si="7"/>
        <v/>
      </c>
      <c r="N19" s="7">
        <f t="shared" si="1"/>
        <v>2430.5424437050219</v>
      </c>
      <c r="O19" s="7">
        <f t="shared" si="2"/>
        <v>1210.2452990791612</v>
      </c>
      <c r="P19" s="7">
        <f t="shared" si="3"/>
        <v>1216.4358121179293</v>
      </c>
      <c r="Q19" s="1">
        <f t="shared" si="4"/>
        <v>0</v>
      </c>
      <c r="R19" s="1">
        <f t="shared" si="5"/>
        <v>0</v>
      </c>
      <c r="S19" s="14">
        <f t="shared" si="8"/>
        <v>2426.6811111970906</v>
      </c>
      <c r="T19" s="10">
        <f t="shared" si="9"/>
        <v>1.5886710877779629E-3</v>
      </c>
      <c r="U19" s="14" t="str">
        <f t="shared" si="10"/>
        <v/>
      </c>
    </row>
    <row r="20" spans="1:21" s="1" customFormat="1" hidden="1" x14ac:dyDescent="0.25">
      <c r="A20" s="1" t="s">
        <v>32</v>
      </c>
      <c r="B20" s="1" t="s">
        <v>39</v>
      </c>
      <c r="C20" s="1" t="s">
        <v>40</v>
      </c>
      <c r="D20" s="6">
        <v>0.21790000000000001</v>
      </c>
      <c r="E20" s="1">
        <v>0.79110000000000003</v>
      </c>
      <c r="F20" s="1">
        <v>591.91</v>
      </c>
      <c r="G20" s="1">
        <v>33.72</v>
      </c>
      <c r="H20" s="1">
        <v>33.65</v>
      </c>
      <c r="I20" s="1">
        <v>490.31</v>
      </c>
      <c r="J20" s="1">
        <v>33.69</v>
      </c>
      <c r="K20" s="9">
        <f t="shared" si="0"/>
        <v>591.37000000000012</v>
      </c>
      <c r="L20" s="20">
        <f t="shared" si="6"/>
        <v>0.99908769914345108</v>
      </c>
      <c r="M20" s="14" t="str">
        <f t="shared" si="7"/>
        <v/>
      </c>
      <c r="N20" s="7">
        <f t="shared" si="1"/>
        <v>58663.032705649151</v>
      </c>
      <c r="O20" s="7">
        <f t="shared" si="2"/>
        <v>3341.9226957383544</v>
      </c>
      <c r="P20" s="7">
        <f t="shared" si="3"/>
        <v>3334.9851337958371</v>
      </c>
      <c r="Q20" s="1">
        <f t="shared" si="4"/>
        <v>48593.657086223975</v>
      </c>
      <c r="R20" s="1">
        <f t="shared" si="5"/>
        <v>3338.9494549058468</v>
      </c>
      <c r="S20" s="14">
        <f t="shared" si="8"/>
        <v>58609.514370664008</v>
      </c>
      <c r="T20" s="10">
        <f t="shared" si="9"/>
        <v>9.1230085654929721E-4</v>
      </c>
      <c r="U20" s="14" t="str">
        <f t="shared" si="10"/>
        <v/>
      </c>
    </row>
    <row r="21" spans="1:21" s="1" customFormat="1" hidden="1" x14ac:dyDescent="0.25">
      <c r="A21" s="1" t="s">
        <v>32</v>
      </c>
      <c r="B21" s="1" t="s">
        <v>39</v>
      </c>
      <c r="C21" s="1" t="s">
        <v>41</v>
      </c>
      <c r="D21" s="6">
        <v>0.3115</v>
      </c>
      <c r="E21" s="1">
        <v>0.48920000000000002</v>
      </c>
      <c r="F21" s="19">
        <v>1619.17</v>
      </c>
      <c r="G21" s="1">
        <v>26.71</v>
      </c>
      <c r="H21" s="1">
        <v>26.76</v>
      </c>
      <c r="I21" s="1">
        <v>1653.17</v>
      </c>
      <c r="J21" s="1">
        <v>26.66</v>
      </c>
      <c r="K21" s="9">
        <f t="shared" si="0"/>
        <v>1733.3000000000002</v>
      </c>
      <c r="L21" s="20">
        <f t="shared" si="6"/>
        <v>1.0704867308559325</v>
      </c>
      <c r="M21" s="14" t="str">
        <f t="shared" si="7"/>
        <v/>
      </c>
      <c r="N21" s="7">
        <f t="shared" si="1"/>
        <v>202219.30810540778</v>
      </c>
      <c r="O21" s="7">
        <f t="shared" si="2"/>
        <v>3335.8311477457228</v>
      </c>
      <c r="P21" s="7">
        <f t="shared" si="3"/>
        <v>3342.0756837766958</v>
      </c>
      <c r="Q21" s="1">
        <f t="shared" si="4"/>
        <v>206465.59260646935</v>
      </c>
      <c r="R21" s="1">
        <f t="shared" si="5"/>
        <v>3329.5866117147498</v>
      </c>
      <c r="S21" s="14">
        <f t="shared" si="8"/>
        <v>216473.0860497065</v>
      </c>
      <c r="T21" s="10">
        <f t="shared" si="9"/>
        <v>-7.0486730855932281E-2</v>
      </c>
      <c r="U21" s="14" t="str">
        <f t="shared" si="10"/>
        <v/>
      </c>
    </row>
    <row r="22" spans="1:21" s="1" customFormat="1" hidden="1" x14ac:dyDescent="0.25">
      <c r="A22" s="1" t="s">
        <v>32</v>
      </c>
      <c r="B22" s="1" t="s">
        <v>39</v>
      </c>
      <c r="C22" s="1" t="s">
        <v>42</v>
      </c>
      <c r="D22" s="6">
        <v>0.27100000000000002</v>
      </c>
      <c r="E22" s="1">
        <v>0.80149999999999999</v>
      </c>
      <c r="F22" s="1">
        <v>238.55</v>
      </c>
      <c r="G22" s="1">
        <v>35.83</v>
      </c>
      <c r="H22" s="1">
        <v>35.86</v>
      </c>
      <c r="I22" s="1">
        <v>129.5</v>
      </c>
      <c r="J22" s="1">
        <v>35.83</v>
      </c>
      <c r="K22" s="9">
        <f t="shared" si="0"/>
        <v>237.01999999999998</v>
      </c>
      <c r="L22" s="20">
        <f t="shared" si="6"/>
        <v>0.99358625026199943</v>
      </c>
      <c r="M22" s="14" t="str">
        <f t="shared" si="7"/>
        <v/>
      </c>
      <c r="N22" s="7">
        <f t="shared" si="1"/>
        <v>22242.424242424244</v>
      </c>
      <c r="O22" s="7">
        <f t="shared" si="2"/>
        <v>3340.7925407925404</v>
      </c>
      <c r="P22" s="7">
        <f t="shared" si="3"/>
        <v>3343.5897435897436</v>
      </c>
      <c r="Q22" s="1">
        <f t="shared" si="4"/>
        <v>12074.592074592074</v>
      </c>
      <c r="R22" s="1">
        <f t="shared" si="5"/>
        <v>3340.7925407925404</v>
      </c>
      <c r="S22" s="14">
        <f t="shared" si="8"/>
        <v>22099.766899766899</v>
      </c>
      <c r="T22" s="10">
        <f t="shared" si="9"/>
        <v>6.4137497380005242E-3</v>
      </c>
      <c r="U22" s="14" t="str">
        <f t="shared" si="10"/>
        <v/>
      </c>
    </row>
    <row r="23" spans="1:21" s="1" customFormat="1" hidden="1" x14ac:dyDescent="0.25">
      <c r="A23" s="1" t="s">
        <v>43</v>
      </c>
      <c r="B23" s="1" t="s">
        <v>44</v>
      </c>
      <c r="C23" s="1" t="s">
        <v>45</v>
      </c>
      <c r="D23" s="6">
        <v>3.4799999999999998E-2</v>
      </c>
      <c r="E23" s="1">
        <v>3.0200000000000001E-2</v>
      </c>
      <c r="F23" s="19">
        <v>44.449399999999997</v>
      </c>
      <c r="G23" s="1">
        <v>3.24</v>
      </c>
      <c r="H23" s="1">
        <v>3.26</v>
      </c>
      <c r="I23" s="1">
        <v>33.71</v>
      </c>
      <c r="J23" s="1">
        <v>3.3</v>
      </c>
      <c r="K23" s="9">
        <f t="shared" si="0"/>
        <v>43.51</v>
      </c>
      <c r="L23" s="20">
        <f t="shared" si="6"/>
        <v>0.97886585645700508</v>
      </c>
      <c r="M23" s="14" t="str">
        <f t="shared" si="7"/>
        <v/>
      </c>
      <c r="N23" s="7">
        <f t="shared" si="1"/>
        <v>68383.692307692298</v>
      </c>
      <c r="O23" s="7">
        <f t="shared" si="2"/>
        <v>4984.6153846153848</v>
      </c>
      <c r="P23" s="7">
        <f t="shared" si="3"/>
        <v>5015.3846153846143</v>
      </c>
      <c r="Q23" s="1">
        <f t="shared" si="4"/>
        <v>51861.538461538461</v>
      </c>
      <c r="R23" s="1">
        <f t="shared" si="5"/>
        <v>5076.9230769230762</v>
      </c>
      <c r="S23" s="14">
        <f t="shared" si="8"/>
        <v>66938.461538461532</v>
      </c>
      <c r="T23" s="10">
        <f t="shared" si="9"/>
        <v>2.1134143542994911E-2</v>
      </c>
      <c r="U23" s="14" t="str">
        <f t="shared" si="10"/>
        <v/>
      </c>
    </row>
    <row r="24" spans="1:21" s="1" customFormat="1" hidden="1" x14ac:dyDescent="0.25">
      <c r="A24" s="1" t="s">
        <v>43</v>
      </c>
      <c r="B24" s="1" t="s">
        <v>44</v>
      </c>
      <c r="C24" s="1" t="s">
        <v>46</v>
      </c>
      <c r="D24" s="6">
        <v>2.1399999999999999E-2</v>
      </c>
      <c r="E24" s="1">
        <v>8.3999999999999995E-3</v>
      </c>
      <c r="F24" s="1">
        <v>44.8979</v>
      </c>
      <c r="G24" s="1">
        <v>2.5299999999999998</v>
      </c>
      <c r="H24" s="1">
        <v>2.59</v>
      </c>
      <c r="I24" s="1">
        <v>37.590000000000003</v>
      </c>
      <c r="J24" s="1">
        <v>2.57</v>
      </c>
      <c r="K24" s="9">
        <f t="shared" si="0"/>
        <v>45.28</v>
      </c>
      <c r="L24" s="20">
        <f t="shared" si="6"/>
        <v>1.0085104203091904</v>
      </c>
      <c r="M24" s="14" t="str">
        <f t="shared" si="7"/>
        <v/>
      </c>
      <c r="N24" s="7">
        <f t="shared" si="1"/>
        <v>150664.09395973154</v>
      </c>
      <c r="O24" s="7">
        <f t="shared" si="2"/>
        <v>8489.9328859060388</v>
      </c>
      <c r="P24" s="7">
        <f t="shared" si="3"/>
        <v>8691.2751677852339</v>
      </c>
      <c r="Q24" s="1">
        <f t="shared" si="4"/>
        <v>126140.93959731545</v>
      </c>
      <c r="R24" s="1">
        <f t="shared" si="5"/>
        <v>8624.161073825504</v>
      </c>
      <c r="S24" s="14">
        <f t="shared" si="8"/>
        <v>151946.30872483223</v>
      </c>
      <c r="T24" s="10">
        <f t="shared" si="9"/>
        <v>-8.5104203091904782E-3</v>
      </c>
      <c r="U24" s="14" t="str">
        <f t="shared" si="10"/>
        <v/>
      </c>
    </row>
    <row r="25" spans="1:21" s="1" customFormat="1" hidden="1" x14ac:dyDescent="0.25">
      <c r="A25" s="1" t="s">
        <v>43</v>
      </c>
      <c r="B25" s="1" t="s">
        <v>44</v>
      </c>
      <c r="C25" s="1" t="s">
        <v>47</v>
      </c>
      <c r="D25" s="6">
        <v>0.02</v>
      </c>
      <c r="E25" s="1">
        <v>1.77E-2</v>
      </c>
      <c r="F25" s="1">
        <v>48.338500000000003</v>
      </c>
      <c r="G25" s="1">
        <v>3.24</v>
      </c>
      <c r="H25" s="1">
        <v>3.29</v>
      </c>
      <c r="I25" s="1">
        <v>38.75</v>
      </c>
      <c r="J25" s="1">
        <v>3.24</v>
      </c>
      <c r="K25" s="9">
        <f t="shared" si="0"/>
        <v>48.52</v>
      </c>
      <c r="L25" s="20">
        <f t="shared" si="6"/>
        <v>1.0037547710417163</v>
      </c>
      <c r="M25" s="14" t="str">
        <f t="shared" si="7"/>
        <v/>
      </c>
      <c r="N25" s="7">
        <f t="shared" si="1"/>
        <v>128218.83289124671</v>
      </c>
      <c r="O25" s="7">
        <f t="shared" si="2"/>
        <v>8594.1644562334241</v>
      </c>
      <c r="P25" s="7">
        <f t="shared" si="3"/>
        <v>8726.7904509283817</v>
      </c>
      <c r="Q25" s="1">
        <f t="shared" si="4"/>
        <v>102785.14588859415</v>
      </c>
      <c r="R25" s="1">
        <f t="shared" si="5"/>
        <v>8594.1644562334241</v>
      </c>
      <c r="S25" s="14">
        <f t="shared" si="8"/>
        <v>128700.26525198939</v>
      </c>
      <c r="T25" s="10">
        <f t="shared" si="9"/>
        <v>-3.7547710417160122E-3</v>
      </c>
      <c r="U25" s="14" t="str">
        <f t="shared" si="10"/>
        <v/>
      </c>
    </row>
    <row r="26" spans="1:21" s="1" customFormat="1" hidden="1" x14ac:dyDescent="0.25">
      <c r="A26" s="1" t="s">
        <v>43</v>
      </c>
      <c r="B26" s="1" t="s">
        <v>48</v>
      </c>
      <c r="C26" s="1" t="s">
        <v>49</v>
      </c>
      <c r="D26" s="6">
        <v>5.3600000000000002E-2</v>
      </c>
      <c r="E26" s="1">
        <v>9.7000000000000003E-2</v>
      </c>
      <c r="F26" s="1">
        <v>237.44</v>
      </c>
      <c r="G26" s="1">
        <v>13.92</v>
      </c>
      <c r="H26" s="1">
        <v>13.92</v>
      </c>
      <c r="I26" s="1">
        <v>196.17</v>
      </c>
      <c r="J26" s="1">
        <v>13.91</v>
      </c>
      <c r="K26" s="9">
        <f t="shared" si="0"/>
        <v>237.92</v>
      </c>
      <c r="L26" s="20">
        <f t="shared" si="6"/>
        <v>1.002021563342318</v>
      </c>
      <c r="M26" s="14" t="str">
        <f t="shared" si="7"/>
        <v/>
      </c>
      <c r="N26" s="7">
        <f t="shared" si="1"/>
        <v>157662.68260292162</v>
      </c>
      <c r="O26" s="7">
        <f t="shared" si="2"/>
        <v>9243.0278884462132</v>
      </c>
      <c r="P26" s="7">
        <f t="shared" si="3"/>
        <v>9243.0278884462132</v>
      </c>
      <c r="Q26" s="1">
        <f t="shared" si="4"/>
        <v>130258.96414342629</v>
      </c>
      <c r="R26" s="1">
        <f t="shared" si="5"/>
        <v>9236.3877822045142</v>
      </c>
      <c r="S26" s="14">
        <f t="shared" si="8"/>
        <v>157981.40770252323</v>
      </c>
      <c r="T26" s="10">
        <f t="shared" si="9"/>
        <v>-2.0215633423181522E-3</v>
      </c>
      <c r="U26" s="14" t="str">
        <f t="shared" si="10"/>
        <v/>
      </c>
    </row>
    <row r="27" spans="1:21" s="1" customFormat="1" hidden="1" x14ac:dyDescent="0.25">
      <c r="A27" s="1" t="s">
        <v>43</v>
      </c>
      <c r="B27" s="1" t="s">
        <v>50</v>
      </c>
      <c r="C27" s="1" t="s">
        <v>51</v>
      </c>
      <c r="D27" s="6">
        <v>9.4600000000000004E-2</v>
      </c>
      <c r="E27" s="1">
        <v>8.9300000000000004E-2</v>
      </c>
      <c r="F27" s="1">
        <v>108.82</v>
      </c>
      <c r="G27" s="1">
        <v>12.45</v>
      </c>
      <c r="H27" s="1">
        <v>12.48</v>
      </c>
      <c r="I27" s="1">
        <v>71.72</v>
      </c>
      <c r="J27" s="1">
        <v>12.49</v>
      </c>
      <c r="K27" s="9">
        <f t="shared" si="0"/>
        <v>109.14</v>
      </c>
      <c r="L27" s="20">
        <f t="shared" si="6"/>
        <v>1.0029406359125161</v>
      </c>
      <c r="M27" s="14" t="str">
        <f t="shared" si="7"/>
        <v/>
      </c>
      <c r="N27" s="7">
        <f t="shared" si="1"/>
        <v>59173.463839042946</v>
      </c>
      <c r="O27" s="7">
        <f t="shared" si="2"/>
        <v>6769.9836867862959</v>
      </c>
      <c r="P27" s="7">
        <f t="shared" si="3"/>
        <v>6786.2969004893966</v>
      </c>
      <c r="Q27" s="1">
        <f t="shared" si="4"/>
        <v>38999.456226209892</v>
      </c>
      <c r="R27" s="1">
        <f t="shared" si="5"/>
        <v>6791.7346383904287</v>
      </c>
      <c r="S27" s="14">
        <f t="shared" si="8"/>
        <v>59347.471451876016</v>
      </c>
      <c r="T27" s="10">
        <f t="shared" si="9"/>
        <v>-2.9406359125162145E-3</v>
      </c>
      <c r="U27" s="14" t="str">
        <f t="shared" si="10"/>
        <v/>
      </c>
    </row>
    <row r="28" spans="1:21" s="1" customFormat="1" hidden="1" x14ac:dyDescent="0.25">
      <c r="A28" s="1" t="s">
        <v>43</v>
      </c>
      <c r="B28" s="1" t="s">
        <v>50</v>
      </c>
      <c r="C28" s="1" t="s">
        <v>52</v>
      </c>
      <c r="D28" s="6">
        <v>8.8400000000000006E-2</v>
      </c>
      <c r="E28" s="1">
        <v>0.13120000000000001</v>
      </c>
      <c r="F28" s="1">
        <v>255.62</v>
      </c>
      <c r="G28" s="1">
        <v>15.21</v>
      </c>
      <c r="H28" s="1">
        <v>15.19</v>
      </c>
      <c r="I28" s="1">
        <v>210.48</v>
      </c>
      <c r="J28" s="1">
        <v>15.23</v>
      </c>
      <c r="K28" s="9">
        <f t="shared" si="0"/>
        <v>256.11</v>
      </c>
      <c r="L28" s="20">
        <f t="shared" si="6"/>
        <v>1.0019169079101793</v>
      </c>
      <c r="M28" s="14" t="str">
        <f t="shared" si="7"/>
        <v/>
      </c>
      <c r="N28" s="7">
        <f t="shared" si="1"/>
        <v>116402.55009107468</v>
      </c>
      <c r="O28" s="7">
        <f t="shared" si="2"/>
        <v>6926.2295081967213</v>
      </c>
      <c r="P28" s="7">
        <f t="shared" si="3"/>
        <v>6917.1220400728589</v>
      </c>
      <c r="Q28" s="1">
        <f t="shared" si="4"/>
        <v>95846.994535519116</v>
      </c>
      <c r="R28" s="1">
        <f t="shared" si="5"/>
        <v>6935.3369763205819</v>
      </c>
      <c r="S28" s="14">
        <f t="shared" si="8"/>
        <v>116625.68306010928</v>
      </c>
      <c r="T28" s="10">
        <f t="shared" si="9"/>
        <v>-1.9169079101791248E-3</v>
      </c>
      <c r="U28" s="14" t="str">
        <f t="shared" si="10"/>
        <v/>
      </c>
    </row>
    <row r="29" spans="1:21" s="1" customFormat="1" hidden="1" x14ac:dyDescent="0.25">
      <c r="A29" s="1" t="s">
        <v>43</v>
      </c>
      <c r="B29" s="1" t="s">
        <v>50</v>
      </c>
      <c r="C29" s="1" t="s">
        <v>53</v>
      </c>
      <c r="D29" s="6">
        <v>6.6299999999999998E-2</v>
      </c>
      <c r="E29" s="1">
        <v>0.10730000000000001</v>
      </c>
      <c r="F29" s="1">
        <v>118.38</v>
      </c>
      <c r="G29" s="1">
        <v>10.23</v>
      </c>
      <c r="H29" s="1">
        <v>10.210000000000001</v>
      </c>
      <c r="I29" s="1">
        <v>87.73</v>
      </c>
      <c r="J29" s="1">
        <v>10.210000000000001</v>
      </c>
      <c r="K29" s="9">
        <f t="shared" si="0"/>
        <v>118.38</v>
      </c>
      <c r="L29" s="20">
        <f t="shared" si="6"/>
        <v>1</v>
      </c>
      <c r="M29" s="14" t="str">
        <f t="shared" si="7"/>
        <v/>
      </c>
      <c r="N29" s="7">
        <f t="shared" si="1"/>
        <v>68191.244239631327</v>
      </c>
      <c r="O29" s="7">
        <f t="shared" si="2"/>
        <v>5892.8571428571431</v>
      </c>
      <c r="P29" s="7">
        <f t="shared" si="3"/>
        <v>5881.3364055299544</v>
      </c>
      <c r="Q29" s="1">
        <f t="shared" si="4"/>
        <v>50535.71428571429</v>
      </c>
      <c r="R29" s="1">
        <f t="shared" si="5"/>
        <v>5881.3364055299544</v>
      </c>
      <c r="S29" s="14">
        <f t="shared" si="8"/>
        <v>68191.244239631342</v>
      </c>
      <c r="T29" s="10">
        <f t="shared" si="9"/>
        <v>-2.1339858790711993E-16</v>
      </c>
      <c r="U29" s="14" t="str">
        <f t="shared" si="10"/>
        <v/>
      </c>
    </row>
    <row r="30" spans="1:21" s="1" customFormat="1" hidden="1" x14ac:dyDescent="0.25">
      <c r="A30" s="1" t="s">
        <v>43</v>
      </c>
      <c r="B30" s="1" t="s">
        <v>50</v>
      </c>
      <c r="C30" s="1" t="s">
        <v>54</v>
      </c>
      <c r="D30" s="6">
        <v>7.7399999999999997E-2</v>
      </c>
      <c r="E30" s="1">
        <v>0.11020000000000001</v>
      </c>
      <c r="F30" s="1">
        <v>283.31</v>
      </c>
      <c r="G30" s="1">
        <v>15.65</v>
      </c>
      <c r="H30" s="1">
        <v>15.66</v>
      </c>
      <c r="I30" s="19">
        <v>249.24</v>
      </c>
      <c r="J30" s="1">
        <v>15.69</v>
      </c>
      <c r="K30" s="9">
        <f t="shared" si="0"/>
        <v>296.24</v>
      </c>
      <c r="L30" s="20">
        <f t="shared" si="6"/>
        <v>1.0456390526278634</v>
      </c>
      <c r="M30" s="14" t="str">
        <f t="shared" si="7"/>
        <v/>
      </c>
      <c r="N30" s="7">
        <f t="shared" si="1"/>
        <v>151018.1236673774</v>
      </c>
      <c r="O30" s="7">
        <f t="shared" si="2"/>
        <v>8342.2174840085281</v>
      </c>
      <c r="P30" s="7">
        <f t="shared" si="3"/>
        <v>8347.5479744136464</v>
      </c>
      <c r="Q30" s="1">
        <f t="shared" si="4"/>
        <v>132857.14285714287</v>
      </c>
      <c r="R30" s="1">
        <f t="shared" si="5"/>
        <v>8363.5394456289978</v>
      </c>
      <c r="S30" s="14">
        <f t="shared" si="8"/>
        <v>157910.44776119402</v>
      </c>
      <c r="T30" s="10">
        <f t="shared" si="9"/>
        <v>-4.5639052627863448E-2</v>
      </c>
      <c r="U30" s="14" t="str">
        <f t="shared" si="10"/>
        <v/>
      </c>
    </row>
    <row r="31" spans="1:21" s="1" customFormat="1" hidden="1" x14ac:dyDescent="0.25">
      <c r="A31" s="1" t="s">
        <v>43</v>
      </c>
      <c r="B31" s="1" t="s">
        <v>55</v>
      </c>
      <c r="C31" s="1" t="s">
        <v>56</v>
      </c>
      <c r="D31" s="6">
        <v>1.6899</v>
      </c>
      <c r="E31" s="1">
        <v>0.68600000000000005</v>
      </c>
      <c r="F31" s="1">
        <v>103.24250000000001</v>
      </c>
      <c r="G31" s="1">
        <v>51.52</v>
      </c>
      <c r="H31" s="1">
        <v>51.49</v>
      </c>
      <c r="I31" s="1">
        <v>0</v>
      </c>
      <c r="J31" s="1">
        <v>0</v>
      </c>
      <c r="K31" s="9">
        <f t="shared" si="0"/>
        <v>103.01</v>
      </c>
      <c r="L31" s="20">
        <f t="shared" si="6"/>
        <v>0.99774802043731992</v>
      </c>
      <c r="M31" s="14" t="str">
        <f t="shared" si="7"/>
        <v/>
      </c>
      <c r="N31" s="7">
        <f t="shared" si="1"/>
        <v>4345.405951428932</v>
      </c>
      <c r="O31" s="7">
        <f t="shared" si="2"/>
        <v>2168.4414327202321</v>
      </c>
      <c r="P31" s="7">
        <f t="shared" si="3"/>
        <v>2167.1787533145334</v>
      </c>
      <c r="Q31" s="1">
        <f t="shared" si="4"/>
        <v>0</v>
      </c>
      <c r="R31" s="1">
        <f t="shared" si="5"/>
        <v>0</v>
      </c>
      <c r="S31" s="14">
        <f t="shared" si="8"/>
        <v>4335.6201860347655</v>
      </c>
      <c r="T31" s="10">
        <f t="shared" si="9"/>
        <v>2.2519795626801038E-3</v>
      </c>
      <c r="U31" s="14" t="str">
        <f t="shared" si="10"/>
        <v/>
      </c>
    </row>
    <row r="32" spans="1:21" s="1" customFormat="1" hidden="1" x14ac:dyDescent="0.25">
      <c r="A32" s="1" t="s">
        <v>43</v>
      </c>
      <c r="B32" s="1" t="s">
        <v>57</v>
      </c>
      <c r="C32" s="1" t="s">
        <v>58</v>
      </c>
      <c r="D32" s="6">
        <v>0.45390000000000003</v>
      </c>
      <c r="E32" s="1">
        <v>0.81020000000000003</v>
      </c>
      <c r="F32" s="1">
        <v>150.1</v>
      </c>
      <c r="G32" s="1">
        <v>42.24</v>
      </c>
      <c r="H32" s="1">
        <v>42.23</v>
      </c>
      <c r="I32" s="1">
        <v>23.36</v>
      </c>
      <c r="J32" s="1">
        <v>42.23</v>
      </c>
      <c r="K32" s="9">
        <f t="shared" si="0"/>
        <v>150.06</v>
      </c>
      <c r="L32" s="20">
        <f t="shared" si="6"/>
        <v>0.9997335109926716</v>
      </c>
      <c r="M32" s="14" t="str">
        <f t="shared" si="7"/>
        <v/>
      </c>
      <c r="N32" s="7">
        <f t="shared" si="1"/>
        <v>11874.060596471798</v>
      </c>
      <c r="O32" s="7">
        <f t="shared" si="2"/>
        <v>3341.5077921050552</v>
      </c>
      <c r="P32" s="7">
        <f t="shared" si="3"/>
        <v>3340.7167154497265</v>
      </c>
      <c r="Q32" s="1">
        <f t="shared" si="4"/>
        <v>1847.9550668459772</v>
      </c>
      <c r="R32" s="1">
        <f t="shared" si="5"/>
        <v>3340.7167154497265</v>
      </c>
      <c r="S32" s="14">
        <f t="shared" si="8"/>
        <v>11870.896289850487</v>
      </c>
      <c r="T32" s="10">
        <f t="shared" si="9"/>
        <v>2.6648900732839426E-4</v>
      </c>
      <c r="U32" s="14" t="str">
        <f t="shared" si="10"/>
        <v/>
      </c>
    </row>
    <row r="33" spans="1:21" s="1" customFormat="1" hidden="1" x14ac:dyDescent="0.25">
      <c r="A33" s="1" t="s">
        <v>43</v>
      </c>
      <c r="B33" s="1" t="s">
        <v>59</v>
      </c>
      <c r="C33" s="1" t="s">
        <v>60</v>
      </c>
      <c r="D33" s="6">
        <v>0.12820000000000001</v>
      </c>
      <c r="E33" s="1">
        <v>0.83309999999999995</v>
      </c>
      <c r="F33" s="1">
        <v>224.7</v>
      </c>
      <c r="G33" s="1">
        <v>12.97</v>
      </c>
      <c r="H33" s="1">
        <v>12.22</v>
      </c>
      <c r="I33" s="1">
        <v>187.3</v>
      </c>
      <c r="J33" s="1">
        <v>12.19</v>
      </c>
      <c r="K33" s="9">
        <f t="shared" si="0"/>
        <v>224.68</v>
      </c>
      <c r="L33" s="20">
        <f t="shared" si="6"/>
        <v>0.99991099243435699</v>
      </c>
      <c r="M33" s="14" t="str">
        <f t="shared" si="7"/>
        <v/>
      </c>
      <c r="N33" s="7">
        <f t="shared" si="1"/>
        <v>23374.596900031207</v>
      </c>
      <c r="O33" s="7">
        <f t="shared" si="2"/>
        <v>1349.2146052220953</v>
      </c>
      <c r="P33" s="7">
        <f t="shared" si="3"/>
        <v>1271.1952564235933</v>
      </c>
      <c r="Q33" s="1">
        <f t="shared" si="4"/>
        <v>19484.032039945909</v>
      </c>
      <c r="R33" s="1">
        <f t="shared" si="5"/>
        <v>1268.074482471653</v>
      </c>
      <c r="S33" s="14">
        <f t="shared" si="8"/>
        <v>23372.516384063252</v>
      </c>
      <c r="T33" s="10">
        <f t="shared" si="9"/>
        <v>8.9007565642857121E-5</v>
      </c>
      <c r="U33" s="14" t="str">
        <f t="shared" si="10"/>
        <v/>
      </c>
    </row>
    <row r="34" spans="1:21" s="1" customFormat="1" hidden="1" x14ac:dyDescent="0.25">
      <c r="A34" s="1" t="s">
        <v>43</v>
      </c>
      <c r="B34" s="1" t="s">
        <v>59</v>
      </c>
      <c r="C34" s="1" t="s">
        <v>61</v>
      </c>
      <c r="D34" s="6">
        <v>0.14610000000000001</v>
      </c>
      <c r="E34" s="1">
        <v>0.47199999999999998</v>
      </c>
      <c r="F34" s="1">
        <v>86.98</v>
      </c>
      <c r="G34" s="1">
        <v>20.61</v>
      </c>
      <c r="H34" s="1">
        <v>20.61</v>
      </c>
      <c r="I34" s="1">
        <v>25.15</v>
      </c>
      <c r="J34" s="1">
        <v>20.61</v>
      </c>
      <c r="K34" s="9">
        <f t="shared" si="0"/>
        <v>86.98</v>
      </c>
      <c r="L34" s="20">
        <f t="shared" si="6"/>
        <v>1</v>
      </c>
      <c r="M34" s="14" t="str">
        <f t="shared" si="7"/>
        <v/>
      </c>
      <c r="N34" s="7">
        <f t="shared" si="1"/>
        <v>14072.156608962954</v>
      </c>
      <c r="O34" s="7">
        <f t="shared" si="2"/>
        <v>3334.4119074583405</v>
      </c>
      <c r="P34" s="7">
        <f t="shared" si="3"/>
        <v>3334.4119074583405</v>
      </c>
      <c r="Q34" s="1">
        <f t="shared" si="4"/>
        <v>4068.9208865879309</v>
      </c>
      <c r="R34" s="1">
        <f t="shared" si="5"/>
        <v>3334.4119074583405</v>
      </c>
      <c r="S34" s="14">
        <f t="shared" si="8"/>
        <v>14072.156608962952</v>
      </c>
      <c r="T34" s="10">
        <f t="shared" si="9"/>
        <v>1.2926159465758722E-16</v>
      </c>
      <c r="U34" s="14" t="str">
        <f t="shared" si="10"/>
        <v/>
      </c>
    </row>
    <row r="35" spans="1:21" s="1" customFormat="1" hidden="1" x14ac:dyDescent="0.25">
      <c r="A35" s="1" t="s">
        <v>43</v>
      </c>
      <c r="B35" s="1" t="s">
        <v>59</v>
      </c>
      <c r="C35" s="1" t="s">
        <v>62</v>
      </c>
      <c r="D35" s="6">
        <v>0.1217</v>
      </c>
      <c r="E35" s="1">
        <v>0.22289999999999999</v>
      </c>
      <c r="F35" s="1">
        <v>68.58</v>
      </c>
      <c r="G35" s="1">
        <v>11.48</v>
      </c>
      <c r="H35" s="1">
        <v>11.48</v>
      </c>
      <c r="I35" s="1">
        <v>34.21</v>
      </c>
      <c r="J35" s="1">
        <v>11.48</v>
      </c>
      <c r="K35" s="9">
        <f t="shared" si="0"/>
        <v>68.650000000000006</v>
      </c>
      <c r="L35" s="20">
        <f t="shared" si="6"/>
        <v>1.0010207057451153</v>
      </c>
      <c r="M35" s="14" t="str">
        <f t="shared" si="7"/>
        <v/>
      </c>
      <c r="N35" s="7">
        <f t="shared" si="1"/>
        <v>19901.334881021474</v>
      </c>
      <c r="O35" s="7">
        <f t="shared" si="2"/>
        <v>3331.3987231572837</v>
      </c>
      <c r="P35" s="7">
        <f t="shared" si="3"/>
        <v>3331.3987231572837</v>
      </c>
      <c r="Q35" s="1">
        <f t="shared" si="4"/>
        <v>9927.4521183981415</v>
      </c>
      <c r="R35" s="1">
        <f t="shared" si="5"/>
        <v>3331.3987231572837</v>
      </c>
      <c r="S35" s="14">
        <f t="shared" si="8"/>
        <v>19921.64828786999</v>
      </c>
      <c r="T35" s="10">
        <f t="shared" si="9"/>
        <v>-1.0207057451149929E-3</v>
      </c>
      <c r="U35" s="14" t="str">
        <f t="shared" si="10"/>
        <v/>
      </c>
    </row>
    <row r="36" spans="1:21" s="1" customFormat="1" hidden="1" x14ac:dyDescent="0.25">
      <c r="A36" s="1" t="s">
        <v>43</v>
      </c>
      <c r="B36" s="1" t="s">
        <v>59</v>
      </c>
      <c r="C36" s="1" t="s">
        <v>63</v>
      </c>
      <c r="D36" s="6">
        <v>0.14330000000000001</v>
      </c>
      <c r="E36" s="1">
        <v>0.71120000000000005</v>
      </c>
      <c r="F36" s="1">
        <v>192.1</v>
      </c>
      <c r="G36" s="1">
        <v>28.5</v>
      </c>
      <c r="H36" s="1">
        <v>28.47</v>
      </c>
      <c r="I36" s="1">
        <v>105.75</v>
      </c>
      <c r="J36" s="1">
        <v>28.48</v>
      </c>
      <c r="K36" s="9">
        <f t="shared" si="0"/>
        <v>191.2</v>
      </c>
      <c r="L36" s="20">
        <f t="shared" si="6"/>
        <v>0.99531494013534616</v>
      </c>
      <c r="M36" s="14" t="str">
        <f t="shared" si="7"/>
        <v/>
      </c>
      <c r="N36" s="7">
        <f t="shared" si="1"/>
        <v>22480.983031012285</v>
      </c>
      <c r="O36" s="7">
        <f t="shared" si="2"/>
        <v>3335.2837916910476</v>
      </c>
      <c r="P36" s="7">
        <f t="shared" si="3"/>
        <v>3331.7729666471623</v>
      </c>
      <c r="Q36" s="1">
        <f t="shared" si="4"/>
        <v>12375.658279695728</v>
      </c>
      <c r="R36" s="1">
        <f t="shared" si="5"/>
        <v>3332.9432416617906</v>
      </c>
      <c r="S36" s="14">
        <f t="shared" si="8"/>
        <v>22375.658279695726</v>
      </c>
      <c r="T36" s="10">
        <f t="shared" si="9"/>
        <v>4.6850598646538018E-3</v>
      </c>
      <c r="U36" s="14" t="str">
        <f t="shared" si="10"/>
        <v/>
      </c>
    </row>
    <row r="37" spans="1:21" s="1" customFormat="1" hidden="1" x14ac:dyDescent="0.25">
      <c r="A37" s="1" t="s">
        <v>43</v>
      </c>
      <c r="B37" s="1" t="s">
        <v>59</v>
      </c>
      <c r="C37" s="1" t="s">
        <v>64</v>
      </c>
      <c r="D37" s="6">
        <v>0.15079999999999999</v>
      </c>
      <c r="E37" s="1">
        <v>0.80640000000000001</v>
      </c>
      <c r="F37" s="1">
        <v>49.31</v>
      </c>
      <c r="G37" s="1">
        <v>24.79</v>
      </c>
      <c r="H37" s="1">
        <v>24.77</v>
      </c>
      <c r="I37" s="1">
        <v>0</v>
      </c>
      <c r="J37" s="1">
        <v>0</v>
      </c>
      <c r="K37" s="9">
        <f t="shared" si="0"/>
        <v>49.56</v>
      </c>
      <c r="L37" s="20">
        <f t="shared" si="6"/>
        <v>1.0050699655242343</v>
      </c>
      <c r="M37" s="14" t="str">
        <f t="shared" si="7"/>
        <v/>
      </c>
      <c r="N37" s="7">
        <f t="shared" si="1"/>
        <v>5151.4834935227746</v>
      </c>
      <c r="O37" s="7">
        <f t="shared" si="2"/>
        <v>2589.8453823652317</v>
      </c>
      <c r="P37" s="7">
        <f t="shared" si="3"/>
        <v>2587.7559548683662</v>
      </c>
      <c r="Q37" s="1">
        <f t="shared" si="4"/>
        <v>0</v>
      </c>
      <c r="R37" s="1">
        <f t="shared" si="5"/>
        <v>0</v>
      </c>
      <c r="S37" s="14">
        <f t="shared" si="8"/>
        <v>5177.6013372335983</v>
      </c>
      <c r="T37" s="10">
        <f t="shared" si="9"/>
        <v>-5.0699655242345378E-3</v>
      </c>
      <c r="U37" s="14" t="str">
        <f t="shared" si="10"/>
        <v/>
      </c>
    </row>
    <row r="38" spans="1:21" s="1" customFormat="1" hidden="1" x14ac:dyDescent="0.25">
      <c r="A38" s="1" t="s">
        <v>43</v>
      </c>
      <c r="B38" s="1" t="s">
        <v>59</v>
      </c>
      <c r="C38" s="1" t="s">
        <v>65</v>
      </c>
      <c r="D38" s="6">
        <v>0.13150000000000001</v>
      </c>
      <c r="E38" s="1">
        <v>0.66210000000000002</v>
      </c>
      <c r="F38" s="1">
        <v>76.23</v>
      </c>
      <c r="G38" s="1">
        <v>25.47</v>
      </c>
      <c r="H38" s="1">
        <v>25.48</v>
      </c>
      <c r="I38" s="1">
        <v>0</v>
      </c>
      <c r="J38" s="1">
        <v>25.4</v>
      </c>
      <c r="K38" s="9">
        <f t="shared" si="0"/>
        <v>76.349999999999994</v>
      </c>
      <c r="L38" s="20">
        <f t="shared" si="6"/>
        <v>1.001574183392365</v>
      </c>
      <c r="M38" s="14" t="str">
        <f t="shared" si="7"/>
        <v/>
      </c>
      <c r="N38" s="7">
        <f t="shared" si="1"/>
        <v>9605.5947580645152</v>
      </c>
      <c r="O38" s="7">
        <f t="shared" si="2"/>
        <v>3209.4254032258059</v>
      </c>
      <c r="P38" s="7">
        <f t="shared" si="3"/>
        <v>3210.6854838709673</v>
      </c>
      <c r="Q38" s="1">
        <f t="shared" si="4"/>
        <v>0</v>
      </c>
      <c r="R38" s="1">
        <f t="shared" si="5"/>
        <v>3200.6048387096771</v>
      </c>
      <c r="S38" s="14">
        <f t="shared" si="8"/>
        <v>9620.7157258064508</v>
      </c>
      <c r="T38" s="10">
        <f t="shared" si="9"/>
        <v>-1.5741833923652228E-3</v>
      </c>
      <c r="U38" s="14" t="str">
        <f t="shared" si="10"/>
        <v/>
      </c>
    </row>
    <row r="39" spans="1:21" s="1" customFormat="1" hidden="1" x14ac:dyDescent="0.25">
      <c r="A39" s="1" t="s">
        <v>43</v>
      </c>
      <c r="B39" s="1" t="s">
        <v>59</v>
      </c>
      <c r="C39" s="1" t="s">
        <v>66</v>
      </c>
      <c r="D39" s="6">
        <v>0.1517</v>
      </c>
      <c r="E39" s="1">
        <v>0.55310000000000004</v>
      </c>
      <c r="F39" s="19">
        <v>166.71</v>
      </c>
      <c r="G39" s="1">
        <v>23.46</v>
      </c>
      <c r="H39" s="1">
        <v>23.5</v>
      </c>
      <c r="I39" s="1">
        <v>95.94</v>
      </c>
      <c r="J39" s="1">
        <v>23.51</v>
      </c>
      <c r="K39" s="9">
        <f t="shared" si="0"/>
        <v>166.41</v>
      </c>
      <c r="L39" s="20">
        <f t="shared" si="6"/>
        <v>0.99820046787835159</v>
      </c>
      <c r="M39" s="14" t="str">
        <f t="shared" si="7"/>
        <v/>
      </c>
      <c r="N39" s="7">
        <f t="shared" si="1"/>
        <v>23653.518728717365</v>
      </c>
      <c r="O39" s="7">
        <f t="shared" si="2"/>
        <v>3328.6038592508512</v>
      </c>
      <c r="P39" s="7">
        <f t="shared" si="3"/>
        <v>3334.2792281498291</v>
      </c>
      <c r="Q39" s="1">
        <f t="shared" si="4"/>
        <v>13612.372304199773</v>
      </c>
      <c r="R39" s="1">
        <f t="shared" si="5"/>
        <v>3335.6980703745739</v>
      </c>
      <c r="S39" s="14">
        <f t="shared" si="8"/>
        <v>23610.953461975027</v>
      </c>
      <c r="T39" s="10">
        <f t="shared" si="9"/>
        <v>1.7995321216483728E-3</v>
      </c>
      <c r="U39" s="14" t="str">
        <f t="shared" si="10"/>
        <v/>
      </c>
    </row>
    <row r="40" spans="1:21" s="1" customFormat="1" hidden="1" x14ac:dyDescent="0.25">
      <c r="A40" s="1" t="s">
        <v>43</v>
      </c>
      <c r="B40" s="1" t="s">
        <v>67</v>
      </c>
      <c r="C40" s="1" t="s">
        <v>68</v>
      </c>
      <c r="D40" s="6">
        <v>1.8499999999999999E-2</v>
      </c>
      <c r="E40" s="1">
        <v>0.69869999999999999</v>
      </c>
      <c r="F40" s="19">
        <v>177.81</v>
      </c>
      <c r="G40" s="1">
        <v>23.4</v>
      </c>
      <c r="H40" s="1">
        <v>23.39</v>
      </c>
      <c r="I40" s="1">
        <v>108.33</v>
      </c>
      <c r="J40" s="1">
        <v>23.4</v>
      </c>
      <c r="K40" s="9">
        <f t="shared" si="0"/>
        <v>178.52</v>
      </c>
      <c r="L40" s="20">
        <f t="shared" si="6"/>
        <v>1.0039930262639898</v>
      </c>
      <c r="M40" s="14" t="str">
        <f t="shared" si="7"/>
        <v/>
      </c>
      <c r="N40" s="7">
        <f t="shared" si="1"/>
        <v>24792.247629670946</v>
      </c>
      <c r="O40" s="7">
        <f t="shared" si="2"/>
        <v>3262.688232013385</v>
      </c>
      <c r="P40" s="7">
        <f t="shared" si="3"/>
        <v>3261.2939208031235</v>
      </c>
      <c r="Q40" s="1">
        <f t="shared" si="4"/>
        <v>15104.573340769661</v>
      </c>
      <c r="R40" s="1">
        <f t="shared" si="5"/>
        <v>3262.688232013385</v>
      </c>
      <c r="S40" s="14">
        <f t="shared" si="8"/>
        <v>24891.243725599554</v>
      </c>
      <c r="T40" s="10">
        <f t="shared" si="9"/>
        <v>-3.9930262639894893E-3</v>
      </c>
      <c r="U40" s="14" t="str">
        <f t="shared" si="10"/>
        <v/>
      </c>
    </row>
    <row r="41" spans="1:21" s="1" customFormat="1" hidden="1" x14ac:dyDescent="0.25">
      <c r="A41" s="1" t="s">
        <v>43</v>
      </c>
      <c r="B41" s="1" t="s">
        <v>67</v>
      </c>
      <c r="C41" s="1" t="s">
        <v>69</v>
      </c>
      <c r="D41" s="6">
        <v>2.1000000000000001E-2</v>
      </c>
      <c r="E41" s="1">
        <v>0.8901</v>
      </c>
      <c r="F41" s="1">
        <v>97.61</v>
      </c>
      <c r="G41" s="1">
        <v>17.829999999999998</v>
      </c>
      <c r="H41" s="1">
        <v>17.89</v>
      </c>
      <c r="I41" s="1">
        <v>44.16</v>
      </c>
      <c r="J41" s="1">
        <v>17.86</v>
      </c>
      <c r="K41" s="9">
        <f t="shared" si="0"/>
        <v>97.74</v>
      </c>
      <c r="L41" s="20">
        <f t="shared" si="6"/>
        <v>1.0013318307550456</v>
      </c>
      <c r="M41" s="14" t="str">
        <f t="shared" si="7"/>
        <v/>
      </c>
      <c r="N41" s="7">
        <f t="shared" si="1"/>
        <v>10713.423334430909</v>
      </c>
      <c r="O41" s="7">
        <f t="shared" si="2"/>
        <v>1956.9750850620128</v>
      </c>
      <c r="P41" s="7">
        <f t="shared" si="3"/>
        <v>1963.5605312259904</v>
      </c>
      <c r="Q41" s="1">
        <f t="shared" si="4"/>
        <v>4846.8883766875206</v>
      </c>
      <c r="R41" s="1">
        <f t="shared" si="5"/>
        <v>1960.2678081440015</v>
      </c>
      <c r="S41" s="14">
        <f t="shared" si="8"/>
        <v>10727.691801119525</v>
      </c>
      <c r="T41" s="10">
        <f t="shared" si="9"/>
        <v>-1.3318307550454044E-3</v>
      </c>
      <c r="U41" s="14" t="str">
        <f t="shared" si="10"/>
        <v/>
      </c>
    </row>
    <row r="42" spans="1:21" s="1" customFormat="1" hidden="1" x14ac:dyDescent="0.25">
      <c r="A42" s="1" t="s">
        <v>43</v>
      </c>
      <c r="B42" s="1" t="s">
        <v>67</v>
      </c>
      <c r="C42" s="1" t="s">
        <v>70</v>
      </c>
      <c r="D42" s="6">
        <v>1.49E-2</v>
      </c>
      <c r="E42" s="1">
        <v>0.63919999999999999</v>
      </c>
      <c r="F42" s="1">
        <v>55.48</v>
      </c>
      <c r="G42" s="1">
        <v>18.57</v>
      </c>
      <c r="H42" s="1">
        <v>18.61</v>
      </c>
      <c r="I42" s="1">
        <v>0</v>
      </c>
      <c r="J42" s="1">
        <v>18.489999999999998</v>
      </c>
      <c r="K42" s="9">
        <f t="shared" si="0"/>
        <v>55.67</v>
      </c>
      <c r="L42" s="20">
        <f t="shared" si="6"/>
        <v>1.0034246575342467</v>
      </c>
      <c r="M42" s="14" t="str">
        <f t="shared" si="7"/>
        <v/>
      </c>
      <c r="N42" s="7">
        <f t="shared" si="1"/>
        <v>8481.8835040513677</v>
      </c>
      <c r="O42" s="7">
        <f t="shared" si="2"/>
        <v>2839.0154410640571</v>
      </c>
      <c r="P42" s="7">
        <f t="shared" si="3"/>
        <v>2845.1307139581104</v>
      </c>
      <c r="Q42" s="1">
        <f t="shared" si="4"/>
        <v>0</v>
      </c>
      <c r="R42" s="1">
        <f t="shared" si="5"/>
        <v>2826.7848952759514</v>
      </c>
      <c r="S42" s="14">
        <f t="shared" si="8"/>
        <v>8510.9310502981189</v>
      </c>
      <c r="T42" s="10">
        <f t="shared" si="9"/>
        <v>-3.424657534246563E-3</v>
      </c>
      <c r="U42" s="14" t="str">
        <f t="shared" si="10"/>
        <v/>
      </c>
    </row>
    <row r="43" spans="1:21" s="1" customFormat="1" hidden="1" x14ac:dyDescent="0.25">
      <c r="A43" s="1" t="s">
        <v>43</v>
      </c>
      <c r="B43" s="1" t="s">
        <v>67</v>
      </c>
      <c r="C43" s="1" t="s">
        <v>71</v>
      </c>
      <c r="D43" s="6">
        <v>1.8200000000000001E-2</v>
      </c>
      <c r="E43" s="1">
        <v>0.72170000000000001</v>
      </c>
      <c r="F43" s="1">
        <v>48.06</v>
      </c>
      <c r="G43" s="1">
        <v>24.17</v>
      </c>
      <c r="H43" s="1">
        <v>24.21</v>
      </c>
      <c r="I43" s="1">
        <v>0</v>
      </c>
      <c r="J43" s="1">
        <v>0</v>
      </c>
      <c r="K43" s="9">
        <f t="shared" si="0"/>
        <v>48.38</v>
      </c>
      <c r="L43" s="20">
        <f t="shared" si="6"/>
        <v>1.0066583437369954</v>
      </c>
      <c r="M43" s="14" t="str">
        <f t="shared" si="7"/>
        <v/>
      </c>
      <c r="N43" s="7">
        <f t="shared" si="1"/>
        <v>6495.4723611298832</v>
      </c>
      <c r="O43" s="7">
        <f t="shared" si="2"/>
        <v>3266.6576564400602</v>
      </c>
      <c r="P43" s="7">
        <f t="shared" si="3"/>
        <v>3272.0637924043795</v>
      </c>
      <c r="Q43" s="1">
        <f t="shared" si="4"/>
        <v>0</v>
      </c>
      <c r="R43" s="1">
        <f t="shared" si="5"/>
        <v>0</v>
      </c>
      <c r="S43" s="14">
        <f t="shared" si="8"/>
        <v>6538.7214488444397</v>
      </c>
      <c r="T43" s="10">
        <f t="shared" si="9"/>
        <v>-6.6583437369954921E-3</v>
      </c>
      <c r="U43" s="14" t="str">
        <f t="shared" si="10"/>
        <v/>
      </c>
    </row>
    <row r="44" spans="1:21" s="1" customFormat="1" hidden="1" x14ac:dyDescent="0.25">
      <c r="A44" s="1" t="s">
        <v>43</v>
      </c>
      <c r="B44" s="1" t="s">
        <v>72</v>
      </c>
      <c r="C44" s="1" t="s">
        <v>73</v>
      </c>
      <c r="D44" s="6">
        <v>1.5599999999999999E-2</v>
      </c>
      <c r="E44" s="1">
        <v>0.9032</v>
      </c>
      <c r="F44" s="1">
        <v>103.78</v>
      </c>
      <c r="G44" s="1">
        <v>17.29</v>
      </c>
      <c r="H44" s="1">
        <v>17.309999999999999</v>
      </c>
      <c r="I44" s="1">
        <v>52.03</v>
      </c>
      <c r="J44" s="1">
        <v>17.329999999999998</v>
      </c>
      <c r="K44" s="9">
        <f t="shared" si="0"/>
        <v>103.96</v>
      </c>
      <c r="L44" s="20">
        <f t="shared" si="6"/>
        <v>1.0017344382347273</v>
      </c>
      <c r="M44" s="14" t="str">
        <f t="shared" si="7"/>
        <v/>
      </c>
      <c r="N44" s="7">
        <f t="shared" si="1"/>
        <v>11295.167609925991</v>
      </c>
      <c r="O44" s="7">
        <f t="shared" si="2"/>
        <v>1881.8023508924687</v>
      </c>
      <c r="P44" s="7">
        <f t="shared" si="3"/>
        <v>1883.9791031780583</v>
      </c>
      <c r="Q44" s="1">
        <f t="shared" si="4"/>
        <v>5662.8210709621253</v>
      </c>
      <c r="R44" s="1">
        <f t="shared" si="5"/>
        <v>1886.1558554636481</v>
      </c>
      <c r="S44" s="14">
        <f t="shared" si="8"/>
        <v>11314.758380496301</v>
      </c>
      <c r="T44" s="10">
        <f t="shared" si="9"/>
        <v>-1.7344382347274114E-3</v>
      </c>
      <c r="U44" s="14" t="str">
        <f t="shared" si="10"/>
        <v/>
      </c>
    </row>
    <row r="45" spans="1:21" s="1" customFormat="1" hidden="1" x14ac:dyDescent="0.25">
      <c r="A45" s="1" t="s">
        <v>74</v>
      </c>
      <c r="B45" s="1" t="s">
        <v>75</v>
      </c>
      <c r="C45" s="1" t="s">
        <v>76</v>
      </c>
      <c r="D45" s="6">
        <v>1.3983000000000001</v>
      </c>
      <c r="E45" s="1">
        <v>3.1699999999999999E-2</v>
      </c>
      <c r="F45" s="1">
        <v>94.134500000000003</v>
      </c>
      <c r="G45" s="1">
        <v>36.86</v>
      </c>
      <c r="H45" s="1">
        <v>36.76</v>
      </c>
      <c r="I45" s="1">
        <v>0</v>
      </c>
      <c r="J45" s="1">
        <v>18.489999999999998</v>
      </c>
      <c r="K45" s="9">
        <f t="shared" si="0"/>
        <v>92.11</v>
      </c>
      <c r="L45" s="20">
        <f t="shared" si="6"/>
        <v>0.97849353850076215</v>
      </c>
      <c r="M45" s="14" t="str">
        <f t="shared" si="7"/>
        <v/>
      </c>
      <c r="N45" s="7">
        <f t="shared" si="1"/>
        <v>6582.8321678321672</v>
      </c>
      <c r="O45" s="7">
        <f t="shared" si="2"/>
        <v>2577.6223776223774</v>
      </c>
      <c r="P45" s="7">
        <f t="shared" si="3"/>
        <v>2570.6293706293704</v>
      </c>
      <c r="Q45" s="1">
        <f t="shared" si="4"/>
        <v>0</v>
      </c>
      <c r="R45" s="1">
        <f t="shared" si="5"/>
        <v>1293.0069930069928</v>
      </c>
      <c r="S45" s="14">
        <f t="shared" si="8"/>
        <v>6441.2587412587409</v>
      </c>
      <c r="T45" s="10">
        <f t="shared" si="9"/>
        <v>2.1506461499237756E-2</v>
      </c>
      <c r="U45" s="14" t="str">
        <f t="shared" si="10"/>
        <v/>
      </c>
    </row>
    <row r="46" spans="1:21" s="1" customFormat="1" hidden="1" x14ac:dyDescent="0.25">
      <c r="A46" s="1" t="s">
        <v>77</v>
      </c>
      <c r="B46" s="1" t="s">
        <v>78</v>
      </c>
      <c r="C46" s="1" t="s">
        <v>79</v>
      </c>
      <c r="D46" s="6">
        <v>0.44209999999999999</v>
      </c>
      <c r="E46" s="1">
        <v>0</v>
      </c>
      <c r="F46" s="1">
        <v>265.45119999999997</v>
      </c>
      <c r="G46" s="1">
        <v>14.72</v>
      </c>
      <c r="H46" s="1">
        <v>14.8</v>
      </c>
      <c r="I46" s="1">
        <v>226.93</v>
      </c>
      <c r="J46" s="1">
        <v>14.76</v>
      </c>
      <c r="K46" s="9">
        <f t="shared" si="0"/>
        <v>271.20999999999998</v>
      </c>
      <c r="L46" s="20">
        <f t="shared" si="6"/>
        <v>1.0216943829977037</v>
      </c>
      <c r="M46" s="14" t="str">
        <f t="shared" si="7"/>
        <v/>
      </c>
      <c r="N46" s="7">
        <f t="shared" si="1"/>
        <v>60043.248133906352</v>
      </c>
      <c r="O46" s="7">
        <f t="shared" si="2"/>
        <v>3329.5634471838953</v>
      </c>
      <c r="P46" s="7">
        <f t="shared" si="3"/>
        <v>3347.6589007011989</v>
      </c>
      <c r="Q46" s="1">
        <f t="shared" si="4"/>
        <v>51330.015833521829</v>
      </c>
      <c r="R46" s="1">
        <f t="shared" si="5"/>
        <v>3338.6111739425464</v>
      </c>
      <c r="S46" s="14">
        <f t="shared" si="8"/>
        <v>61345.84935534947</v>
      </c>
      <c r="T46" s="10">
        <f t="shared" si="9"/>
        <v>-2.1694382997703619E-2</v>
      </c>
      <c r="U46" s="14" t="str">
        <f t="shared" si="10"/>
        <v/>
      </c>
    </row>
    <row r="47" spans="1:21" s="1" customFormat="1" hidden="1" x14ac:dyDescent="0.25">
      <c r="A47" s="1" t="s">
        <v>77</v>
      </c>
      <c r="B47" s="1" t="s">
        <v>78</v>
      </c>
      <c r="C47" s="1" t="s">
        <v>80</v>
      </c>
      <c r="D47" s="6">
        <v>0.1734</v>
      </c>
      <c r="E47" s="1">
        <v>0.12189999999999999</v>
      </c>
      <c r="F47" s="1">
        <v>198.48480000000001</v>
      </c>
      <c r="G47" s="1">
        <v>10.09</v>
      </c>
      <c r="H47" s="1">
        <v>9.9600000000000009</v>
      </c>
      <c r="I47" s="1">
        <v>168.18</v>
      </c>
      <c r="J47" s="1">
        <v>10.1</v>
      </c>
      <c r="K47" s="9">
        <f t="shared" si="0"/>
        <v>198.33</v>
      </c>
      <c r="L47" s="20">
        <f t="shared" si="6"/>
        <v>0.99922009141254142</v>
      </c>
      <c r="M47" s="14" t="str">
        <f t="shared" si="7"/>
        <v/>
      </c>
      <c r="N47" s="7">
        <f t="shared" si="1"/>
        <v>67214.629190653563</v>
      </c>
      <c r="O47" s="7">
        <f t="shared" si="2"/>
        <v>3416.8642058923124</v>
      </c>
      <c r="P47" s="7">
        <f t="shared" si="3"/>
        <v>3372.8411784625805</v>
      </c>
      <c r="Q47" s="1">
        <f t="shared" si="4"/>
        <v>56952.251947172364</v>
      </c>
      <c r="R47" s="1">
        <f t="shared" si="5"/>
        <v>3420.2505926176768</v>
      </c>
      <c r="S47" s="14">
        <f t="shared" si="8"/>
        <v>67162.207924144939</v>
      </c>
      <c r="T47" s="10">
        <f t="shared" si="9"/>
        <v>7.7990858745840912E-4</v>
      </c>
      <c r="U47" s="14" t="str">
        <f t="shared" si="10"/>
        <v/>
      </c>
    </row>
    <row r="48" spans="1:21" s="1" customFormat="1" hidden="1" x14ac:dyDescent="0.25">
      <c r="A48" s="1" t="s">
        <v>81</v>
      </c>
      <c r="B48" s="1" t="s">
        <v>82</v>
      </c>
      <c r="C48" s="1" t="s">
        <v>83</v>
      </c>
      <c r="D48" s="6">
        <v>0.13619999999999999</v>
      </c>
      <c r="E48" s="1">
        <v>1.2452000000000001</v>
      </c>
      <c r="F48" s="1">
        <v>77.890199999999993</v>
      </c>
      <c r="G48" s="1">
        <v>38.9</v>
      </c>
      <c r="H48" s="1">
        <v>38.79</v>
      </c>
      <c r="I48" s="1">
        <v>0</v>
      </c>
      <c r="J48" s="1">
        <v>0</v>
      </c>
      <c r="K48" s="9">
        <f t="shared" si="0"/>
        <v>77.69</v>
      </c>
      <c r="L48" s="20">
        <f t="shared" si="6"/>
        <v>0.99742971516313994</v>
      </c>
      <c r="M48" s="14" t="str">
        <f t="shared" si="7"/>
        <v/>
      </c>
      <c r="N48" s="7">
        <f t="shared" si="1"/>
        <v>5638.4971767771813</v>
      </c>
      <c r="O48" s="7">
        <f t="shared" si="2"/>
        <v>2815.9837845663815</v>
      </c>
      <c r="P48" s="7">
        <f t="shared" si="3"/>
        <v>2808.0208484146515</v>
      </c>
      <c r="Q48" s="1">
        <f t="shared" si="4"/>
        <v>0</v>
      </c>
      <c r="R48" s="1">
        <f t="shared" si="5"/>
        <v>0</v>
      </c>
      <c r="S48" s="14">
        <f t="shared" si="8"/>
        <v>5624.004632981033</v>
      </c>
      <c r="T48" s="10">
        <f t="shared" si="9"/>
        <v>2.5702848368600005E-3</v>
      </c>
      <c r="U48" s="14" t="str">
        <f t="shared" si="10"/>
        <v/>
      </c>
    </row>
    <row r="49" spans="1:21" s="1" customFormat="1" hidden="1" x14ac:dyDescent="0.25">
      <c r="A49" s="1" t="s">
        <v>84</v>
      </c>
      <c r="B49" s="1" t="s">
        <v>85</v>
      </c>
      <c r="C49" s="1" t="s">
        <v>86</v>
      </c>
      <c r="D49" s="6">
        <v>1.15E-2</v>
      </c>
      <c r="E49" s="1">
        <v>9.2999999999999999E-2</v>
      </c>
      <c r="F49" s="1">
        <v>65.270899999999997</v>
      </c>
      <c r="G49" s="1">
        <v>5.59</v>
      </c>
      <c r="H49" s="1">
        <v>5.63</v>
      </c>
      <c r="I49" s="1">
        <v>48.64</v>
      </c>
      <c r="J49" s="1">
        <v>5.62</v>
      </c>
      <c r="K49" s="9">
        <f t="shared" si="0"/>
        <v>65.48</v>
      </c>
      <c r="L49" s="20">
        <f t="shared" si="6"/>
        <v>1.0032035715763075</v>
      </c>
      <c r="M49" s="14" t="str">
        <f t="shared" si="7"/>
        <v/>
      </c>
      <c r="N49" s="7">
        <f t="shared" si="1"/>
        <v>62460.191387559811</v>
      </c>
      <c r="O49" s="7">
        <f t="shared" si="2"/>
        <v>5349.2822966507174</v>
      </c>
      <c r="P49" s="7">
        <f t="shared" si="3"/>
        <v>5387.559808612441</v>
      </c>
      <c r="Q49" s="1">
        <f t="shared" si="4"/>
        <v>46545.454545454551</v>
      </c>
      <c r="R49" s="1">
        <f t="shared" si="5"/>
        <v>5377.9904306220096</v>
      </c>
      <c r="S49" s="14">
        <f t="shared" si="8"/>
        <v>62660.287081339724</v>
      </c>
      <c r="T49" s="10">
        <f t="shared" si="9"/>
        <v>-3.2035715763074953E-3</v>
      </c>
      <c r="U49" s="14" t="str">
        <f t="shared" si="10"/>
        <v/>
      </c>
    </row>
    <row r="50" spans="1:21" s="1" customFormat="1" hidden="1" x14ac:dyDescent="0.25">
      <c r="A50" s="1" t="s">
        <v>84</v>
      </c>
      <c r="B50" s="1" t="s">
        <v>85</v>
      </c>
      <c r="C50" s="1" t="s">
        <v>87</v>
      </c>
      <c r="D50" s="6">
        <v>9.1000000000000004E-3</v>
      </c>
      <c r="E50" s="1">
        <v>0.14560000000000001</v>
      </c>
      <c r="F50" s="1">
        <v>60.674199999999999</v>
      </c>
      <c r="G50" s="1">
        <v>5.79</v>
      </c>
      <c r="H50" s="1">
        <v>5.78</v>
      </c>
      <c r="I50" s="1">
        <v>42.98</v>
      </c>
      <c r="J50" s="1">
        <v>5.81</v>
      </c>
      <c r="K50" s="9">
        <f t="shared" si="0"/>
        <v>60.36</v>
      </c>
      <c r="L50" s="20">
        <f t="shared" si="6"/>
        <v>0.99482152216263253</v>
      </c>
      <c r="M50" s="14" t="str">
        <f t="shared" si="7"/>
        <v/>
      </c>
      <c r="N50" s="7">
        <f t="shared" si="1"/>
        <v>39220.555914673561</v>
      </c>
      <c r="O50" s="7">
        <f t="shared" si="2"/>
        <v>3742.7278603749196</v>
      </c>
      <c r="P50" s="7">
        <f t="shared" si="3"/>
        <v>3736.2637362637365</v>
      </c>
      <c r="Q50" s="1">
        <f t="shared" si="4"/>
        <v>27782.805429864249</v>
      </c>
      <c r="R50" s="1">
        <f t="shared" si="5"/>
        <v>3755.6561085972844</v>
      </c>
      <c r="S50" s="14">
        <f t="shared" si="8"/>
        <v>39017.453135100193</v>
      </c>
      <c r="T50" s="10">
        <f t="shared" si="9"/>
        <v>5.1784778373674531E-3</v>
      </c>
      <c r="U50" s="14" t="str">
        <f t="shared" si="10"/>
        <v/>
      </c>
    </row>
    <row r="51" spans="1:21" s="1" customFormat="1" hidden="1" x14ac:dyDescent="0.25">
      <c r="A51" s="1" t="s">
        <v>88</v>
      </c>
      <c r="B51" s="1" t="s">
        <v>89</v>
      </c>
      <c r="C51" s="1" t="s">
        <v>90</v>
      </c>
      <c r="D51" s="6">
        <v>1.0200000000000001E-2</v>
      </c>
      <c r="E51" s="1">
        <v>0.1017</v>
      </c>
      <c r="F51" s="1">
        <v>131.92089999999999</v>
      </c>
      <c r="G51" s="1">
        <v>8.15</v>
      </c>
      <c r="H51" s="1">
        <v>8.16</v>
      </c>
      <c r="I51" s="1">
        <v>109.77</v>
      </c>
      <c r="J51" s="1">
        <v>8.15</v>
      </c>
      <c r="K51" s="9">
        <f t="shared" si="0"/>
        <v>134.22999999999999</v>
      </c>
      <c r="L51" s="20">
        <f t="shared" si="6"/>
        <v>1.0175036707602814</v>
      </c>
      <c r="M51" s="14" t="str">
        <f t="shared" si="7"/>
        <v/>
      </c>
      <c r="N51" s="7">
        <f t="shared" si="1"/>
        <v>117891.7783735478</v>
      </c>
      <c r="O51" s="7">
        <f t="shared" si="2"/>
        <v>7283.2886505808756</v>
      </c>
      <c r="P51" s="7">
        <f t="shared" si="3"/>
        <v>7292.2252010723869</v>
      </c>
      <c r="Q51" s="1">
        <f t="shared" si="4"/>
        <v>98096.514745308305</v>
      </c>
      <c r="R51" s="1">
        <f t="shared" si="5"/>
        <v>7283.2886505808756</v>
      </c>
      <c r="S51" s="14">
        <f t="shared" si="8"/>
        <v>119955.31724754244</v>
      </c>
      <c r="T51" s="10">
        <f t="shared" si="9"/>
        <v>-1.750367076028133E-2</v>
      </c>
      <c r="U51" s="14" t="str">
        <f t="shared" si="10"/>
        <v/>
      </c>
    </row>
    <row r="52" spans="1:21" s="1" customFormat="1" hidden="1" x14ac:dyDescent="0.25">
      <c r="A52" s="1" t="s">
        <v>88</v>
      </c>
      <c r="B52" s="1" t="s">
        <v>89</v>
      </c>
      <c r="C52" s="1" t="s">
        <v>91</v>
      </c>
      <c r="D52" s="6">
        <v>9.1999999999999998E-3</v>
      </c>
      <c r="E52" s="1">
        <v>0.11310000000000001</v>
      </c>
      <c r="F52" s="1">
        <v>101.89</v>
      </c>
      <c r="G52" s="1">
        <v>8.8699999999999992</v>
      </c>
      <c r="H52" s="1">
        <v>8.86</v>
      </c>
      <c r="I52" s="1">
        <v>75.25</v>
      </c>
      <c r="J52" s="1">
        <v>8.84</v>
      </c>
      <c r="K52" s="9">
        <f t="shared" si="0"/>
        <v>101.82</v>
      </c>
      <c r="L52" s="20">
        <f t="shared" si="6"/>
        <v>0.99931298459122575</v>
      </c>
      <c r="M52" s="14" t="str">
        <f t="shared" si="7"/>
        <v/>
      </c>
      <c r="N52" s="7">
        <f t="shared" si="1"/>
        <v>83311.529026982826</v>
      </c>
      <c r="O52" s="7">
        <f t="shared" si="2"/>
        <v>7252.6573998364665</v>
      </c>
      <c r="P52" s="7">
        <f t="shared" si="3"/>
        <v>7244.480784955027</v>
      </c>
      <c r="Q52" s="1">
        <f t="shared" si="4"/>
        <v>61529.026982829098</v>
      </c>
      <c r="R52" s="1">
        <f t="shared" si="5"/>
        <v>7228.1275551921499</v>
      </c>
      <c r="S52" s="14">
        <f t="shared" si="8"/>
        <v>83254.292722812737</v>
      </c>
      <c r="T52" s="10">
        <f t="shared" si="9"/>
        <v>6.8701540877434436E-4</v>
      </c>
      <c r="U52" s="14" t="str">
        <f t="shared" si="10"/>
        <v/>
      </c>
    </row>
    <row r="53" spans="1:21" s="1" customFormat="1" hidden="1" x14ac:dyDescent="0.25">
      <c r="A53" s="1" t="s">
        <v>88</v>
      </c>
      <c r="B53" s="1" t="s">
        <v>89</v>
      </c>
      <c r="C53" s="1" t="s">
        <v>92</v>
      </c>
      <c r="D53" s="6">
        <v>3.6299999999999999E-2</v>
      </c>
      <c r="E53" s="1">
        <v>0.20330000000000001</v>
      </c>
      <c r="F53" s="1">
        <v>159.6474</v>
      </c>
      <c r="G53" s="1">
        <v>13.32</v>
      </c>
      <c r="H53" s="1">
        <v>13.28</v>
      </c>
      <c r="I53" s="1">
        <v>120.11</v>
      </c>
      <c r="J53" s="1">
        <v>13.36</v>
      </c>
      <c r="K53" s="9">
        <f t="shared" si="0"/>
        <v>160.07</v>
      </c>
      <c r="L53" s="20">
        <f t="shared" si="6"/>
        <v>1.0026470835102856</v>
      </c>
      <c r="M53" s="14" t="str">
        <f t="shared" si="7"/>
        <v/>
      </c>
      <c r="N53" s="7">
        <f t="shared" si="1"/>
        <v>66630.801335559256</v>
      </c>
      <c r="O53" s="7">
        <f t="shared" si="2"/>
        <v>5559.2654424040065</v>
      </c>
      <c r="P53" s="7">
        <f t="shared" si="3"/>
        <v>5542.5709515859762</v>
      </c>
      <c r="Q53" s="1">
        <f t="shared" si="4"/>
        <v>50129.382303839731</v>
      </c>
      <c r="R53" s="1">
        <f t="shared" si="5"/>
        <v>5575.9599332220359</v>
      </c>
      <c r="S53" s="14">
        <f t="shared" si="8"/>
        <v>66807.178631051749</v>
      </c>
      <c r="T53" s="10">
        <f t="shared" si="9"/>
        <v>-2.6470835102858819E-3</v>
      </c>
      <c r="U53" s="14" t="str">
        <f t="shared" si="10"/>
        <v/>
      </c>
    </row>
    <row r="54" spans="1:21" s="1" customFormat="1" hidden="1" x14ac:dyDescent="0.25">
      <c r="A54" s="1" t="s">
        <v>88</v>
      </c>
      <c r="B54" s="1" t="s">
        <v>89</v>
      </c>
      <c r="C54" s="1" t="s">
        <v>93</v>
      </c>
      <c r="D54" s="6">
        <v>4.2299999999999997E-2</v>
      </c>
      <c r="E54" s="1">
        <v>0.91720000000000002</v>
      </c>
      <c r="F54" s="1">
        <v>49.812899999999999</v>
      </c>
      <c r="G54" s="1">
        <v>26.27</v>
      </c>
      <c r="H54" s="1">
        <v>25.77</v>
      </c>
      <c r="I54" s="1">
        <v>0</v>
      </c>
      <c r="J54" s="1">
        <v>0</v>
      </c>
      <c r="K54" s="9">
        <f t="shared" si="0"/>
        <v>52.04</v>
      </c>
      <c r="L54" s="20">
        <f t="shared" si="6"/>
        <v>1.0447093022088656</v>
      </c>
      <c r="M54" s="14" t="str">
        <f t="shared" si="7"/>
        <v/>
      </c>
      <c r="N54" s="7">
        <f t="shared" si="1"/>
        <v>5191.5476810838973</v>
      </c>
      <c r="O54" s="7">
        <f t="shared" si="2"/>
        <v>2737.8843147472639</v>
      </c>
      <c r="P54" s="7">
        <f t="shared" si="3"/>
        <v>2685.7738405419491</v>
      </c>
      <c r="Q54" s="1">
        <f t="shared" si="4"/>
        <v>0</v>
      </c>
      <c r="R54" s="1">
        <f t="shared" si="5"/>
        <v>0</v>
      </c>
      <c r="S54" s="14">
        <f t="shared" si="8"/>
        <v>5423.658155289213</v>
      </c>
      <c r="T54" s="10">
        <f t="shared" si="9"/>
        <v>-4.4709302208865674E-2</v>
      </c>
      <c r="U54" s="14" t="str">
        <f t="shared" si="10"/>
        <v/>
      </c>
    </row>
    <row r="55" spans="1:21" s="1" customFormat="1" hidden="1" x14ac:dyDescent="0.25">
      <c r="A55" s="1" t="s">
        <v>88</v>
      </c>
      <c r="B55" s="1" t="s">
        <v>89</v>
      </c>
      <c r="C55" s="1" t="s">
        <v>94</v>
      </c>
      <c r="D55" s="6">
        <v>5.1499999999999997E-2</v>
      </c>
      <c r="E55" s="1">
        <v>0.56659999999999999</v>
      </c>
      <c r="F55" s="1">
        <v>152.82140000000001</v>
      </c>
      <c r="G55" s="1">
        <v>20.61</v>
      </c>
      <c r="H55" s="1">
        <v>20.62</v>
      </c>
      <c r="I55" s="1">
        <v>92.5</v>
      </c>
      <c r="J55" s="1">
        <v>20.61</v>
      </c>
      <c r="K55" s="9">
        <f t="shared" si="0"/>
        <v>154.34000000000003</v>
      </c>
      <c r="L55" s="20">
        <f t="shared" si="6"/>
        <v>1.0099370899625315</v>
      </c>
      <c r="M55" s="14" t="str">
        <f t="shared" si="7"/>
        <v/>
      </c>
      <c r="N55" s="7">
        <f t="shared" si="1"/>
        <v>24724.381168095781</v>
      </c>
      <c r="O55" s="7">
        <f t="shared" si="2"/>
        <v>3334.4119074583405</v>
      </c>
      <c r="P55" s="7">
        <f t="shared" si="3"/>
        <v>3336.0297686458503</v>
      </c>
      <c r="Q55" s="1">
        <f t="shared" si="4"/>
        <v>14965.215984468534</v>
      </c>
      <c r="R55" s="1">
        <f t="shared" si="5"/>
        <v>3334.4119074583405</v>
      </c>
      <c r="S55" s="14">
        <f t="shared" si="8"/>
        <v>24970.069568031064</v>
      </c>
      <c r="T55" s="10">
        <f t="shared" si="9"/>
        <v>-9.9370899625313251E-3</v>
      </c>
      <c r="U55" s="14" t="str">
        <f t="shared" si="10"/>
        <v/>
      </c>
    </row>
    <row r="56" spans="1:21" s="1" customFormat="1" hidden="1" x14ac:dyDescent="0.25">
      <c r="A56" s="1" t="s">
        <v>88</v>
      </c>
      <c r="B56" s="1" t="s">
        <v>89</v>
      </c>
      <c r="C56" s="1" t="s">
        <v>95</v>
      </c>
      <c r="D56" s="6">
        <v>5.1400000000000001E-2</v>
      </c>
      <c r="E56" s="1">
        <v>0.3987</v>
      </c>
      <c r="F56" s="1">
        <v>71.722200000000001</v>
      </c>
      <c r="G56" s="1">
        <v>15.42</v>
      </c>
      <c r="H56" s="1">
        <v>15.43</v>
      </c>
      <c r="I56" s="1">
        <v>26.46</v>
      </c>
      <c r="J56" s="1">
        <v>15.45</v>
      </c>
      <c r="K56" s="9">
        <f t="shared" si="0"/>
        <v>72.760000000000005</v>
      </c>
      <c r="L56" s="20">
        <f t="shared" si="6"/>
        <v>1.0144697178837236</v>
      </c>
      <c r="M56" s="14" t="str">
        <f t="shared" si="7"/>
        <v/>
      </c>
      <c r="N56" s="7">
        <f t="shared" si="1"/>
        <v>15934.725616529662</v>
      </c>
      <c r="O56" s="7">
        <f t="shared" si="2"/>
        <v>3425.9053543656969</v>
      </c>
      <c r="P56" s="7">
        <f t="shared" si="3"/>
        <v>3428.1270828704733</v>
      </c>
      <c r="Q56" s="1">
        <f t="shared" si="4"/>
        <v>5878.6936236391921</v>
      </c>
      <c r="R56" s="1">
        <f t="shared" si="5"/>
        <v>3432.5705398800264</v>
      </c>
      <c r="S56" s="14">
        <f t="shared" si="8"/>
        <v>16165.296600755388</v>
      </c>
      <c r="T56" s="10">
        <f t="shared" si="9"/>
        <v>-1.4469717883723462E-2</v>
      </c>
      <c r="U56" s="14" t="str">
        <f t="shared" si="10"/>
        <v/>
      </c>
    </row>
    <row r="57" spans="1:21" s="1" customFormat="1" hidden="1" x14ac:dyDescent="0.25">
      <c r="A57" s="1" t="s">
        <v>88</v>
      </c>
      <c r="B57" s="1" t="s">
        <v>89</v>
      </c>
      <c r="C57" s="1" t="s">
        <v>96</v>
      </c>
      <c r="D57" s="6">
        <v>7.6899999999999996E-2</v>
      </c>
      <c r="E57" s="1">
        <v>0.40910000000000002</v>
      </c>
      <c r="F57" s="1">
        <v>83.525800000000004</v>
      </c>
      <c r="G57" s="1">
        <v>16.32</v>
      </c>
      <c r="H57" s="1">
        <v>16.39</v>
      </c>
      <c r="I57" s="1">
        <v>36.94</v>
      </c>
      <c r="J57" s="1">
        <v>16.37</v>
      </c>
      <c r="K57" s="9">
        <f t="shared" si="0"/>
        <v>86.02000000000001</v>
      </c>
      <c r="L57" s="20">
        <f t="shared" si="6"/>
        <v>1.0298614320365684</v>
      </c>
      <c r="M57" s="14" t="str">
        <f t="shared" si="7"/>
        <v/>
      </c>
      <c r="N57" s="7">
        <f t="shared" si="1"/>
        <v>17186.378600823049</v>
      </c>
      <c r="O57" s="7">
        <f t="shared" si="2"/>
        <v>3358.0246913580245</v>
      </c>
      <c r="P57" s="7">
        <f t="shared" si="3"/>
        <v>3372.4279835390944</v>
      </c>
      <c r="Q57" s="1">
        <f t="shared" si="4"/>
        <v>7600.8230452674898</v>
      </c>
      <c r="R57" s="1">
        <f t="shared" si="5"/>
        <v>3368.3127572016465</v>
      </c>
      <c r="S57" s="14">
        <f t="shared" si="8"/>
        <v>17699.588477366255</v>
      </c>
      <c r="T57" s="10">
        <f t="shared" si="9"/>
        <v>-2.9861432036568086E-2</v>
      </c>
      <c r="U57" s="14" t="str">
        <f t="shared" si="10"/>
        <v/>
      </c>
    </row>
    <row r="58" spans="1:21" s="1" customFormat="1" hidden="1" x14ac:dyDescent="0.25">
      <c r="A58" s="1" t="s">
        <v>97</v>
      </c>
      <c r="B58" s="1" t="s">
        <v>98</v>
      </c>
      <c r="C58" s="1" t="s">
        <v>99</v>
      </c>
      <c r="D58" s="6">
        <v>1.32E-2</v>
      </c>
      <c r="E58" s="1">
        <v>8.9800000000000005E-2</v>
      </c>
      <c r="F58" s="1">
        <v>308.85000000000002</v>
      </c>
      <c r="G58" s="1">
        <v>12.74</v>
      </c>
      <c r="H58" s="1">
        <v>12.78</v>
      </c>
      <c r="I58" s="1">
        <v>246.11</v>
      </c>
      <c r="J58" s="1">
        <v>12.78</v>
      </c>
      <c r="K58" s="9">
        <f t="shared" si="0"/>
        <v>284.40999999999997</v>
      </c>
      <c r="L58" s="20">
        <f t="shared" si="6"/>
        <v>0.9208677351465111</v>
      </c>
      <c r="M58" s="14" t="str">
        <f t="shared" si="7"/>
        <v/>
      </c>
      <c r="N58" s="7">
        <f t="shared" si="1"/>
        <v>299854.36893203884</v>
      </c>
      <c r="O58" s="7">
        <f t="shared" si="2"/>
        <v>12368.93203883495</v>
      </c>
      <c r="P58" s="7">
        <f t="shared" si="3"/>
        <v>12407.76699029126</v>
      </c>
      <c r="Q58" s="1">
        <f t="shared" si="4"/>
        <v>238941.74757281554</v>
      </c>
      <c r="R58" s="1">
        <f t="shared" si="5"/>
        <v>12407.76699029126</v>
      </c>
      <c r="S58" s="14">
        <f t="shared" si="8"/>
        <v>276126.21359223302</v>
      </c>
      <c r="T58" s="10">
        <f t="shared" si="9"/>
        <v>7.9132264853488718E-2</v>
      </c>
      <c r="U58" s="14" t="str">
        <f t="shared" si="10"/>
        <v/>
      </c>
    </row>
    <row r="59" spans="1:21" s="1" customFormat="1" hidden="1" x14ac:dyDescent="0.25">
      <c r="A59" s="1" t="s">
        <v>97</v>
      </c>
      <c r="B59" s="1" t="s">
        <v>100</v>
      </c>
      <c r="C59" s="1" t="s">
        <v>101</v>
      </c>
      <c r="D59" s="6">
        <v>1.0699999999999999E-2</v>
      </c>
      <c r="E59" s="1">
        <v>9.1700000000000004E-2</v>
      </c>
      <c r="F59" s="1">
        <v>23.98</v>
      </c>
      <c r="G59" s="1">
        <v>3.44</v>
      </c>
      <c r="H59" s="1">
        <v>3.46</v>
      </c>
      <c r="I59" s="1">
        <v>11.95</v>
      </c>
      <c r="J59" s="1">
        <v>3.42</v>
      </c>
      <c r="K59" s="9">
        <f t="shared" si="0"/>
        <v>22.270000000000003</v>
      </c>
      <c r="L59" s="20">
        <f t="shared" si="6"/>
        <v>0.92869057547956646</v>
      </c>
      <c r="M59" s="14" t="str">
        <f t="shared" si="7"/>
        <v/>
      </c>
      <c r="N59" s="7">
        <f t="shared" si="1"/>
        <v>23417.96875</v>
      </c>
      <c r="O59" s="7">
        <f t="shared" si="2"/>
        <v>3359.375</v>
      </c>
      <c r="P59" s="7">
        <f t="shared" si="3"/>
        <v>3378.90625</v>
      </c>
      <c r="Q59" s="1">
        <f t="shared" si="4"/>
        <v>11669.921874999998</v>
      </c>
      <c r="R59" s="1">
        <f t="shared" si="5"/>
        <v>3339.84375</v>
      </c>
      <c r="S59" s="14">
        <f t="shared" si="8"/>
        <v>21748.046875</v>
      </c>
      <c r="T59" s="10">
        <f t="shared" si="9"/>
        <v>7.1309424520433692E-2</v>
      </c>
      <c r="U59" s="14" t="str">
        <f t="shared" si="10"/>
        <v/>
      </c>
    </row>
    <row r="60" spans="1:21" s="1" customFormat="1" hidden="1" x14ac:dyDescent="0.25">
      <c r="A60" s="1" t="s">
        <v>97</v>
      </c>
      <c r="B60" s="1" t="s">
        <v>102</v>
      </c>
      <c r="C60" s="1" t="s">
        <v>103</v>
      </c>
      <c r="D60" s="6">
        <v>4.6600000000000003E-2</v>
      </c>
      <c r="E60" s="1">
        <v>6.1100000000000002E-2</v>
      </c>
      <c r="F60" s="1">
        <v>66.27</v>
      </c>
      <c r="G60" s="1">
        <v>4.6399999999999997</v>
      </c>
      <c r="H60" s="1">
        <v>4.68</v>
      </c>
      <c r="I60" s="1">
        <v>49.83</v>
      </c>
      <c r="J60" s="1">
        <v>4.6100000000000003</v>
      </c>
      <c r="K60" s="9">
        <f t="shared" si="0"/>
        <v>63.76</v>
      </c>
      <c r="L60" s="20">
        <f t="shared" si="6"/>
        <v>0.9621246416176249</v>
      </c>
      <c r="M60" s="14" t="str">
        <f t="shared" si="7"/>
        <v/>
      </c>
      <c r="N60" s="7">
        <f t="shared" si="1"/>
        <v>61532.033426183843</v>
      </c>
      <c r="O60" s="7">
        <f t="shared" si="2"/>
        <v>4308.2636954503241</v>
      </c>
      <c r="P60" s="7">
        <f t="shared" si="3"/>
        <v>4345.4038997214484</v>
      </c>
      <c r="Q60" s="1">
        <f t="shared" si="4"/>
        <v>46267.409470752085</v>
      </c>
      <c r="R60" s="1">
        <f t="shared" si="5"/>
        <v>4280.4085422469825</v>
      </c>
      <c r="S60" s="14">
        <f t="shared" si="8"/>
        <v>59201.485608170842</v>
      </c>
      <c r="T60" s="10">
        <f t="shared" si="9"/>
        <v>3.7875358382375164E-2</v>
      </c>
      <c r="U60" s="14" t="str">
        <f t="shared" si="10"/>
        <v/>
      </c>
    </row>
    <row r="61" spans="1:21" s="1" customFormat="1" hidden="1" x14ac:dyDescent="0.25">
      <c r="A61" s="1" t="s">
        <v>97</v>
      </c>
      <c r="B61" s="1" t="s">
        <v>102</v>
      </c>
      <c r="C61" s="1" t="s">
        <v>104</v>
      </c>
      <c r="D61" s="6">
        <v>4.6100000000000002E-2</v>
      </c>
      <c r="E61" s="1">
        <v>8.7300000000000003E-2</v>
      </c>
      <c r="F61" s="1">
        <v>44.83</v>
      </c>
      <c r="G61" s="1">
        <v>4.47</v>
      </c>
      <c r="H61" s="1">
        <v>4.45</v>
      </c>
      <c r="I61" s="1">
        <v>30.57</v>
      </c>
      <c r="J61" s="1">
        <v>4.45</v>
      </c>
      <c r="K61" s="9">
        <f t="shared" si="0"/>
        <v>43.940000000000005</v>
      </c>
      <c r="L61" s="20">
        <f t="shared" si="6"/>
        <v>0.98014722284184708</v>
      </c>
      <c r="M61" s="14" t="str">
        <f t="shared" si="7"/>
        <v/>
      </c>
      <c r="N61" s="7">
        <f t="shared" si="1"/>
        <v>33605.697151424283</v>
      </c>
      <c r="O61" s="7">
        <f t="shared" si="2"/>
        <v>3350.8245877061463</v>
      </c>
      <c r="P61" s="7">
        <f t="shared" si="3"/>
        <v>3335.832083958021</v>
      </c>
      <c r="Q61" s="1">
        <f t="shared" si="4"/>
        <v>22916.041979010493</v>
      </c>
      <c r="R61" s="1">
        <f t="shared" si="5"/>
        <v>3335.832083958021</v>
      </c>
      <c r="S61" s="14">
        <f t="shared" si="8"/>
        <v>32938.530734632681</v>
      </c>
      <c r="T61" s="10">
        <f t="shared" si="9"/>
        <v>1.9852777158152972E-2</v>
      </c>
      <c r="U61" s="14" t="str">
        <f t="shared" si="10"/>
        <v/>
      </c>
    </row>
    <row r="62" spans="1:21" s="1" customFormat="1" hidden="1" x14ac:dyDescent="0.25">
      <c r="A62" s="1" t="s">
        <v>97</v>
      </c>
      <c r="B62" s="1" t="s">
        <v>102</v>
      </c>
      <c r="C62" s="1" t="s">
        <v>105</v>
      </c>
      <c r="D62" s="6">
        <v>5.21E-2</v>
      </c>
      <c r="E62" s="1">
        <v>5.8299999999999998E-2</v>
      </c>
      <c r="F62" s="1">
        <v>177.37</v>
      </c>
      <c r="G62" s="1">
        <v>3.65</v>
      </c>
      <c r="H62" s="1">
        <v>3.7</v>
      </c>
      <c r="I62" s="1">
        <v>168.25</v>
      </c>
      <c r="J62" s="1">
        <v>3.66</v>
      </c>
      <c r="K62" s="9">
        <f t="shared" si="0"/>
        <v>179.26</v>
      </c>
      <c r="L62" s="20">
        <f t="shared" si="6"/>
        <v>1.0106556914923606</v>
      </c>
      <c r="M62" s="14" t="str">
        <f t="shared" si="7"/>
        <v/>
      </c>
      <c r="N62" s="7">
        <f t="shared" si="1"/>
        <v>160661.23188405798</v>
      </c>
      <c r="O62" s="7">
        <f t="shared" si="2"/>
        <v>3306.1594202898546</v>
      </c>
      <c r="P62" s="7">
        <f t="shared" si="3"/>
        <v>3351.449275362319</v>
      </c>
      <c r="Q62" s="1">
        <f t="shared" si="4"/>
        <v>152400.36231884058</v>
      </c>
      <c r="R62" s="1">
        <f t="shared" si="5"/>
        <v>3315.2173913043475</v>
      </c>
      <c r="S62" s="14">
        <f t="shared" si="8"/>
        <v>162373.18840579709</v>
      </c>
      <c r="T62" s="10">
        <f t="shared" si="9"/>
        <v>-1.0655691492360451E-2</v>
      </c>
      <c r="U62" s="14" t="str">
        <f t="shared" si="10"/>
        <v/>
      </c>
    </row>
    <row r="63" spans="1:21" s="1" customFormat="1" hidden="1" x14ac:dyDescent="0.25">
      <c r="A63" s="1" t="s">
        <v>97</v>
      </c>
      <c r="B63" s="1" t="s">
        <v>106</v>
      </c>
      <c r="C63" s="1" t="s">
        <v>107</v>
      </c>
      <c r="D63" s="6">
        <v>4.1500000000000002E-2</v>
      </c>
      <c r="E63" s="1">
        <v>6.9199999999999998E-2</v>
      </c>
      <c r="F63" s="19">
        <v>26.81</v>
      </c>
      <c r="G63" s="1">
        <v>3.71</v>
      </c>
      <c r="H63" s="1">
        <v>3.84</v>
      </c>
      <c r="I63" s="1">
        <v>16</v>
      </c>
      <c r="J63" s="1">
        <v>3.83</v>
      </c>
      <c r="K63" s="9">
        <f t="shared" si="0"/>
        <v>27.380000000000003</v>
      </c>
      <c r="L63" s="20">
        <f t="shared" si="6"/>
        <v>1.0212607236105933</v>
      </c>
      <c r="M63" s="14" t="str">
        <f t="shared" si="7"/>
        <v/>
      </c>
      <c r="N63" s="7">
        <f t="shared" si="1"/>
        <v>24218.608852755195</v>
      </c>
      <c r="O63" s="7">
        <f t="shared" si="2"/>
        <v>3351.4001806684732</v>
      </c>
      <c r="P63" s="7">
        <f t="shared" si="3"/>
        <v>3468.8346883468839</v>
      </c>
      <c r="Q63" s="1">
        <f t="shared" si="4"/>
        <v>14453.477868112015</v>
      </c>
      <c r="R63" s="1">
        <f t="shared" si="5"/>
        <v>3459.8012646793136</v>
      </c>
      <c r="S63" s="14">
        <f t="shared" si="8"/>
        <v>24733.514001806689</v>
      </c>
      <c r="T63" s="10">
        <f t="shared" si="9"/>
        <v>-2.1260723610593203E-2</v>
      </c>
      <c r="U63" s="14" t="str">
        <f t="shared" si="10"/>
        <v/>
      </c>
    </row>
    <row r="64" spans="1:21" s="1" customFormat="1" hidden="1" x14ac:dyDescent="0.25">
      <c r="A64" s="1" t="s">
        <v>97</v>
      </c>
      <c r="B64" s="1" t="s">
        <v>108</v>
      </c>
      <c r="C64" s="1" t="s">
        <v>109</v>
      </c>
      <c r="D64" s="6">
        <v>1.52E-2</v>
      </c>
      <c r="E64" s="1">
        <v>4.1300000000000003E-2</v>
      </c>
      <c r="F64" s="1">
        <v>614.99</v>
      </c>
      <c r="G64" s="1">
        <v>11.42</v>
      </c>
      <c r="H64" s="1">
        <v>11.47</v>
      </c>
      <c r="I64" s="1">
        <v>567.59</v>
      </c>
      <c r="J64" s="1">
        <v>11.45</v>
      </c>
      <c r="K64" s="9">
        <f t="shared" si="0"/>
        <v>601.93000000000006</v>
      </c>
      <c r="L64" s="20">
        <f t="shared" si="6"/>
        <v>0.97876388233955036</v>
      </c>
      <c r="M64" s="14" t="str">
        <f t="shared" si="7"/>
        <v/>
      </c>
      <c r="N64" s="7">
        <f t="shared" si="1"/>
        <v>1088477.8761061947</v>
      </c>
      <c r="O64" s="7">
        <f t="shared" si="2"/>
        <v>20212.389380530974</v>
      </c>
      <c r="P64" s="7">
        <f t="shared" si="3"/>
        <v>20300.884955752212</v>
      </c>
      <c r="Q64" s="1">
        <f t="shared" si="4"/>
        <v>1004584.0707964603</v>
      </c>
      <c r="R64" s="1">
        <f t="shared" si="5"/>
        <v>20265.486725663715</v>
      </c>
      <c r="S64" s="14">
        <f t="shared" si="8"/>
        <v>1065362.8318584072</v>
      </c>
      <c r="T64" s="10">
        <f t="shared" si="9"/>
        <v>2.123611766044961E-2</v>
      </c>
      <c r="U64" s="14" t="str">
        <f t="shared" si="10"/>
        <v/>
      </c>
    </row>
    <row r="65" spans="1:21" s="1" customFormat="1" hidden="1" x14ac:dyDescent="0.25">
      <c r="A65" s="1" t="s">
        <v>97</v>
      </c>
      <c r="B65" s="1" t="s">
        <v>110</v>
      </c>
      <c r="C65" s="1" t="s">
        <v>111</v>
      </c>
      <c r="D65" s="6">
        <v>2.8400000000000002E-2</v>
      </c>
      <c r="E65" s="1">
        <v>7.7299999999999994E-2</v>
      </c>
      <c r="F65" s="1">
        <v>70.89</v>
      </c>
      <c r="G65" s="1">
        <v>5.17</v>
      </c>
      <c r="H65" s="1">
        <v>5.2</v>
      </c>
      <c r="I65" s="1">
        <v>55.21</v>
      </c>
      <c r="J65" s="1">
        <v>5.16</v>
      </c>
      <c r="K65" s="9">
        <f t="shared" si="0"/>
        <v>70.739999999999995</v>
      </c>
      <c r="L65" s="20">
        <f t="shared" si="6"/>
        <v>0.99788404570461275</v>
      </c>
      <c r="M65" s="14" t="str">
        <f t="shared" si="7"/>
        <v/>
      </c>
      <c r="N65" s="7">
        <f t="shared" si="1"/>
        <v>67067.17123935667</v>
      </c>
      <c r="O65" s="7">
        <f t="shared" si="2"/>
        <v>4891.2015137180706</v>
      </c>
      <c r="P65" s="7">
        <f t="shared" si="3"/>
        <v>4919.5837275307485</v>
      </c>
      <c r="Q65" s="1">
        <f t="shared" si="4"/>
        <v>52232.734153263962</v>
      </c>
      <c r="R65" s="1">
        <f t="shared" si="5"/>
        <v>4881.7407757805113</v>
      </c>
      <c r="S65" s="14">
        <f t="shared" si="8"/>
        <v>66925.260170293288</v>
      </c>
      <c r="T65" s="10">
        <f t="shared" si="9"/>
        <v>2.1159542953871529E-3</v>
      </c>
      <c r="U65" s="14" t="str">
        <f t="shared" si="10"/>
        <v/>
      </c>
    </row>
    <row r="66" spans="1:21" s="1" customFormat="1" hidden="1" x14ac:dyDescent="0.25">
      <c r="A66" s="1" t="s">
        <v>112</v>
      </c>
      <c r="B66" s="1" t="s">
        <v>113</v>
      </c>
      <c r="C66" s="1" t="s">
        <v>114</v>
      </c>
      <c r="D66" s="6">
        <v>7.1900000000000006E-2</v>
      </c>
      <c r="E66" s="1">
        <v>0.46779999999999999</v>
      </c>
      <c r="F66" s="1">
        <v>161.08359999999999</v>
      </c>
      <c r="G66" s="1">
        <v>18.05</v>
      </c>
      <c r="H66" s="1">
        <v>18.04</v>
      </c>
      <c r="I66" s="1">
        <v>107.52</v>
      </c>
      <c r="J66" s="1">
        <v>18.02</v>
      </c>
      <c r="K66" s="9">
        <f t="shared" ref="K66:K129" si="11">SUM(G66:J66)</f>
        <v>161.63000000000002</v>
      </c>
      <c r="L66" s="20">
        <f t="shared" si="6"/>
        <v>1.0033920274937984</v>
      </c>
      <c r="M66" s="14" t="str">
        <f t="shared" si="7"/>
        <v/>
      </c>
      <c r="N66" s="7">
        <f t="shared" ref="N66:N129" si="12">(F66/(D66+E66))*100</f>
        <v>29846.87789512692</v>
      </c>
      <c r="O66" s="7">
        <f t="shared" ref="O66:O129" si="13">(G66/(D66+E66))*100</f>
        <v>3344.4506207152122</v>
      </c>
      <c r="P66" s="7">
        <f t="shared" ref="P66:P129" si="14">(H66/(D66+E66))*100</f>
        <v>3342.5977394848992</v>
      </c>
      <c r="Q66" s="1">
        <f t="shared" ref="Q66:Q129" si="15">(I66/(D66+E66))*100</f>
        <v>19922.17898832685</v>
      </c>
      <c r="R66" s="1">
        <f t="shared" ref="R66:R129" si="16">(J66/(D66+E66))*100</f>
        <v>3338.8919770242728</v>
      </c>
      <c r="S66" s="14">
        <f t="shared" si="8"/>
        <v>29948.119325551233</v>
      </c>
      <c r="T66" s="10">
        <f t="shared" si="9"/>
        <v>-3.3920274937983882E-3</v>
      </c>
      <c r="U66" s="14" t="str">
        <f t="shared" si="10"/>
        <v/>
      </c>
    </row>
    <row r="67" spans="1:21" s="1" customFormat="1" hidden="1" x14ac:dyDescent="0.25">
      <c r="A67" s="1" t="s">
        <v>112</v>
      </c>
      <c r="B67" s="1" t="s">
        <v>113</v>
      </c>
      <c r="C67" s="1" t="s">
        <v>115</v>
      </c>
      <c r="D67" s="6">
        <v>4.2439999999999999E-2</v>
      </c>
      <c r="E67" s="1">
        <v>0.72360000000000002</v>
      </c>
      <c r="F67" s="1">
        <v>74.066100000000006</v>
      </c>
      <c r="G67" s="1">
        <v>24.66</v>
      </c>
      <c r="H67" s="1">
        <v>24.69</v>
      </c>
      <c r="I67" s="1">
        <v>0</v>
      </c>
      <c r="J67" s="1">
        <v>22.81</v>
      </c>
      <c r="K67" s="9">
        <f t="shared" si="11"/>
        <v>72.16</v>
      </c>
      <c r="L67" s="20">
        <f t="shared" ref="L67:L130" si="17">K67/F67</f>
        <v>0.97426487961429031</v>
      </c>
      <c r="M67" s="14" t="str">
        <f t="shared" ref="M67:M130" si="18">IF(ABS(L67-1)&gt;0.1,1,"")</f>
        <v/>
      </c>
      <c r="N67" s="7">
        <f t="shared" si="12"/>
        <v>9668.6987624667127</v>
      </c>
      <c r="O67" s="7">
        <f t="shared" si="13"/>
        <v>3219.1530468382853</v>
      </c>
      <c r="P67" s="7">
        <f t="shared" si="14"/>
        <v>3223.0692914208134</v>
      </c>
      <c r="Q67" s="1">
        <f t="shared" si="15"/>
        <v>0</v>
      </c>
      <c r="R67" s="1">
        <f t="shared" si="16"/>
        <v>2977.6512975823712</v>
      </c>
      <c r="S67" s="14">
        <f t="shared" ref="S67:S130" si="19">SUM(O67:R67)</f>
        <v>9419.8736358414699</v>
      </c>
      <c r="T67" s="10">
        <f t="shared" ref="T67:T130" si="20">(N67-S67)/N67</f>
        <v>2.5735120385709652E-2</v>
      </c>
      <c r="U67" s="14" t="str">
        <f t="shared" ref="U67:U130" si="21">IF(T67&gt;0.1,1,IF(T67&lt;-0.1,-1,""))</f>
        <v/>
      </c>
    </row>
    <row r="68" spans="1:21" s="1" customFormat="1" hidden="1" x14ac:dyDescent="0.25">
      <c r="A68" s="1" t="s">
        <v>116</v>
      </c>
      <c r="B68" s="1" t="s">
        <v>117</v>
      </c>
      <c r="C68" s="1" t="s">
        <v>118</v>
      </c>
      <c r="D68" s="6">
        <v>6.6400000000000001E-2</v>
      </c>
      <c r="E68" s="1">
        <v>0.1187</v>
      </c>
      <c r="F68" s="19">
        <v>91.71</v>
      </c>
      <c r="G68" s="1">
        <v>6.45</v>
      </c>
      <c r="H68" s="1">
        <v>6.5</v>
      </c>
      <c r="I68" s="1">
        <v>65.34</v>
      </c>
      <c r="J68" s="1">
        <v>6.46</v>
      </c>
      <c r="K68" s="9">
        <f t="shared" si="11"/>
        <v>84.75</v>
      </c>
      <c r="L68" s="20">
        <f t="shared" si="17"/>
        <v>0.92410860320575738</v>
      </c>
      <c r="M68" s="14" t="str">
        <f t="shared" si="18"/>
        <v/>
      </c>
      <c r="N68" s="7">
        <f t="shared" si="12"/>
        <v>49546.191247974071</v>
      </c>
      <c r="O68" s="7">
        <f t="shared" si="13"/>
        <v>3484.6029173419779</v>
      </c>
      <c r="P68" s="7">
        <f t="shared" si="14"/>
        <v>3511.6153430578065</v>
      </c>
      <c r="Q68" s="1">
        <f t="shared" si="15"/>
        <v>35299.83792544571</v>
      </c>
      <c r="R68" s="1">
        <f t="shared" si="16"/>
        <v>3490.0054024851433</v>
      </c>
      <c r="S68" s="14">
        <f t="shared" si="19"/>
        <v>45786.061588330638</v>
      </c>
      <c r="T68" s="10">
        <f t="shared" si="20"/>
        <v>7.5891396794242658E-2</v>
      </c>
      <c r="U68" s="14" t="str">
        <f t="shared" si="21"/>
        <v/>
      </c>
    </row>
    <row r="69" spans="1:21" s="1" customFormat="1" hidden="1" x14ac:dyDescent="0.25">
      <c r="A69" s="1" t="s">
        <v>119</v>
      </c>
      <c r="B69" s="1" t="s">
        <v>120</v>
      </c>
      <c r="C69" s="1" t="s">
        <v>121</v>
      </c>
      <c r="D69" s="6">
        <v>2.9499999999999998E-2</v>
      </c>
      <c r="E69" s="1">
        <v>0.31609999999999999</v>
      </c>
      <c r="F69" s="1">
        <v>415.56</v>
      </c>
      <c r="G69" s="1">
        <v>25.55</v>
      </c>
      <c r="H69" s="1">
        <v>27.79</v>
      </c>
      <c r="I69" s="1">
        <v>339.43</v>
      </c>
      <c r="J69" s="1">
        <v>25</v>
      </c>
      <c r="K69" s="9">
        <f t="shared" si="11"/>
        <v>417.77</v>
      </c>
      <c r="L69" s="20">
        <f t="shared" si="17"/>
        <v>1.0053181249398402</v>
      </c>
      <c r="M69" s="14" t="str">
        <f t="shared" si="18"/>
        <v/>
      </c>
      <c r="N69" s="7">
        <f t="shared" si="12"/>
        <v>120243.05555555555</v>
      </c>
      <c r="O69" s="7">
        <f t="shared" si="13"/>
        <v>7392.9398148148157</v>
      </c>
      <c r="P69" s="7">
        <f t="shared" si="14"/>
        <v>8041.0879629629617</v>
      </c>
      <c r="Q69" s="1">
        <f t="shared" si="15"/>
        <v>98214.699074074073</v>
      </c>
      <c r="R69" s="1">
        <f t="shared" si="16"/>
        <v>7233.7962962962965</v>
      </c>
      <c r="S69" s="14">
        <f t="shared" si="19"/>
        <v>120882.52314814815</v>
      </c>
      <c r="T69" s="10">
        <f t="shared" si="20"/>
        <v>-5.3181249398402651E-3</v>
      </c>
      <c r="U69" s="14" t="str">
        <f t="shared" si="21"/>
        <v/>
      </c>
    </row>
    <row r="70" spans="1:21" s="1" customFormat="1" hidden="1" x14ac:dyDescent="0.25">
      <c r="A70" s="1" t="s">
        <v>122</v>
      </c>
      <c r="B70" s="1" t="s">
        <v>123</v>
      </c>
      <c r="C70" s="1" t="s">
        <v>124</v>
      </c>
      <c r="D70" s="6">
        <v>31.938600000000001</v>
      </c>
      <c r="E70" s="1">
        <v>0</v>
      </c>
      <c r="F70" s="1">
        <v>1978.48</v>
      </c>
      <c r="G70" s="1">
        <v>782.53</v>
      </c>
      <c r="H70" s="1">
        <v>781.31</v>
      </c>
      <c r="J70" s="1">
        <v>391.82</v>
      </c>
      <c r="K70" s="9">
        <f t="shared" si="11"/>
        <v>1955.6599999999999</v>
      </c>
      <c r="L70" s="20">
        <f t="shared" si="17"/>
        <v>0.9884658930087743</v>
      </c>
      <c r="M70" s="14" t="str">
        <f t="shared" si="18"/>
        <v/>
      </c>
      <c r="N70" s="7">
        <f t="shared" si="12"/>
        <v>6194.6359577439207</v>
      </c>
      <c r="O70" s="7">
        <f t="shared" si="13"/>
        <v>2450.1073935613954</v>
      </c>
      <c r="P70" s="7">
        <f t="shared" si="14"/>
        <v>2446.287564263931</v>
      </c>
      <c r="Q70" s="1">
        <f t="shared" si="15"/>
        <v>0</v>
      </c>
      <c r="R70" s="1">
        <f t="shared" si="16"/>
        <v>1226.7914060102821</v>
      </c>
      <c r="S70" s="14">
        <f t="shared" si="19"/>
        <v>6123.186363835609</v>
      </c>
      <c r="T70" s="10">
        <f t="shared" si="20"/>
        <v>1.1534106991225613E-2</v>
      </c>
      <c r="U70" s="14" t="str">
        <f t="shared" si="21"/>
        <v/>
      </c>
    </row>
    <row r="71" spans="1:21" s="1" customFormat="1" hidden="1" x14ac:dyDescent="0.25">
      <c r="A71" s="1" t="s">
        <v>125</v>
      </c>
      <c r="B71" s="1" t="s">
        <v>126</v>
      </c>
      <c r="C71" s="1" t="s">
        <v>127</v>
      </c>
      <c r="D71" s="6">
        <v>7.7799999999999994E-2</v>
      </c>
      <c r="E71" s="1">
        <v>0.2135</v>
      </c>
      <c r="F71" s="1">
        <v>1269</v>
      </c>
      <c r="G71" s="1">
        <v>18.12</v>
      </c>
      <c r="H71" s="1">
        <v>24.87</v>
      </c>
      <c r="I71" s="1">
        <v>1083.6300000000001</v>
      </c>
      <c r="J71" s="1">
        <v>26.95</v>
      </c>
      <c r="K71" s="9">
        <f t="shared" si="11"/>
        <v>1153.5700000000002</v>
      </c>
      <c r="L71" s="20">
        <f t="shared" si="17"/>
        <v>0.9090386130811664</v>
      </c>
      <c r="M71" s="14" t="str">
        <f t="shared" si="18"/>
        <v/>
      </c>
      <c r="N71" s="7">
        <f t="shared" si="12"/>
        <v>435633.36766220391</v>
      </c>
      <c r="O71" s="7">
        <f t="shared" si="13"/>
        <v>6220.391349124614</v>
      </c>
      <c r="P71" s="7">
        <f t="shared" si="14"/>
        <v>8537.5901132852741</v>
      </c>
      <c r="Q71" s="1">
        <f t="shared" si="15"/>
        <v>371997.9402677652</v>
      </c>
      <c r="R71" s="1">
        <f t="shared" si="16"/>
        <v>9251.6306213525568</v>
      </c>
      <c r="S71" s="14">
        <f t="shared" si="19"/>
        <v>396007.55235152767</v>
      </c>
      <c r="T71" s="10">
        <f t="shared" si="20"/>
        <v>9.0961386918833625E-2</v>
      </c>
      <c r="U71" s="14" t="str">
        <f t="shared" si="21"/>
        <v/>
      </c>
    </row>
    <row r="72" spans="1:21" s="1" customFormat="1" hidden="1" x14ac:dyDescent="0.25">
      <c r="A72" s="1" t="s">
        <v>125</v>
      </c>
      <c r="B72" s="1" t="s">
        <v>126</v>
      </c>
      <c r="C72" s="1" t="s">
        <v>128</v>
      </c>
      <c r="D72" s="6">
        <v>9.2499999999999999E-2</v>
      </c>
      <c r="E72" s="1">
        <v>0.11020000000000001</v>
      </c>
      <c r="F72" s="1">
        <v>235.96</v>
      </c>
      <c r="G72" s="1">
        <v>7.55</v>
      </c>
      <c r="H72" s="1">
        <v>7.55</v>
      </c>
      <c r="I72" s="1">
        <v>223.94</v>
      </c>
      <c r="J72" s="1">
        <v>7.57</v>
      </c>
      <c r="K72" s="9">
        <f t="shared" si="11"/>
        <v>246.60999999999999</v>
      </c>
      <c r="L72" s="20">
        <f t="shared" si="17"/>
        <v>1.0451347686048482</v>
      </c>
      <c r="M72" s="14" t="str">
        <f t="shared" si="18"/>
        <v/>
      </c>
      <c r="N72" s="7">
        <f t="shared" si="12"/>
        <v>116408.48544647262</v>
      </c>
      <c r="O72" s="7">
        <f t="shared" si="13"/>
        <v>3724.7163295510609</v>
      </c>
      <c r="P72" s="7">
        <f t="shared" si="14"/>
        <v>3724.7163295510609</v>
      </c>
      <c r="Q72" s="1">
        <f t="shared" si="15"/>
        <v>110478.53971386285</v>
      </c>
      <c r="R72" s="1">
        <f t="shared" si="16"/>
        <v>3734.5831277750372</v>
      </c>
      <c r="S72" s="14">
        <f t="shared" si="19"/>
        <v>121662.55550074001</v>
      </c>
      <c r="T72" s="10">
        <f t="shared" si="20"/>
        <v>-4.5134768604848254E-2</v>
      </c>
      <c r="U72" s="14" t="str">
        <f t="shared" si="21"/>
        <v/>
      </c>
    </row>
    <row r="73" spans="1:21" s="1" customFormat="1" hidden="1" x14ac:dyDescent="0.25">
      <c r="A73" s="1" t="s">
        <v>125</v>
      </c>
      <c r="B73" s="1" t="s">
        <v>126</v>
      </c>
      <c r="C73" s="1" t="s">
        <v>129</v>
      </c>
      <c r="D73" s="6">
        <v>7.6600000000000001E-2</v>
      </c>
      <c r="E73" s="1">
        <v>0.37209999999999999</v>
      </c>
      <c r="F73" s="1">
        <v>249.55</v>
      </c>
      <c r="G73" s="1">
        <v>15.24</v>
      </c>
      <c r="H73" s="1">
        <v>15.35</v>
      </c>
      <c r="I73" s="1">
        <v>205.15</v>
      </c>
      <c r="J73" s="1">
        <v>15.54</v>
      </c>
      <c r="K73" s="9">
        <f t="shared" si="11"/>
        <v>251.28</v>
      </c>
      <c r="L73" s="20">
        <f t="shared" si="17"/>
        <v>1.0069324784612301</v>
      </c>
      <c r="M73" s="14" t="str">
        <f t="shared" si="18"/>
        <v/>
      </c>
      <c r="N73" s="7">
        <f t="shared" si="12"/>
        <v>55616.224648985961</v>
      </c>
      <c r="O73" s="7">
        <f t="shared" si="13"/>
        <v>3396.4787162915086</v>
      </c>
      <c r="P73" s="7">
        <f t="shared" si="14"/>
        <v>3420.9939826164473</v>
      </c>
      <c r="Q73" s="1">
        <f t="shared" si="15"/>
        <v>45720.971696010703</v>
      </c>
      <c r="R73" s="1">
        <f t="shared" si="16"/>
        <v>3463.3385335413413</v>
      </c>
      <c r="S73" s="14">
        <f t="shared" si="19"/>
        <v>56001.782928460001</v>
      </c>
      <c r="T73" s="10">
        <f t="shared" si="20"/>
        <v>-6.9324784612302898E-3</v>
      </c>
      <c r="U73" s="14" t="str">
        <f t="shared" si="21"/>
        <v/>
      </c>
    </row>
    <row r="74" spans="1:21" s="1" customFormat="1" hidden="1" x14ac:dyDescent="0.25">
      <c r="A74" s="1" t="s">
        <v>125</v>
      </c>
      <c r="B74" s="1" t="s">
        <v>126</v>
      </c>
      <c r="C74" s="1" t="s">
        <v>130</v>
      </c>
      <c r="D74" s="6">
        <v>0.11559999999999999</v>
      </c>
      <c r="E74" s="1">
        <v>0.37109999999999999</v>
      </c>
      <c r="F74" s="1">
        <v>31.19</v>
      </c>
      <c r="G74" s="1">
        <v>13.21</v>
      </c>
      <c r="H74" s="1">
        <v>13.22</v>
      </c>
      <c r="I74" s="1">
        <v>0</v>
      </c>
      <c r="J74" s="1">
        <v>6.66</v>
      </c>
      <c r="K74" s="9">
        <f t="shared" si="11"/>
        <v>33.090000000000003</v>
      </c>
      <c r="L74" s="20">
        <f t="shared" si="17"/>
        <v>1.0609169605642834</v>
      </c>
      <c r="M74" s="14" t="str">
        <f t="shared" si="18"/>
        <v/>
      </c>
      <c r="N74" s="7">
        <f t="shared" si="12"/>
        <v>6408.4651736182468</v>
      </c>
      <c r="O74" s="7">
        <f t="shared" si="13"/>
        <v>2714.197657694679</v>
      </c>
      <c r="P74" s="7">
        <f t="shared" si="14"/>
        <v>2716.2523114855153</v>
      </c>
      <c r="Q74" s="1">
        <f t="shared" si="15"/>
        <v>0</v>
      </c>
      <c r="R74" s="1">
        <f t="shared" si="16"/>
        <v>1368.3994246969387</v>
      </c>
      <c r="S74" s="14">
        <f t="shared" si="19"/>
        <v>6798.8493938771326</v>
      </c>
      <c r="T74" s="10">
        <f t="shared" si="20"/>
        <v>-6.0916960564283314E-2</v>
      </c>
      <c r="U74" s="14" t="str">
        <f t="shared" si="21"/>
        <v/>
      </c>
    </row>
    <row r="75" spans="1:21" s="1" customFormat="1" hidden="1" x14ac:dyDescent="0.25">
      <c r="A75" s="1" t="s">
        <v>125</v>
      </c>
      <c r="B75" s="1" t="s">
        <v>126</v>
      </c>
      <c r="C75" s="1" t="s">
        <v>131</v>
      </c>
      <c r="D75" s="6">
        <v>0.1138</v>
      </c>
      <c r="E75" s="1">
        <v>0.2351</v>
      </c>
      <c r="F75" s="1">
        <v>118.65</v>
      </c>
      <c r="G75" s="1">
        <v>15.44</v>
      </c>
      <c r="H75" s="1">
        <v>15.47</v>
      </c>
      <c r="I75" s="1">
        <v>74.22</v>
      </c>
      <c r="J75" s="1">
        <v>15.44</v>
      </c>
      <c r="K75" s="9">
        <f t="shared" si="11"/>
        <v>120.57</v>
      </c>
      <c r="L75" s="20">
        <f t="shared" si="17"/>
        <v>1.0161820480404551</v>
      </c>
      <c r="M75" s="14" t="str">
        <f t="shared" si="18"/>
        <v/>
      </c>
      <c r="N75" s="7">
        <f t="shared" si="12"/>
        <v>34006.878761822874</v>
      </c>
      <c r="O75" s="7">
        <f t="shared" si="13"/>
        <v>4425.3367727142449</v>
      </c>
      <c r="P75" s="7">
        <f t="shared" si="14"/>
        <v>4433.9352249928343</v>
      </c>
      <c r="Q75" s="1">
        <f t="shared" si="15"/>
        <v>21272.570937231299</v>
      </c>
      <c r="R75" s="1">
        <f t="shared" si="16"/>
        <v>4425.3367727142449</v>
      </c>
      <c r="S75" s="14">
        <f t="shared" si="19"/>
        <v>34557.179707652627</v>
      </c>
      <c r="T75" s="10">
        <f t="shared" si="20"/>
        <v>-1.6182048040455185E-2</v>
      </c>
      <c r="U75" s="14" t="str">
        <f t="shared" si="21"/>
        <v/>
      </c>
    </row>
    <row r="76" spans="1:21" s="1" customFormat="1" hidden="1" x14ac:dyDescent="0.25">
      <c r="A76" s="1" t="s">
        <v>125</v>
      </c>
      <c r="B76" s="1" t="s">
        <v>126</v>
      </c>
      <c r="C76" s="1" t="s">
        <v>132</v>
      </c>
      <c r="D76" s="6">
        <v>9.9299999999999999E-2</v>
      </c>
      <c r="E76" s="1">
        <v>9.8199999999999996E-2</v>
      </c>
      <c r="F76" s="1">
        <v>149.09</v>
      </c>
      <c r="G76" s="1">
        <v>6.85</v>
      </c>
      <c r="H76" s="1">
        <v>6.9</v>
      </c>
      <c r="I76" s="1">
        <v>129.61000000000001</v>
      </c>
      <c r="J76" s="1">
        <v>6.94</v>
      </c>
      <c r="K76" s="9">
        <f t="shared" si="11"/>
        <v>150.30000000000001</v>
      </c>
      <c r="L76" s="20">
        <f t="shared" si="17"/>
        <v>1.0081159031457509</v>
      </c>
      <c r="M76" s="14" t="str">
        <f t="shared" si="18"/>
        <v/>
      </c>
      <c r="N76" s="7">
        <f t="shared" si="12"/>
        <v>75488.607594936708</v>
      </c>
      <c r="O76" s="7">
        <f t="shared" si="13"/>
        <v>3468.3544303797466</v>
      </c>
      <c r="P76" s="7">
        <f t="shared" si="14"/>
        <v>3493.6708860759495</v>
      </c>
      <c r="Q76" s="1">
        <f t="shared" si="15"/>
        <v>65625.3164556962</v>
      </c>
      <c r="R76" s="1">
        <f t="shared" si="16"/>
        <v>3513.9240506329115</v>
      </c>
      <c r="S76" s="14">
        <f t="shared" si="19"/>
        <v>76101.265822784801</v>
      </c>
      <c r="T76" s="10">
        <f t="shared" si="20"/>
        <v>-8.1159031457507767E-3</v>
      </c>
      <c r="U76" s="14" t="str">
        <f t="shared" si="21"/>
        <v/>
      </c>
    </row>
    <row r="77" spans="1:21" s="1" customFormat="1" hidden="1" x14ac:dyDescent="0.25">
      <c r="A77" s="1" t="s">
        <v>125</v>
      </c>
      <c r="B77" s="1" t="s">
        <v>126</v>
      </c>
      <c r="C77" s="1" t="s">
        <v>133</v>
      </c>
      <c r="D77" s="6">
        <v>0.123</v>
      </c>
      <c r="E77" s="1">
        <v>0.1792</v>
      </c>
      <c r="F77" s="1">
        <v>34.534500000000001</v>
      </c>
      <c r="G77" s="1">
        <v>10.1</v>
      </c>
      <c r="H77" s="1">
        <v>10.09</v>
      </c>
      <c r="I77" s="1">
        <v>4.22</v>
      </c>
      <c r="J77" s="1">
        <v>10.09</v>
      </c>
      <c r="K77" s="9">
        <f t="shared" si="11"/>
        <v>34.5</v>
      </c>
      <c r="L77" s="20">
        <f t="shared" si="17"/>
        <v>0.99900099900099892</v>
      </c>
      <c r="M77" s="14" t="str">
        <f t="shared" si="18"/>
        <v/>
      </c>
      <c r="N77" s="7">
        <f t="shared" si="12"/>
        <v>11427.696889477167</v>
      </c>
      <c r="O77" s="7">
        <f t="shared" si="13"/>
        <v>3342.1575115817332</v>
      </c>
      <c r="P77" s="7">
        <f t="shared" si="14"/>
        <v>3338.8484447385836</v>
      </c>
      <c r="Q77" s="1">
        <f t="shared" si="15"/>
        <v>1396.4262078093975</v>
      </c>
      <c r="R77" s="1">
        <f t="shared" si="16"/>
        <v>3338.8484447385836</v>
      </c>
      <c r="S77" s="14">
        <f t="shared" si="19"/>
        <v>11416.280608868297</v>
      </c>
      <c r="T77" s="10">
        <f t="shared" si="20"/>
        <v>9.9900099900112889E-4</v>
      </c>
      <c r="U77" s="14" t="str">
        <f t="shared" si="21"/>
        <v/>
      </c>
    </row>
    <row r="78" spans="1:21" s="1" customFormat="1" hidden="1" x14ac:dyDescent="0.25">
      <c r="A78" s="1" t="s">
        <v>125</v>
      </c>
      <c r="B78" s="1" t="s">
        <v>126</v>
      </c>
      <c r="C78" s="1" t="s">
        <v>134</v>
      </c>
      <c r="D78" s="6">
        <v>0.1011</v>
      </c>
      <c r="E78" s="1">
        <v>0.18090000000000001</v>
      </c>
      <c r="F78" s="1">
        <v>21.69</v>
      </c>
      <c r="G78" s="1">
        <v>7.5</v>
      </c>
      <c r="H78" s="1">
        <v>7.48</v>
      </c>
      <c r="I78" s="1">
        <v>0</v>
      </c>
      <c r="J78" s="1">
        <v>7.53</v>
      </c>
      <c r="K78" s="9">
        <f t="shared" si="11"/>
        <v>22.51</v>
      </c>
      <c r="L78" s="20">
        <f t="shared" si="17"/>
        <v>1.0378054402950669</v>
      </c>
      <c r="M78" s="14" t="str">
        <f t="shared" si="18"/>
        <v/>
      </c>
      <c r="N78" s="7">
        <f t="shared" si="12"/>
        <v>7691.489361702128</v>
      </c>
      <c r="O78" s="7">
        <f t="shared" si="13"/>
        <v>2659.5744680851062</v>
      </c>
      <c r="P78" s="7">
        <f t="shared" si="14"/>
        <v>2652.4822695035459</v>
      </c>
      <c r="Q78" s="1">
        <f t="shared" si="15"/>
        <v>0</v>
      </c>
      <c r="R78" s="1">
        <f t="shared" si="16"/>
        <v>2670.2127659574467</v>
      </c>
      <c r="S78" s="14">
        <f t="shared" si="19"/>
        <v>7982.2695035460983</v>
      </c>
      <c r="T78" s="10">
        <f t="shared" si="20"/>
        <v>-3.7805440295066682E-2</v>
      </c>
      <c r="U78" s="14" t="str">
        <f t="shared" si="21"/>
        <v/>
      </c>
    </row>
    <row r="79" spans="1:21" s="1" customFormat="1" hidden="1" x14ac:dyDescent="0.25">
      <c r="A79" s="1" t="s">
        <v>125</v>
      </c>
      <c r="B79" s="1" t="s">
        <v>126</v>
      </c>
      <c r="C79" s="1" t="s">
        <v>135</v>
      </c>
      <c r="D79" s="6">
        <v>9.2299999999999993E-2</v>
      </c>
      <c r="E79" s="1">
        <v>7.0999999999999994E-2</v>
      </c>
      <c r="F79" s="1">
        <v>20.492599999999999</v>
      </c>
      <c r="G79" s="1">
        <v>5.46</v>
      </c>
      <c r="H79" s="1">
        <v>5.47</v>
      </c>
      <c r="I79" s="1">
        <v>4.32</v>
      </c>
      <c r="J79" s="1">
        <v>5.48</v>
      </c>
      <c r="K79" s="9">
        <f t="shared" si="11"/>
        <v>20.73</v>
      </c>
      <c r="L79" s="20">
        <f t="shared" si="17"/>
        <v>1.0115846695880464</v>
      </c>
      <c r="M79" s="14" t="str">
        <f t="shared" si="18"/>
        <v/>
      </c>
      <c r="N79" s="7">
        <f t="shared" si="12"/>
        <v>12549.050826699326</v>
      </c>
      <c r="O79" s="7">
        <f t="shared" si="13"/>
        <v>3343.5394978567056</v>
      </c>
      <c r="P79" s="7">
        <f t="shared" si="14"/>
        <v>3349.6631965707288</v>
      </c>
      <c r="Q79" s="1">
        <f t="shared" si="15"/>
        <v>2645.4378444580525</v>
      </c>
      <c r="R79" s="1">
        <f t="shared" si="16"/>
        <v>3355.7868952847521</v>
      </c>
      <c r="S79" s="14">
        <f t="shared" si="19"/>
        <v>12694.42743417024</v>
      </c>
      <c r="T79" s="10">
        <f t="shared" si="20"/>
        <v>-1.1584669588046596E-2</v>
      </c>
      <c r="U79" s="14" t="str">
        <f t="shared" si="21"/>
        <v/>
      </c>
    </row>
    <row r="80" spans="1:21" s="1" customFormat="1" hidden="1" x14ac:dyDescent="0.25">
      <c r="A80" s="1" t="s">
        <v>136</v>
      </c>
      <c r="B80" s="1" t="s">
        <v>137</v>
      </c>
      <c r="C80" s="1" t="s">
        <v>138</v>
      </c>
      <c r="D80" s="6">
        <v>4.1099999999999998E-2</v>
      </c>
      <c r="E80" s="1">
        <v>0.214</v>
      </c>
      <c r="F80" s="1">
        <v>25.4194</v>
      </c>
      <c r="G80" s="1">
        <v>8.48</v>
      </c>
      <c r="H80" s="1">
        <v>8.48</v>
      </c>
      <c r="I80" s="1">
        <v>0</v>
      </c>
      <c r="J80" s="1">
        <v>8.68</v>
      </c>
      <c r="K80" s="9">
        <f t="shared" si="11"/>
        <v>25.64</v>
      </c>
      <c r="L80" s="20">
        <f t="shared" si="17"/>
        <v>1.0086784109774425</v>
      </c>
      <c r="M80" s="14" t="str">
        <f t="shared" si="18"/>
        <v/>
      </c>
      <c r="N80" s="7">
        <f t="shared" si="12"/>
        <v>9964.4845158761273</v>
      </c>
      <c r="O80" s="7">
        <f t="shared" si="13"/>
        <v>3324.1865934927482</v>
      </c>
      <c r="P80" s="7">
        <f t="shared" si="14"/>
        <v>3324.1865934927482</v>
      </c>
      <c r="Q80" s="1">
        <f t="shared" si="15"/>
        <v>0</v>
      </c>
      <c r="R80" s="1">
        <f t="shared" si="16"/>
        <v>3402.5872206977651</v>
      </c>
      <c r="S80" s="14">
        <f t="shared" si="19"/>
        <v>10050.960407683262</v>
      </c>
      <c r="T80" s="10">
        <f t="shared" si="20"/>
        <v>-8.6784109774424561E-3</v>
      </c>
      <c r="U80" s="14" t="str">
        <f t="shared" si="21"/>
        <v/>
      </c>
    </row>
    <row r="81" spans="1:21" s="1" customFormat="1" hidden="1" x14ac:dyDescent="0.25">
      <c r="A81" s="1" t="s">
        <v>139</v>
      </c>
      <c r="B81" s="1" t="s">
        <v>140</v>
      </c>
      <c r="C81" s="1" t="s">
        <v>141</v>
      </c>
      <c r="D81" s="6">
        <v>0.11749999999999999</v>
      </c>
      <c r="E81" s="1">
        <v>0.10349999999999999</v>
      </c>
      <c r="F81" s="1">
        <v>27.89</v>
      </c>
      <c r="G81" s="1">
        <v>7.39</v>
      </c>
      <c r="H81" s="1">
        <v>7.35</v>
      </c>
      <c r="I81" s="1">
        <v>6.5</v>
      </c>
      <c r="J81" s="1">
        <v>7.37</v>
      </c>
      <c r="K81" s="9">
        <f t="shared" si="11"/>
        <v>28.61</v>
      </c>
      <c r="L81" s="20">
        <f t="shared" si="17"/>
        <v>1.0258157045536034</v>
      </c>
      <c r="M81" s="14" t="str">
        <f t="shared" si="18"/>
        <v/>
      </c>
      <c r="N81" s="7">
        <f t="shared" si="12"/>
        <v>12619.909502262444</v>
      </c>
      <c r="O81" s="7">
        <f t="shared" si="13"/>
        <v>3343.8914027149322</v>
      </c>
      <c r="P81" s="7">
        <f t="shared" si="14"/>
        <v>3325.7918552036203</v>
      </c>
      <c r="Q81" s="1">
        <f t="shared" si="15"/>
        <v>2941.1764705882356</v>
      </c>
      <c r="R81" s="1">
        <f t="shared" si="16"/>
        <v>3334.841628959276</v>
      </c>
      <c r="S81" s="14">
        <f t="shared" si="19"/>
        <v>12945.701357466063</v>
      </c>
      <c r="T81" s="10">
        <f t="shared" si="20"/>
        <v>-2.5815704553603366E-2</v>
      </c>
      <c r="U81" s="14" t="str">
        <f t="shared" si="21"/>
        <v/>
      </c>
    </row>
    <row r="82" spans="1:21" s="1" customFormat="1" hidden="1" x14ac:dyDescent="0.25">
      <c r="A82" s="1" t="s">
        <v>139</v>
      </c>
      <c r="B82" s="1" t="s">
        <v>140</v>
      </c>
      <c r="C82" s="1" t="s">
        <v>142</v>
      </c>
      <c r="D82" s="6">
        <v>0.12670000000000001</v>
      </c>
      <c r="E82" s="1">
        <v>0.1101</v>
      </c>
      <c r="F82" s="1">
        <v>80.81</v>
      </c>
      <c r="G82" s="1">
        <v>7.95</v>
      </c>
      <c r="H82" s="1">
        <v>7.98</v>
      </c>
      <c r="I82" s="1">
        <v>53.44</v>
      </c>
      <c r="J82" s="1">
        <v>8.01</v>
      </c>
      <c r="K82" s="9">
        <f t="shared" si="11"/>
        <v>77.38000000000001</v>
      </c>
      <c r="L82" s="20">
        <f t="shared" si="17"/>
        <v>0.95755475807449586</v>
      </c>
      <c r="M82" s="14" t="str">
        <f t="shared" si="18"/>
        <v/>
      </c>
      <c r="N82" s="7">
        <f t="shared" si="12"/>
        <v>34125.844594594593</v>
      </c>
      <c r="O82" s="7">
        <f t="shared" si="13"/>
        <v>3357.2635135135138</v>
      </c>
      <c r="P82" s="7">
        <f t="shared" si="14"/>
        <v>3369.9324324324325</v>
      </c>
      <c r="Q82" s="1">
        <f t="shared" si="15"/>
        <v>22567.567567567567</v>
      </c>
      <c r="R82" s="1">
        <f t="shared" si="16"/>
        <v>3382.6013513513508</v>
      </c>
      <c r="S82" s="14">
        <f t="shared" si="19"/>
        <v>32677.364864864863</v>
      </c>
      <c r="T82" s="10">
        <f t="shared" si="20"/>
        <v>4.2445241925504279E-2</v>
      </c>
      <c r="U82" s="14" t="str">
        <f t="shared" si="21"/>
        <v/>
      </c>
    </row>
    <row r="83" spans="1:21" s="1" customFormat="1" hidden="1" x14ac:dyDescent="0.25">
      <c r="A83" s="1" t="s">
        <v>139</v>
      </c>
      <c r="B83" s="1" t="s">
        <v>140</v>
      </c>
      <c r="C83" s="1" t="s">
        <v>143</v>
      </c>
      <c r="D83" s="6">
        <v>0.1012</v>
      </c>
      <c r="E83" s="1">
        <v>0.95569999999999999</v>
      </c>
      <c r="F83" s="1">
        <v>42.359099999999998</v>
      </c>
      <c r="G83" s="1">
        <v>21.35</v>
      </c>
      <c r="H83" s="1">
        <v>21.32</v>
      </c>
      <c r="I83" s="1">
        <v>0</v>
      </c>
      <c r="J83" s="1">
        <v>0</v>
      </c>
      <c r="K83" s="9">
        <f t="shared" si="11"/>
        <v>42.67</v>
      </c>
      <c r="L83" s="20">
        <f t="shared" si="17"/>
        <v>1.0073396271403312</v>
      </c>
      <c r="M83" s="14" t="str">
        <f t="shared" si="18"/>
        <v/>
      </c>
      <c r="N83" s="7">
        <f t="shared" si="12"/>
        <v>4007.8626170877092</v>
      </c>
      <c r="O83" s="7">
        <f t="shared" si="13"/>
        <v>2020.0586621250832</v>
      </c>
      <c r="P83" s="7">
        <f t="shared" si="14"/>
        <v>2017.2201722017221</v>
      </c>
      <c r="Q83" s="1">
        <f t="shared" si="15"/>
        <v>0</v>
      </c>
      <c r="R83" s="1">
        <f t="shared" si="16"/>
        <v>0</v>
      </c>
      <c r="S83" s="14">
        <f t="shared" si="19"/>
        <v>4037.2788343268053</v>
      </c>
      <c r="T83" s="10">
        <f t="shared" si="20"/>
        <v>-7.3396271403312827E-3</v>
      </c>
      <c r="U83" s="14" t="str">
        <f t="shared" si="21"/>
        <v/>
      </c>
    </row>
    <row r="84" spans="1:21" s="1" customFormat="1" hidden="1" x14ac:dyDescent="0.25">
      <c r="A84" s="1" t="s">
        <v>144</v>
      </c>
      <c r="B84" s="1" t="s">
        <v>145</v>
      </c>
      <c r="C84" s="1" t="s">
        <v>146</v>
      </c>
      <c r="D84" s="6">
        <v>1.89E-2</v>
      </c>
      <c r="E84" s="1">
        <v>0.2959</v>
      </c>
      <c r="F84" s="1">
        <v>248.48</v>
      </c>
      <c r="G84" s="1">
        <v>11.68</v>
      </c>
      <c r="H84" s="1">
        <v>11.87</v>
      </c>
      <c r="I84" s="1">
        <v>190.36</v>
      </c>
      <c r="J84" s="1">
        <v>11.64</v>
      </c>
      <c r="K84" s="9">
        <f t="shared" si="11"/>
        <v>225.55</v>
      </c>
      <c r="L84" s="20">
        <f t="shared" si="17"/>
        <v>0.90771893110109469</v>
      </c>
      <c r="M84" s="14" t="str">
        <f t="shared" si="18"/>
        <v/>
      </c>
      <c r="N84" s="7">
        <f t="shared" si="12"/>
        <v>78932.655654383751</v>
      </c>
      <c r="O84" s="7">
        <f t="shared" si="13"/>
        <v>3710.2922490470141</v>
      </c>
      <c r="P84" s="7">
        <f t="shared" si="14"/>
        <v>3770.6480304955526</v>
      </c>
      <c r="Q84" s="1">
        <f t="shared" si="15"/>
        <v>60470.139771283371</v>
      </c>
      <c r="R84" s="1">
        <f t="shared" si="16"/>
        <v>3697.5857687420594</v>
      </c>
      <c r="S84" s="14">
        <f t="shared" si="19"/>
        <v>71648.665819568007</v>
      </c>
      <c r="T84" s="10">
        <f t="shared" si="20"/>
        <v>9.228106889890518E-2</v>
      </c>
      <c r="U84" s="14" t="str">
        <f t="shared" si="21"/>
        <v/>
      </c>
    </row>
    <row r="85" spans="1:21" s="1" customFormat="1" hidden="1" x14ac:dyDescent="0.25">
      <c r="A85" s="1" t="s">
        <v>144</v>
      </c>
      <c r="B85" s="1" t="s">
        <v>145</v>
      </c>
      <c r="C85" s="1" t="s">
        <v>147</v>
      </c>
      <c r="D85" s="6">
        <v>1.8499999999999999E-2</v>
      </c>
      <c r="E85" s="1">
        <v>0.31040000000000001</v>
      </c>
      <c r="F85" s="1">
        <v>53.1</v>
      </c>
      <c r="G85" s="1">
        <v>10.94</v>
      </c>
      <c r="H85" s="1">
        <v>10.98</v>
      </c>
      <c r="I85" s="1">
        <v>17.489999999999998</v>
      </c>
      <c r="J85" s="1">
        <v>11</v>
      </c>
      <c r="K85" s="9">
        <f t="shared" si="11"/>
        <v>50.41</v>
      </c>
      <c r="L85" s="20">
        <f t="shared" si="17"/>
        <v>0.94934086629001879</v>
      </c>
      <c r="M85" s="14" t="str">
        <f t="shared" si="18"/>
        <v/>
      </c>
      <c r="N85" s="7">
        <f t="shared" si="12"/>
        <v>16144.724840377015</v>
      </c>
      <c r="O85" s="7">
        <f t="shared" si="13"/>
        <v>3326.2389784128914</v>
      </c>
      <c r="P85" s="7">
        <f t="shared" si="14"/>
        <v>3338.4007297050771</v>
      </c>
      <c r="Q85" s="1">
        <f t="shared" si="15"/>
        <v>5317.7257525083605</v>
      </c>
      <c r="R85" s="1">
        <f t="shared" si="16"/>
        <v>3344.4816053511699</v>
      </c>
      <c r="S85" s="14">
        <f t="shared" si="19"/>
        <v>15326.847065977499</v>
      </c>
      <c r="T85" s="10">
        <f t="shared" si="20"/>
        <v>5.0659133709981319E-2</v>
      </c>
      <c r="U85" s="14" t="str">
        <f t="shared" si="21"/>
        <v/>
      </c>
    </row>
    <row r="86" spans="1:21" s="1" customFormat="1" hidden="1" x14ac:dyDescent="0.25">
      <c r="A86" s="1" t="s">
        <v>144</v>
      </c>
      <c r="B86" s="1" t="s">
        <v>145</v>
      </c>
      <c r="C86" s="1" t="s">
        <v>148</v>
      </c>
      <c r="D86" s="6">
        <v>2.2800000000000001E-2</v>
      </c>
      <c r="E86" s="1">
        <v>0.27129999999999999</v>
      </c>
      <c r="F86" s="1">
        <v>21.32</v>
      </c>
      <c r="G86" s="1">
        <v>8.49</v>
      </c>
      <c r="H86" s="1">
        <v>8.8699999999999992</v>
      </c>
      <c r="I86" s="1">
        <v>0</v>
      </c>
      <c r="J86" s="1">
        <v>4.32</v>
      </c>
      <c r="K86" s="9">
        <f t="shared" si="11"/>
        <v>21.68</v>
      </c>
      <c r="L86" s="20">
        <f t="shared" si="17"/>
        <v>1.0168855534709194</v>
      </c>
      <c r="M86" s="14" t="str">
        <f t="shared" si="18"/>
        <v/>
      </c>
      <c r="N86" s="7">
        <f t="shared" si="12"/>
        <v>7249.2349540972473</v>
      </c>
      <c r="O86" s="7">
        <f t="shared" si="13"/>
        <v>2886.7732063923841</v>
      </c>
      <c r="P86" s="7">
        <f t="shared" si="14"/>
        <v>3015.9809588575313</v>
      </c>
      <c r="Q86" s="1">
        <f t="shared" si="15"/>
        <v>0</v>
      </c>
      <c r="R86" s="1">
        <f t="shared" si="16"/>
        <v>1468.8881332879976</v>
      </c>
      <c r="S86" s="14">
        <f t="shared" si="19"/>
        <v>7371.6422985379122</v>
      </c>
      <c r="T86" s="10">
        <f t="shared" si="20"/>
        <v>-1.6885553470919114E-2</v>
      </c>
      <c r="U86" s="14" t="str">
        <f t="shared" si="21"/>
        <v/>
      </c>
    </row>
    <row r="87" spans="1:21" s="1" customFormat="1" hidden="1" x14ac:dyDescent="0.25">
      <c r="A87" s="1" t="s">
        <v>144</v>
      </c>
      <c r="B87" s="1" t="s">
        <v>149</v>
      </c>
      <c r="C87" s="1" t="s">
        <v>150</v>
      </c>
      <c r="D87" s="6">
        <v>2.7900000000000001E-2</v>
      </c>
      <c r="E87" s="1">
        <v>0.33710000000000001</v>
      </c>
      <c r="F87" s="19">
        <v>79.89</v>
      </c>
      <c r="G87" s="1">
        <v>12.17</v>
      </c>
      <c r="H87" s="1">
        <v>12.18</v>
      </c>
      <c r="I87" s="1">
        <v>49.25</v>
      </c>
      <c r="J87" s="1">
        <v>12.14</v>
      </c>
      <c r="K87" s="9">
        <f t="shared" si="11"/>
        <v>85.74</v>
      </c>
      <c r="L87" s="20">
        <f t="shared" si="17"/>
        <v>1.0732256853173112</v>
      </c>
      <c r="M87" s="14" t="str">
        <f t="shared" si="18"/>
        <v/>
      </c>
      <c r="N87" s="7">
        <f t="shared" si="12"/>
        <v>21887.671232876713</v>
      </c>
      <c r="O87" s="7">
        <f t="shared" si="13"/>
        <v>3334.2465753424653</v>
      </c>
      <c r="P87" s="7">
        <f t="shared" si="14"/>
        <v>3336.9863013698628</v>
      </c>
      <c r="Q87" s="1">
        <f t="shared" si="15"/>
        <v>13493.150684931506</v>
      </c>
      <c r="R87" s="1">
        <f t="shared" si="16"/>
        <v>3326.027397260274</v>
      </c>
      <c r="S87" s="14">
        <f t="shared" si="19"/>
        <v>23490.410958904107</v>
      </c>
      <c r="T87" s="10">
        <f t="shared" si="20"/>
        <v>-7.3225685317311134E-2</v>
      </c>
      <c r="U87" s="14" t="str">
        <f t="shared" si="21"/>
        <v/>
      </c>
    </row>
    <row r="88" spans="1:21" s="1" customFormat="1" hidden="1" x14ac:dyDescent="0.25">
      <c r="A88" s="1" t="s">
        <v>144</v>
      </c>
      <c r="B88" s="1" t="s">
        <v>151</v>
      </c>
      <c r="C88" s="1" t="s">
        <v>152</v>
      </c>
      <c r="D88" s="6">
        <v>0.14369999999999999</v>
      </c>
      <c r="E88" s="1">
        <v>0.14910000000000001</v>
      </c>
      <c r="F88" s="1">
        <v>61.19</v>
      </c>
      <c r="G88" s="1">
        <v>9.8699999999999992</v>
      </c>
      <c r="H88" s="1">
        <v>9.99</v>
      </c>
      <c r="I88" s="1">
        <v>28.84</v>
      </c>
      <c r="J88" s="1">
        <v>9.93</v>
      </c>
      <c r="K88" s="9">
        <f t="shared" si="11"/>
        <v>58.63</v>
      </c>
      <c r="L88" s="20">
        <f t="shared" si="17"/>
        <v>0.95816309854551407</v>
      </c>
      <c r="M88" s="14" t="str">
        <f t="shared" si="18"/>
        <v/>
      </c>
      <c r="N88" s="7">
        <f t="shared" si="12"/>
        <v>20898.224043715847</v>
      </c>
      <c r="O88" s="7">
        <f t="shared" si="13"/>
        <v>3370.9016393442616</v>
      </c>
      <c r="P88" s="7">
        <f t="shared" si="14"/>
        <v>3411.8852459016393</v>
      </c>
      <c r="Q88" s="1">
        <f t="shared" si="15"/>
        <v>9849.7267759562837</v>
      </c>
      <c r="R88" s="1">
        <f t="shared" si="16"/>
        <v>3391.3934426229512</v>
      </c>
      <c r="S88" s="14">
        <f t="shared" si="19"/>
        <v>20023.907103825135</v>
      </c>
      <c r="T88" s="10">
        <f t="shared" si="20"/>
        <v>4.1836901454486111E-2</v>
      </c>
      <c r="U88" s="14" t="str">
        <f t="shared" si="21"/>
        <v/>
      </c>
    </row>
    <row r="89" spans="1:21" s="1" customFormat="1" hidden="1" x14ac:dyDescent="0.25">
      <c r="A89" s="1" t="s">
        <v>144</v>
      </c>
      <c r="B89" s="1" t="s">
        <v>151</v>
      </c>
      <c r="C89" s="1" t="s">
        <v>153</v>
      </c>
      <c r="D89" s="6">
        <v>0.18210000000000001</v>
      </c>
      <c r="E89" s="1">
        <v>8.7099999999999997E-2</v>
      </c>
      <c r="F89" s="1">
        <v>60.06</v>
      </c>
      <c r="G89" s="1">
        <v>9.02</v>
      </c>
      <c r="H89" s="1">
        <v>9.02</v>
      </c>
      <c r="I89" s="1">
        <v>32.19</v>
      </c>
      <c r="J89" s="1">
        <v>9.0399999999999991</v>
      </c>
      <c r="K89" s="9">
        <f t="shared" si="11"/>
        <v>59.269999999999996</v>
      </c>
      <c r="L89" s="20">
        <f t="shared" si="17"/>
        <v>0.98684648684648679</v>
      </c>
      <c r="M89" s="14" t="str">
        <f t="shared" si="18"/>
        <v/>
      </c>
      <c r="N89" s="7">
        <f t="shared" si="12"/>
        <v>22310.549777117387</v>
      </c>
      <c r="O89" s="7">
        <f t="shared" si="13"/>
        <v>3350.6686478454681</v>
      </c>
      <c r="P89" s="7">
        <f t="shared" si="14"/>
        <v>3350.6686478454681</v>
      </c>
      <c r="Q89" s="1">
        <f t="shared" si="15"/>
        <v>11957.652303120356</v>
      </c>
      <c r="R89" s="1">
        <f t="shared" si="16"/>
        <v>3358.0980683506682</v>
      </c>
      <c r="S89" s="14">
        <f t="shared" si="19"/>
        <v>22017.087667161959</v>
      </c>
      <c r="T89" s="10">
        <f t="shared" si="20"/>
        <v>1.315351315351335E-2</v>
      </c>
      <c r="U89" s="14" t="str">
        <f t="shared" si="21"/>
        <v/>
      </c>
    </row>
    <row r="90" spans="1:21" s="1" customFormat="1" hidden="1" x14ac:dyDescent="0.25">
      <c r="A90" s="1" t="s">
        <v>154</v>
      </c>
      <c r="B90" s="1" t="s">
        <v>155</v>
      </c>
      <c r="C90" s="1" t="s">
        <v>156</v>
      </c>
      <c r="D90" s="6">
        <v>0.56089999999999995</v>
      </c>
      <c r="E90" s="1">
        <v>2.0070999999999999</v>
      </c>
      <c r="F90" s="1">
        <v>216.69</v>
      </c>
      <c r="G90" s="1">
        <v>72.88</v>
      </c>
      <c r="H90" s="1">
        <v>72.59</v>
      </c>
      <c r="I90" s="1">
        <v>0</v>
      </c>
      <c r="J90" s="1">
        <v>52.44</v>
      </c>
      <c r="K90" s="9">
        <f t="shared" si="11"/>
        <v>197.91</v>
      </c>
      <c r="L90" s="20">
        <f t="shared" si="17"/>
        <v>0.91333241035580781</v>
      </c>
      <c r="M90" s="14" t="str">
        <f t="shared" si="18"/>
        <v/>
      </c>
      <c r="N90" s="7">
        <f t="shared" si="12"/>
        <v>8438.0841121495341</v>
      </c>
      <c r="O90" s="7">
        <f t="shared" si="13"/>
        <v>2838.0062305295951</v>
      </c>
      <c r="P90" s="7">
        <f t="shared" si="14"/>
        <v>2826.7133956386301</v>
      </c>
      <c r="Q90" s="1">
        <f t="shared" si="15"/>
        <v>0</v>
      </c>
      <c r="R90" s="1">
        <f t="shared" si="16"/>
        <v>2042.0560747663553</v>
      </c>
      <c r="S90" s="14">
        <f t="shared" si="19"/>
        <v>7706.7757009345805</v>
      </c>
      <c r="T90" s="10">
        <f t="shared" si="20"/>
        <v>8.6667589644192189E-2</v>
      </c>
      <c r="U90" s="14" t="str">
        <f t="shared" si="21"/>
        <v/>
      </c>
    </row>
    <row r="91" spans="1:21" s="1" customFormat="1" hidden="1" x14ac:dyDescent="0.25">
      <c r="A91" s="1" t="s">
        <v>157</v>
      </c>
      <c r="B91" s="1" t="s">
        <v>158</v>
      </c>
      <c r="C91" s="1" t="s">
        <v>159</v>
      </c>
      <c r="D91" s="6">
        <v>9.2999999999999992E-3</v>
      </c>
      <c r="E91" s="1">
        <v>0.13639999999999999</v>
      </c>
      <c r="F91" s="19">
        <v>108.26</v>
      </c>
      <c r="G91" s="1">
        <v>6.8</v>
      </c>
      <c r="H91" s="1">
        <v>6.79</v>
      </c>
      <c r="I91" s="1">
        <v>84.59</v>
      </c>
      <c r="J91" s="1">
        <v>7</v>
      </c>
      <c r="K91" s="9">
        <f t="shared" si="11"/>
        <v>105.18</v>
      </c>
      <c r="L91" s="20">
        <f t="shared" si="17"/>
        <v>0.97154997228893403</v>
      </c>
      <c r="M91" s="14" t="str">
        <f t="shared" si="18"/>
        <v/>
      </c>
      <c r="N91" s="7">
        <f t="shared" si="12"/>
        <v>74303.363074811263</v>
      </c>
      <c r="O91" s="7">
        <f t="shared" si="13"/>
        <v>4667.1242278654772</v>
      </c>
      <c r="P91" s="7">
        <f t="shared" si="14"/>
        <v>4660.2608098833225</v>
      </c>
      <c r="Q91" s="1">
        <f t="shared" si="15"/>
        <v>58057.652711050105</v>
      </c>
      <c r="R91" s="1">
        <f t="shared" si="16"/>
        <v>4804.3925875085797</v>
      </c>
      <c r="S91" s="14">
        <f t="shared" si="19"/>
        <v>72189.430336307487</v>
      </c>
      <c r="T91" s="10">
        <f t="shared" si="20"/>
        <v>2.8450027711065962E-2</v>
      </c>
      <c r="U91" s="14" t="str">
        <f t="shared" si="21"/>
        <v/>
      </c>
    </row>
    <row r="92" spans="1:21" s="1" customFormat="1" hidden="1" x14ac:dyDescent="0.25">
      <c r="A92" s="1" t="s">
        <v>157</v>
      </c>
      <c r="B92" s="1" t="s">
        <v>158</v>
      </c>
      <c r="C92" s="1" t="s">
        <v>160</v>
      </c>
      <c r="D92" s="6">
        <v>8.8000000000000005E-3</v>
      </c>
      <c r="E92" s="1">
        <v>0.1081</v>
      </c>
      <c r="F92" s="1">
        <v>433.94</v>
      </c>
      <c r="G92" s="1">
        <v>14.82</v>
      </c>
      <c r="H92" s="1">
        <v>14.78</v>
      </c>
      <c r="I92" s="1">
        <v>373.12</v>
      </c>
      <c r="J92" s="1">
        <v>14.78</v>
      </c>
      <c r="K92" s="9">
        <f t="shared" si="11"/>
        <v>417.5</v>
      </c>
      <c r="L92" s="20">
        <f t="shared" si="17"/>
        <v>0.9621145780522653</v>
      </c>
      <c r="M92" s="14" t="str">
        <f t="shared" si="18"/>
        <v/>
      </c>
      <c r="N92" s="7">
        <f t="shared" si="12"/>
        <v>371206.15911035071</v>
      </c>
      <c r="O92" s="7">
        <f t="shared" si="13"/>
        <v>12677.502138579983</v>
      </c>
      <c r="P92" s="7">
        <f t="shared" si="14"/>
        <v>12643.28485885372</v>
      </c>
      <c r="Q92" s="1">
        <f t="shared" si="15"/>
        <v>319178.78528656968</v>
      </c>
      <c r="R92" s="1">
        <f t="shared" si="16"/>
        <v>12643.28485885372</v>
      </c>
      <c r="S92" s="14">
        <f t="shared" si="19"/>
        <v>357142.8571428571</v>
      </c>
      <c r="T92" s="10">
        <f t="shared" si="20"/>
        <v>3.7885421947734775E-2</v>
      </c>
      <c r="U92" s="14" t="str">
        <f t="shared" si="21"/>
        <v/>
      </c>
    </row>
    <row r="93" spans="1:21" s="1" customFormat="1" hidden="1" x14ac:dyDescent="0.25">
      <c r="A93" s="1" t="s">
        <v>161</v>
      </c>
      <c r="B93" s="1" t="s">
        <v>162</v>
      </c>
      <c r="C93" s="1" t="s">
        <v>163</v>
      </c>
      <c r="D93" s="6">
        <v>6.08E-2</v>
      </c>
      <c r="E93" s="1">
        <v>0.4073</v>
      </c>
      <c r="F93" s="1">
        <v>12.412000000000001</v>
      </c>
      <c r="G93" s="1">
        <v>6.24</v>
      </c>
      <c r="H93" s="1">
        <v>6.3</v>
      </c>
      <c r="I93" s="1">
        <v>0</v>
      </c>
      <c r="J93" s="1">
        <v>0</v>
      </c>
      <c r="K93" s="9">
        <f t="shared" si="11"/>
        <v>12.54</v>
      </c>
      <c r="L93" s="20">
        <f t="shared" si="17"/>
        <v>1.0103126007089911</v>
      </c>
      <c r="M93" s="14" t="str">
        <f t="shared" si="18"/>
        <v/>
      </c>
      <c r="N93" s="7">
        <f t="shared" si="12"/>
        <v>2651.5701773125402</v>
      </c>
      <c r="O93" s="7">
        <f t="shared" si="13"/>
        <v>1333.0484939115572</v>
      </c>
      <c r="P93" s="7">
        <f t="shared" si="14"/>
        <v>1345.8662678914761</v>
      </c>
      <c r="Q93" s="1">
        <f t="shared" si="15"/>
        <v>0</v>
      </c>
      <c r="R93" s="1">
        <f t="shared" si="16"/>
        <v>0</v>
      </c>
      <c r="S93" s="14">
        <f t="shared" si="19"/>
        <v>2678.9147618030333</v>
      </c>
      <c r="T93" s="10">
        <f t="shared" si="20"/>
        <v>-1.0312600708991176E-2</v>
      </c>
      <c r="U93" s="14" t="str">
        <f t="shared" si="21"/>
        <v/>
      </c>
    </row>
    <row r="94" spans="1:21" s="1" customFormat="1" hidden="1" x14ac:dyDescent="0.25">
      <c r="A94" s="1" t="s">
        <v>164</v>
      </c>
      <c r="B94" s="1" t="s">
        <v>165</v>
      </c>
      <c r="C94" s="1" t="s">
        <v>166</v>
      </c>
      <c r="D94" s="6">
        <v>8.5300000000000001E-2</v>
      </c>
      <c r="E94" s="1">
        <v>0.2009</v>
      </c>
      <c r="F94" s="1">
        <v>38.090000000000003</v>
      </c>
      <c r="G94" s="1">
        <v>9.59</v>
      </c>
      <c r="H94" s="1">
        <v>9.5500000000000007</v>
      </c>
      <c r="I94" s="1">
        <v>9.36</v>
      </c>
      <c r="J94" s="1">
        <v>9.6300000000000008</v>
      </c>
      <c r="K94" s="9">
        <f t="shared" si="11"/>
        <v>38.130000000000003</v>
      </c>
      <c r="L94" s="20">
        <f t="shared" si="17"/>
        <v>1.0010501443948543</v>
      </c>
      <c r="M94" s="14" t="str">
        <f t="shared" si="18"/>
        <v/>
      </c>
      <c r="N94" s="7">
        <f t="shared" si="12"/>
        <v>13308.874912648496</v>
      </c>
      <c r="O94" s="7">
        <f t="shared" si="13"/>
        <v>3350.803633822502</v>
      </c>
      <c r="P94" s="7">
        <f t="shared" si="14"/>
        <v>3336.8273934311674</v>
      </c>
      <c r="Q94" s="1">
        <f t="shared" si="15"/>
        <v>3270.4402515723268</v>
      </c>
      <c r="R94" s="1">
        <f t="shared" si="16"/>
        <v>3364.7798742138361</v>
      </c>
      <c r="S94" s="14">
        <f t="shared" si="19"/>
        <v>13322.851153039832</v>
      </c>
      <c r="T94" s="10">
        <f t="shared" si="20"/>
        <v>-1.0501443948543522E-3</v>
      </c>
      <c r="U94" s="14" t="str">
        <f t="shared" si="21"/>
        <v/>
      </c>
    </row>
    <row r="95" spans="1:21" s="1" customFormat="1" hidden="1" x14ac:dyDescent="0.25">
      <c r="A95" s="1" t="s">
        <v>164</v>
      </c>
      <c r="B95" s="1" t="s">
        <v>165</v>
      </c>
      <c r="C95" s="1" t="s">
        <v>167</v>
      </c>
      <c r="D95" s="6">
        <v>6.13E-2</v>
      </c>
      <c r="E95" s="1">
        <v>0.20119999999999999</v>
      </c>
      <c r="F95" s="1">
        <v>104.14</v>
      </c>
      <c r="G95" s="1">
        <v>8.99</v>
      </c>
      <c r="H95" s="1">
        <v>8.9700000000000006</v>
      </c>
      <c r="I95" s="1">
        <v>78.16</v>
      </c>
      <c r="J95" s="1">
        <v>9.0399999999999991</v>
      </c>
      <c r="K95" s="9">
        <f t="shared" si="11"/>
        <v>105.16</v>
      </c>
      <c r="L95" s="20">
        <f t="shared" si="17"/>
        <v>1.0097945073938928</v>
      </c>
      <c r="M95" s="14" t="str">
        <f t="shared" si="18"/>
        <v/>
      </c>
      <c r="N95" s="7">
        <f t="shared" si="12"/>
        <v>39672.380952380954</v>
      </c>
      <c r="O95" s="7">
        <f t="shared" si="13"/>
        <v>3424.7619047619046</v>
      </c>
      <c r="P95" s="7">
        <f t="shared" si="14"/>
        <v>3417.1428571428569</v>
      </c>
      <c r="Q95" s="1">
        <f t="shared" si="15"/>
        <v>29775.238095238092</v>
      </c>
      <c r="R95" s="1">
        <f t="shared" si="16"/>
        <v>3443.8095238095239</v>
      </c>
      <c r="S95" s="14">
        <f t="shared" si="19"/>
        <v>40060.952380952382</v>
      </c>
      <c r="T95" s="10">
        <f t="shared" si="20"/>
        <v>-9.7945073938928099E-3</v>
      </c>
      <c r="U95" s="14" t="str">
        <f t="shared" si="21"/>
        <v/>
      </c>
    </row>
    <row r="96" spans="1:21" s="1" customFormat="1" hidden="1" x14ac:dyDescent="0.25">
      <c r="A96" s="1" t="s">
        <v>168</v>
      </c>
      <c r="B96" s="1" t="s">
        <v>169</v>
      </c>
      <c r="C96" s="1" t="s">
        <v>170</v>
      </c>
      <c r="D96" s="6">
        <v>2.7199999999999998E-2</v>
      </c>
      <c r="E96" s="1">
        <v>0.13170000000000001</v>
      </c>
      <c r="F96" s="19">
        <v>42.83</v>
      </c>
      <c r="G96" s="1">
        <v>5.51</v>
      </c>
      <c r="H96" s="1">
        <v>5.52</v>
      </c>
      <c r="I96" s="1">
        <v>27.38</v>
      </c>
      <c r="J96" s="1">
        <v>5.5</v>
      </c>
      <c r="K96" s="9">
        <f t="shared" si="11"/>
        <v>43.91</v>
      </c>
      <c r="L96" s="20">
        <f t="shared" si="17"/>
        <v>1.0252159701144057</v>
      </c>
      <c r="M96" s="14" t="str">
        <f t="shared" si="18"/>
        <v/>
      </c>
      <c r="N96" s="7">
        <f t="shared" si="12"/>
        <v>26954.059156702322</v>
      </c>
      <c r="O96" s="7">
        <f t="shared" si="13"/>
        <v>3467.5896790434231</v>
      </c>
      <c r="P96" s="7">
        <f t="shared" si="14"/>
        <v>3473.8829452485829</v>
      </c>
      <c r="Q96" s="1">
        <f t="shared" si="15"/>
        <v>17230.962869729388</v>
      </c>
      <c r="R96" s="1">
        <f t="shared" si="16"/>
        <v>3461.2964128382628</v>
      </c>
      <c r="S96" s="14">
        <f t="shared" si="19"/>
        <v>27633.731906859659</v>
      </c>
      <c r="T96" s="10">
        <f t="shared" si="20"/>
        <v>-2.5215970114405989E-2</v>
      </c>
      <c r="U96" s="14" t="str">
        <f t="shared" si="21"/>
        <v/>
      </c>
    </row>
    <row r="97" spans="1:21" s="1" customFormat="1" hidden="1" x14ac:dyDescent="0.25">
      <c r="A97" s="1" t="s">
        <v>168</v>
      </c>
      <c r="B97" s="1" t="s">
        <v>169</v>
      </c>
      <c r="C97" s="1" t="s">
        <v>171</v>
      </c>
      <c r="D97" s="6">
        <v>3.0700000000000002E-2</v>
      </c>
      <c r="E97" s="1">
        <v>0.11219999999999999</v>
      </c>
      <c r="F97" s="1">
        <v>16.61</v>
      </c>
      <c r="G97" s="1">
        <v>4.8</v>
      </c>
      <c r="H97" s="1">
        <v>4.76</v>
      </c>
      <c r="I97" s="1">
        <v>3.36</v>
      </c>
      <c r="J97" s="1">
        <v>4.75</v>
      </c>
      <c r="K97" s="9">
        <f t="shared" si="11"/>
        <v>17.669999999999998</v>
      </c>
      <c r="L97" s="20">
        <f t="shared" si="17"/>
        <v>1.0638169777242623</v>
      </c>
      <c r="M97" s="14" t="str">
        <f t="shared" si="18"/>
        <v/>
      </c>
      <c r="N97" s="7">
        <f t="shared" si="12"/>
        <v>11623.512946116165</v>
      </c>
      <c r="O97" s="7">
        <f t="shared" si="13"/>
        <v>3358.992302309307</v>
      </c>
      <c r="P97" s="7">
        <f t="shared" si="14"/>
        <v>3331.0006997900628</v>
      </c>
      <c r="Q97" s="1">
        <f t="shared" si="15"/>
        <v>2351.2946116165149</v>
      </c>
      <c r="R97" s="1">
        <f t="shared" si="16"/>
        <v>3324.0027991602519</v>
      </c>
      <c r="S97" s="14">
        <f t="shared" si="19"/>
        <v>12365.290412876137</v>
      </c>
      <c r="T97" s="10">
        <f t="shared" si="20"/>
        <v>-6.3816977724262453E-2</v>
      </c>
      <c r="U97" s="14" t="str">
        <f t="shared" si="21"/>
        <v/>
      </c>
    </row>
    <row r="98" spans="1:21" s="1" customFormat="1" hidden="1" x14ac:dyDescent="0.25">
      <c r="A98" s="1" t="s">
        <v>168</v>
      </c>
      <c r="B98" s="1" t="s">
        <v>172</v>
      </c>
      <c r="C98" s="1" t="s">
        <v>173</v>
      </c>
      <c r="D98" s="6">
        <v>1.0999999999999999E-2</v>
      </c>
      <c r="E98" s="1">
        <v>0.1089</v>
      </c>
      <c r="F98" s="1">
        <v>71.34</v>
      </c>
      <c r="G98" s="1">
        <v>3.98</v>
      </c>
      <c r="H98" s="1">
        <v>3.99</v>
      </c>
      <c r="I98" s="1">
        <v>60.12</v>
      </c>
      <c r="J98" s="1">
        <v>4</v>
      </c>
      <c r="K98" s="9">
        <f t="shared" si="11"/>
        <v>72.09</v>
      </c>
      <c r="L98" s="20">
        <f t="shared" si="17"/>
        <v>1.0105130361648444</v>
      </c>
      <c r="M98" s="14" t="str">
        <f t="shared" si="18"/>
        <v/>
      </c>
      <c r="N98" s="7">
        <f t="shared" si="12"/>
        <v>59499.582985821522</v>
      </c>
      <c r="O98" s="7">
        <f t="shared" si="13"/>
        <v>3319.4328607172642</v>
      </c>
      <c r="P98" s="7">
        <f t="shared" si="14"/>
        <v>3327.7731442869062</v>
      </c>
      <c r="Q98" s="1">
        <f t="shared" si="15"/>
        <v>50141.784820683904</v>
      </c>
      <c r="R98" s="1">
        <f t="shared" si="16"/>
        <v>3336.1134278565473</v>
      </c>
      <c r="S98" s="14">
        <f t="shared" si="19"/>
        <v>60125.104253544618</v>
      </c>
      <c r="T98" s="10">
        <f t="shared" si="20"/>
        <v>-1.0513036164844289E-2</v>
      </c>
      <c r="U98" s="14" t="str">
        <f t="shared" si="21"/>
        <v/>
      </c>
    </row>
    <row r="99" spans="1:21" s="1" customFormat="1" hidden="1" x14ac:dyDescent="0.25">
      <c r="A99" s="1" t="s">
        <v>168</v>
      </c>
      <c r="B99" s="1" t="s">
        <v>174</v>
      </c>
      <c r="C99" s="1" t="s">
        <v>175</v>
      </c>
      <c r="D99" s="6">
        <v>2.1499999999999998E-2</v>
      </c>
      <c r="E99" s="1">
        <v>9.7100000000000006E-2</v>
      </c>
      <c r="F99" s="19">
        <v>259</v>
      </c>
      <c r="G99" s="1">
        <v>5.27</v>
      </c>
      <c r="H99" s="1">
        <v>5.33</v>
      </c>
      <c r="I99" s="1">
        <v>259</v>
      </c>
      <c r="J99" s="1">
        <v>5.33</v>
      </c>
      <c r="K99" s="9">
        <f t="shared" si="11"/>
        <v>274.93</v>
      </c>
      <c r="L99" s="20">
        <f t="shared" si="17"/>
        <v>1.0615057915057915</v>
      </c>
      <c r="M99" s="14" t="str">
        <f t="shared" si="18"/>
        <v/>
      </c>
      <c r="N99" s="7">
        <f t="shared" si="12"/>
        <v>218381.11298482289</v>
      </c>
      <c r="O99" s="7">
        <f t="shared" si="13"/>
        <v>4443.5075885328824</v>
      </c>
      <c r="P99" s="7">
        <f t="shared" si="14"/>
        <v>4494.0978077571663</v>
      </c>
      <c r="Q99" s="1">
        <f t="shared" si="15"/>
        <v>218381.11298482289</v>
      </c>
      <c r="R99" s="1">
        <f t="shared" si="16"/>
        <v>4494.0978077571663</v>
      </c>
      <c r="S99" s="14">
        <f t="shared" si="19"/>
        <v>231812.81618887011</v>
      </c>
      <c r="T99" s="10">
        <f t="shared" si="20"/>
        <v>-6.1505791505791559E-2</v>
      </c>
      <c r="U99" s="14" t="str">
        <f t="shared" si="21"/>
        <v/>
      </c>
    </row>
    <row r="100" spans="1:21" s="1" customFormat="1" hidden="1" x14ac:dyDescent="0.25">
      <c r="A100" s="1" t="s">
        <v>176</v>
      </c>
      <c r="B100" s="1" t="s">
        <v>177</v>
      </c>
      <c r="C100" s="1" t="s">
        <v>178</v>
      </c>
      <c r="D100" s="6">
        <v>3.5999999999999997E-2</v>
      </c>
      <c r="E100" s="1">
        <v>0.1293</v>
      </c>
      <c r="F100" s="1">
        <v>49.16</v>
      </c>
      <c r="G100" s="1">
        <v>5.53</v>
      </c>
      <c r="H100" s="1">
        <v>5.57</v>
      </c>
      <c r="I100" s="1">
        <v>33.26</v>
      </c>
      <c r="J100" s="1">
        <v>5.51</v>
      </c>
      <c r="K100" s="9">
        <f t="shared" si="11"/>
        <v>49.87</v>
      </c>
      <c r="L100" s="20">
        <f t="shared" si="17"/>
        <v>1.0144426362896664</v>
      </c>
      <c r="M100" s="14" t="str">
        <f t="shared" si="18"/>
        <v/>
      </c>
      <c r="N100" s="7">
        <f t="shared" si="12"/>
        <v>29739.866908650936</v>
      </c>
      <c r="O100" s="7">
        <f t="shared" si="13"/>
        <v>3345.4325468844522</v>
      </c>
      <c r="P100" s="7">
        <f t="shared" si="14"/>
        <v>3369.6309739866911</v>
      </c>
      <c r="Q100" s="1">
        <f t="shared" si="15"/>
        <v>20120.992135511191</v>
      </c>
      <c r="R100" s="1">
        <f t="shared" si="16"/>
        <v>3333.333333333333</v>
      </c>
      <c r="S100" s="14">
        <f t="shared" si="19"/>
        <v>30169.388989715666</v>
      </c>
      <c r="T100" s="10">
        <f t="shared" si="20"/>
        <v>-1.444263628966636E-2</v>
      </c>
      <c r="U100" s="14" t="str">
        <f t="shared" si="21"/>
        <v/>
      </c>
    </row>
    <row r="101" spans="1:21" s="8" customFormat="1" hidden="1" x14ac:dyDescent="0.25">
      <c r="A101" s="51" t="s">
        <v>176</v>
      </c>
      <c r="B101" s="51" t="s">
        <v>177</v>
      </c>
      <c r="C101" s="51" t="s">
        <v>179</v>
      </c>
      <c r="D101" s="52" t="s">
        <v>581</v>
      </c>
      <c r="E101" s="51"/>
      <c r="F101" s="51"/>
      <c r="G101" s="51"/>
      <c r="H101" s="51"/>
      <c r="I101" s="51"/>
      <c r="J101" s="51"/>
      <c r="K101" s="9">
        <f t="shared" si="11"/>
        <v>0</v>
      </c>
      <c r="L101" s="20" t="e">
        <f t="shared" si="17"/>
        <v>#DIV/0!</v>
      </c>
      <c r="M101" s="14" t="e">
        <f t="shared" si="18"/>
        <v>#DIV/0!</v>
      </c>
      <c r="N101" s="7" t="e">
        <f t="shared" si="12"/>
        <v>#VALUE!</v>
      </c>
      <c r="O101" s="7" t="e">
        <f t="shared" si="13"/>
        <v>#VALUE!</v>
      </c>
      <c r="P101" s="7" t="e">
        <f t="shared" si="14"/>
        <v>#VALUE!</v>
      </c>
      <c r="Q101" s="1" t="e">
        <f t="shared" si="15"/>
        <v>#VALUE!</v>
      </c>
      <c r="R101" s="1" t="e">
        <f t="shared" si="16"/>
        <v>#VALUE!</v>
      </c>
      <c r="S101" s="14" t="e">
        <f t="shared" si="19"/>
        <v>#VALUE!</v>
      </c>
      <c r="T101" s="10" t="e">
        <f t="shared" si="20"/>
        <v>#VALUE!</v>
      </c>
      <c r="U101" s="14" t="e">
        <f t="shared" si="21"/>
        <v>#VALUE!</v>
      </c>
    </row>
    <row r="102" spans="1:21" s="1" customFormat="1" hidden="1" x14ac:dyDescent="0.25">
      <c r="A102" s="1" t="s">
        <v>176</v>
      </c>
      <c r="B102" s="1" t="s">
        <v>177</v>
      </c>
      <c r="C102" s="1" t="s">
        <v>180</v>
      </c>
      <c r="D102" s="6">
        <v>3.0300000000000001E-2</v>
      </c>
      <c r="E102" s="1">
        <v>0.1371</v>
      </c>
      <c r="F102" s="1">
        <v>13.26</v>
      </c>
      <c r="G102" s="1">
        <v>4.66</v>
      </c>
      <c r="H102" s="1">
        <v>4.6500000000000004</v>
      </c>
      <c r="I102" s="1">
        <v>0</v>
      </c>
      <c r="J102" s="1">
        <v>4.66</v>
      </c>
      <c r="K102" s="9">
        <f t="shared" si="11"/>
        <v>13.97</v>
      </c>
      <c r="L102" s="20">
        <f t="shared" si="17"/>
        <v>1.0535444947209653</v>
      </c>
      <c r="M102" s="14" t="str">
        <f t="shared" si="18"/>
        <v/>
      </c>
      <c r="N102" s="7">
        <f t="shared" si="12"/>
        <v>7921.1469534050184</v>
      </c>
      <c r="O102" s="7">
        <f t="shared" si="13"/>
        <v>2783.7514934289129</v>
      </c>
      <c r="P102" s="7">
        <f t="shared" si="14"/>
        <v>2777.7777777777783</v>
      </c>
      <c r="Q102" s="1">
        <f t="shared" si="15"/>
        <v>0</v>
      </c>
      <c r="R102" s="1">
        <f t="shared" si="16"/>
        <v>2783.7514934289129</v>
      </c>
      <c r="S102" s="14">
        <f t="shared" si="19"/>
        <v>8345.280764635605</v>
      </c>
      <c r="T102" s="10">
        <f t="shared" si="20"/>
        <v>-5.3544494720965459E-2</v>
      </c>
      <c r="U102" s="14" t="str">
        <f t="shared" si="21"/>
        <v/>
      </c>
    </row>
    <row r="103" spans="1:21" s="1" customFormat="1" hidden="1" x14ac:dyDescent="0.25">
      <c r="A103" s="1" t="s">
        <v>176</v>
      </c>
      <c r="B103" s="1" t="s">
        <v>177</v>
      </c>
      <c r="C103" s="1" t="s">
        <v>181</v>
      </c>
      <c r="D103" s="6">
        <v>3.0599999999999999E-2</v>
      </c>
      <c r="E103" s="1">
        <v>0.1232</v>
      </c>
      <c r="F103" s="1">
        <v>40.380000000000003</v>
      </c>
      <c r="G103" s="1">
        <v>5.76</v>
      </c>
      <c r="H103" s="1">
        <v>5.79</v>
      </c>
      <c r="I103" s="1">
        <v>24.04</v>
      </c>
      <c r="J103" s="1">
        <v>5.74</v>
      </c>
      <c r="K103" s="9">
        <f t="shared" si="11"/>
        <v>41.330000000000005</v>
      </c>
      <c r="L103" s="20">
        <f t="shared" si="17"/>
        <v>1.0235264982664687</v>
      </c>
      <c r="M103" s="14" t="str">
        <f t="shared" si="18"/>
        <v/>
      </c>
      <c r="N103" s="7">
        <f t="shared" si="12"/>
        <v>26254.876462938886</v>
      </c>
      <c r="O103" s="7">
        <f t="shared" si="13"/>
        <v>3745.1235370611184</v>
      </c>
      <c r="P103" s="7">
        <f t="shared" si="14"/>
        <v>3764.6293888166456</v>
      </c>
      <c r="Q103" s="1">
        <f t="shared" si="15"/>
        <v>15630.689206762028</v>
      </c>
      <c r="R103" s="1">
        <f t="shared" si="16"/>
        <v>3732.1196358907678</v>
      </c>
      <c r="S103" s="14">
        <f t="shared" si="19"/>
        <v>26872.561768530562</v>
      </c>
      <c r="T103" s="10">
        <f t="shared" si="20"/>
        <v>-2.35264982664685E-2</v>
      </c>
      <c r="U103" s="14" t="str">
        <f t="shared" si="21"/>
        <v/>
      </c>
    </row>
    <row r="104" spans="1:21" s="1" customFormat="1" hidden="1" x14ac:dyDescent="0.25">
      <c r="A104" s="1" t="s">
        <v>182</v>
      </c>
      <c r="B104" s="1" t="s">
        <v>75</v>
      </c>
      <c r="C104" s="1" t="s">
        <v>183</v>
      </c>
      <c r="D104" s="6">
        <v>6.4999999999999997E-3</v>
      </c>
      <c r="E104" s="1">
        <v>4.7100000000000003E-2</v>
      </c>
      <c r="F104" s="1">
        <v>161.49</v>
      </c>
      <c r="G104" s="1">
        <v>4.88</v>
      </c>
      <c r="H104" s="1">
        <v>4.84</v>
      </c>
      <c r="I104" s="1">
        <v>150.63</v>
      </c>
      <c r="J104" s="1">
        <v>4.8899999999999997</v>
      </c>
      <c r="K104" s="9">
        <f t="shared" si="11"/>
        <v>165.23999999999998</v>
      </c>
      <c r="L104" s="20">
        <f t="shared" si="17"/>
        <v>1.0232212520899124</v>
      </c>
      <c r="M104" s="14" t="str">
        <f t="shared" si="18"/>
        <v/>
      </c>
      <c r="N104" s="7">
        <f t="shared" si="12"/>
        <v>301287.31343283586</v>
      </c>
      <c r="O104" s="7">
        <f t="shared" si="13"/>
        <v>9104.4776119402977</v>
      </c>
      <c r="P104" s="7">
        <f t="shared" si="14"/>
        <v>9029.8507462686557</v>
      </c>
      <c r="Q104" s="1">
        <f t="shared" si="15"/>
        <v>281026.11940298509</v>
      </c>
      <c r="R104" s="1">
        <f t="shared" si="16"/>
        <v>9123.1343283582082</v>
      </c>
      <c r="S104" s="14">
        <f t="shared" si="19"/>
        <v>308283.58208955225</v>
      </c>
      <c r="T104" s="10">
        <f t="shared" si="20"/>
        <v>-2.3221252089912596E-2</v>
      </c>
      <c r="U104" s="14" t="str">
        <f t="shared" si="21"/>
        <v/>
      </c>
    </row>
    <row r="105" spans="1:21" s="1" customFormat="1" hidden="1" x14ac:dyDescent="0.25">
      <c r="A105" s="1" t="s">
        <v>182</v>
      </c>
      <c r="B105" s="1" t="s">
        <v>75</v>
      </c>
      <c r="C105" s="1" t="s">
        <v>184</v>
      </c>
      <c r="D105" s="6">
        <v>9.1000000000000004E-3</v>
      </c>
      <c r="E105" s="1">
        <v>6.83E-2</v>
      </c>
      <c r="F105" s="19">
        <v>25.92</v>
      </c>
      <c r="G105" s="1">
        <v>2.6</v>
      </c>
      <c r="H105" s="1">
        <v>2.59</v>
      </c>
      <c r="I105" s="1">
        <v>18.559999999999999</v>
      </c>
      <c r="J105" s="1">
        <v>2.61</v>
      </c>
      <c r="K105" s="9">
        <f t="shared" si="11"/>
        <v>26.36</v>
      </c>
      <c r="L105" s="20">
        <f t="shared" si="17"/>
        <v>1.0169753086419753</v>
      </c>
      <c r="M105" s="14" t="str">
        <f t="shared" si="18"/>
        <v/>
      </c>
      <c r="N105" s="7">
        <f t="shared" si="12"/>
        <v>33488.372093023259</v>
      </c>
      <c r="O105" s="7">
        <f t="shared" si="13"/>
        <v>3359.1731266149873</v>
      </c>
      <c r="P105" s="7">
        <f t="shared" si="14"/>
        <v>3346.2532299741601</v>
      </c>
      <c r="Q105" s="1">
        <f t="shared" si="15"/>
        <v>23979.328165374674</v>
      </c>
      <c r="R105" s="1">
        <f t="shared" si="16"/>
        <v>3372.0930232558139</v>
      </c>
      <c r="S105" s="14">
        <f t="shared" si="19"/>
        <v>34056.847545219636</v>
      </c>
      <c r="T105" s="10">
        <f t="shared" si="20"/>
        <v>-1.6975308641975141E-2</v>
      </c>
      <c r="U105" s="14" t="str">
        <f t="shared" si="21"/>
        <v/>
      </c>
    </row>
    <row r="106" spans="1:21" s="1" customFormat="1" hidden="1" x14ac:dyDescent="0.25">
      <c r="A106" s="1" t="s">
        <v>182</v>
      </c>
      <c r="B106" s="1" t="s">
        <v>185</v>
      </c>
      <c r="C106" s="1" t="s">
        <v>186</v>
      </c>
      <c r="D106" s="6">
        <v>9.1000000000000004E-3</v>
      </c>
      <c r="E106" s="1">
        <v>6.3100000000000003E-2</v>
      </c>
      <c r="F106" s="1">
        <v>19.57</v>
      </c>
      <c r="G106" s="1">
        <v>2.4300000000000002</v>
      </c>
      <c r="H106" s="1">
        <v>2.42</v>
      </c>
      <c r="I106" s="1">
        <v>13.68</v>
      </c>
      <c r="J106" s="1">
        <v>2.4500000000000002</v>
      </c>
      <c r="K106" s="9">
        <f t="shared" si="11"/>
        <v>20.98</v>
      </c>
      <c r="L106" s="20">
        <f t="shared" si="17"/>
        <v>1.0720490546755237</v>
      </c>
      <c r="M106" s="14" t="str">
        <f t="shared" si="18"/>
        <v/>
      </c>
      <c r="N106" s="7">
        <f t="shared" si="12"/>
        <v>27105.26315789474</v>
      </c>
      <c r="O106" s="7">
        <f t="shared" si="13"/>
        <v>3365.6509695290856</v>
      </c>
      <c r="P106" s="7">
        <f t="shared" si="14"/>
        <v>3351.8005540166209</v>
      </c>
      <c r="Q106" s="1">
        <f t="shared" si="15"/>
        <v>18947.36842105263</v>
      </c>
      <c r="R106" s="1">
        <f t="shared" si="16"/>
        <v>3393.3518005540163</v>
      </c>
      <c r="S106" s="14">
        <f t="shared" si="19"/>
        <v>29058.171745152355</v>
      </c>
      <c r="T106" s="10">
        <f t="shared" si="20"/>
        <v>-7.2049054675523624E-2</v>
      </c>
      <c r="U106" s="14" t="str">
        <f t="shared" si="21"/>
        <v/>
      </c>
    </row>
    <row r="107" spans="1:21" s="1" customFormat="1" hidden="1" x14ac:dyDescent="0.25">
      <c r="A107" s="1" t="s">
        <v>182</v>
      </c>
      <c r="B107" s="1" t="s">
        <v>185</v>
      </c>
      <c r="C107" s="1" t="s">
        <v>187</v>
      </c>
      <c r="D107" s="6">
        <v>4.7999999999999996E-3</v>
      </c>
      <c r="E107" s="1">
        <v>5.67E-2</v>
      </c>
      <c r="F107" s="1">
        <v>46.25</v>
      </c>
      <c r="G107" s="1">
        <v>2.69</v>
      </c>
      <c r="H107" s="1">
        <v>2.71</v>
      </c>
      <c r="I107" s="1">
        <v>38.950000000000003</v>
      </c>
      <c r="J107" s="1">
        <v>2.71</v>
      </c>
      <c r="K107" s="9">
        <f t="shared" si="11"/>
        <v>47.06</v>
      </c>
      <c r="L107" s="20">
        <f t="shared" si="17"/>
        <v>1.0175135135135136</v>
      </c>
      <c r="M107" s="14" t="str">
        <f t="shared" si="18"/>
        <v/>
      </c>
      <c r="N107" s="7">
        <f t="shared" si="12"/>
        <v>75203.252032520322</v>
      </c>
      <c r="O107" s="7">
        <f t="shared" si="13"/>
        <v>4373.9837398373984</v>
      </c>
      <c r="P107" s="7">
        <f t="shared" si="14"/>
        <v>4406.5040650406499</v>
      </c>
      <c r="Q107" s="1">
        <f t="shared" si="15"/>
        <v>63333.333333333336</v>
      </c>
      <c r="R107" s="1">
        <f t="shared" si="16"/>
        <v>4406.5040650406499</v>
      </c>
      <c r="S107" s="14">
        <f t="shared" si="19"/>
        <v>76520.325203252025</v>
      </c>
      <c r="T107" s="10">
        <f t="shared" si="20"/>
        <v>-1.7513513513513452E-2</v>
      </c>
      <c r="U107" s="14" t="str">
        <f t="shared" si="21"/>
        <v/>
      </c>
    </row>
    <row r="108" spans="1:21" s="1" customFormat="1" hidden="1" x14ac:dyDescent="0.25">
      <c r="A108" s="1" t="s">
        <v>182</v>
      </c>
      <c r="B108" s="1" t="s">
        <v>185</v>
      </c>
      <c r="C108" s="1" t="s">
        <v>188</v>
      </c>
      <c r="D108" s="6">
        <v>7.1000000000000004E-3</v>
      </c>
      <c r="E108" s="1">
        <v>4.7399999999999998E-2</v>
      </c>
      <c r="F108" s="1">
        <v>34.72</v>
      </c>
      <c r="G108" s="1">
        <v>1.8</v>
      </c>
      <c r="H108" s="1">
        <v>1.81</v>
      </c>
      <c r="I108" s="1">
        <v>30.14</v>
      </c>
      <c r="J108" s="1">
        <v>1.82</v>
      </c>
      <c r="K108" s="9">
        <f t="shared" si="11"/>
        <v>35.57</v>
      </c>
      <c r="L108" s="20">
        <f t="shared" si="17"/>
        <v>1.0244815668202765</v>
      </c>
      <c r="M108" s="14" t="str">
        <f t="shared" si="18"/>
        <v/>
      </c>
      <c r="N108" s="7">
        <f t="shared" si="12"/>
        <v>63706.422018348618</v>
      </c>
      <c r="O108" s="7">
        <f t="shared" si="13"/>
        <v>3302.7522935779816</v>
      </c>
      <c r="P108" s="7">
        <f t="shared" si="14"/>
        <v>3321.1009174311926</v>
      </c>
      <c r="Q108" s="1">
        <f t="shared" si="15"/>
        <v>55302.752293577985</v>
      </c>
      <c r="R108" s="1">
        <f t="shared" si="16"/>
        <v>3339.4495412844035</v>
      </c>
      <c r="S108" s="14">
        <f t="shared" si="19"/>
        <v>65266.055045871566</v>
      </c>
      <c r="T108" s="10">
        <f t="shared" si="20"/>
        <v>-2.4481566820276697E-2</v>
      </c>
      <c r="U108" s="14" t="str">
        <f t="shared" si="21"/>
        <v/>
      </c>
    </row>
    <row r="109" spans="1:21" s="1" customFormat="1" hidden="1" x14ac:dyDescent="0.25">
      <c r="A109" s="1" t="s">
        <v>182</v>
      </c>
      <c r="B109" s="1" t="s">
        <v>185</v>
      </c>
      <c r="C109" s="1" t="s">
        <v>189</v>
      </c>
      <c r="D109" s="6">
        <v>8.8999999999999999E-3</v>
      </c>
      <c r="E109" s="1">
        <v>5.62E-2</v>
      </c>
      <c r="F109" s="1">
        <v>32.25</v>
      </c>
      <c r="G109" s="1">
        <v>2.25</v>
      </c>
      <c r="H109" s="1">
        <v>2.27</v>
      </c>
      <c r="I109" s="1">
        <v>26.38</v>
      </c>
      <c r="J109" s="1">
        <v>2.2799999999999998</v>
      </c>
      <c r="K109" s="9">
        <f t="shared" si="11"/>
        <v>33.18</v>
      </c>
      <c r="L109" s="20">
        <f t="shared" si="17"/>
        <v>1.0288372093023255</v>
      </c>
      <c r="M109" s="14" t="str">
        <f t="shared" si="18"/>
        <v/>
      </c>
      <c r="N109" s="7">
        <f t="shared" si="12"/>
        <v>49539.170506912436</v>
      </c>
      <c r="O109" s="7">
        <f t="shared" si="13"/>
        <v>3456.221198156682</v>
      </c>
      <c r="P109" s="7">
        <f t="shared" si="14"/>
        <v>3486.9431643625189</v>
      </c>
      <c r="Q109" s="1">
        <f t="shared" si="15"/>
        <v>40522.273425499225</v>
      </c>
      <c r="R109" s="1">
        <f t="shared" si="16"/>
        <v>3502.3041474654369</v>
      </c>
      <c r="S109" s="14">
        <f t="shared" si="19"/>
        <v>50967.741935483864</v>
      </c>
      <c r="T109" s="10">
        <f t="shared" si="20"/>
        <v>-2.8837209302325563E-2</v>
      </c>
      <c r="U109" s="14" t="str">
        <f t="shared" si="21"/>
        <v/>
      </c>
    </row>
    <row r="110" spans="1:21" s="1" customFormat="1" hidden="1" x14ac:dyDescent="0.25">
      <c r="A110" s="1" t="s">
        <v>182</v>
      </c>
      <c r="B110" s="1" t="s">
        <v>185</v>
      </c>
      <c r="C110" s="1" t="s">
        <v>190</v>
      </c>
      <c r="D110" s="6">
        <v>4.7000000000000002E-3</v>
      </c>
      <c r="E110" s="1">
        <v>6.1100000000000002E-2</v>
      </c>
      <c r="F110" s="1">
        <v>85.05</v>
      </c>
      <c r="G110" s="1">
        <v>8.23</v>
      </c>
      <c r="H110" s="1">
        <v>8.2200000000000006</v>
      </c>
      <c r="I110" s="1">
        <v>61.15</v>
      </c>
      <c r="J110" s="1">
        <v>8.2100000000000009</v>
      </c>
      <c r="K110" s="9">
        <f t="shared" si="11"/>
        <v>85.81</v>
      </c>
      <c r="L110" s="20">
        <f t="shared" si="17"/>
        <v>1.0089359200470311</v>
      </c>
      <c r="M110" s="14" t="str">
        <f t="shared" si="18"/>
        <v/>
      </c>
      <c r="N110" s="7">
        <f t="shared" si="12"/>
        <v>129255.31914893618</v>
      </c>
      <c r="O110" s="7">
        <f t="shared" si="13"/>
        <v>12507.59878419453</v>
      </c>
      <c r="P110" s="7">
        <f t="shared" si="14"/>
        <v>12492.401215805472</v>
      </c>
      <c r="Q110" s="1">
        <f t="shared" si="15"/>
        <v>92933.130699088142</v>
      </c>
      <c r="R110" s="1">
        <f t="shared" si="16"/>
        <v>12477.203647416416</v>
      </c>
      <c r="S110" s="14">
        <f t="shared" si="19"/>
        <v>130410.33434650456</v>
      </c>
      <c r="T110" s="10">
        <f t="shared" si="20"/>
        <v>-8.9359200470311168E-3</v>
      </c>
      <c r="U110" s="14" t="str">
        <f t="shared" si="21"/>
        <v/>
      </c>
    </row>
    <row r="111" spans="1:21" s="1" customFormat="1" hidden="1" x14ac:dyDescent="0.25">
      <c r="A111" s="1" t="s">
        <v>182</v>
      </c>
      <c r="B111" s="1" t="s">
        <v>185</v>
      </c>
      <c r="C111" s="1" t="s">
        <v>191</v>
      </c>
      <c r="D111" s="6">
        <v>9.1999999999999998E-3</v>
      </c>
      <c r="E111" s="1">
        <v>2.8899999999999999E-2</v>
      </c>
      <c r="F111" s="1">
        <v>28.14</v>
      </c>
      <c r="G111" s="1">
        <v>2.29</v>
      </c>
      <c r="H111" s="1">
        <v>2.25</v>
      </c>
      <c r="I111" s="1">
        <v>21.25</v>
      </c>
      <c r="J111" s="1">
        <v>2.27</v>
      </c>
      <c r="K111" s="9">
        <f t="shared" si="11"/>
        <v>28.06</v>
      </c>
      <c r="L111" s="20">
        <f t="shared" si="17"/>
        <v>0.99715707178393742</v>
      </c>
      <c r="M111" s="14" t="str">
        <f t="shared" si="18"/>
        <v/>
      </c>
      <c r="N111" s="7">
        <f t="shared" si="12"/>
        <v>73858.26771653544</v>
      </c>
      <c r="O111" s="7">
        <f t="shared" si="13"/>
        <v>6010.4986876640432</v>
      </c>
      <c r="P111" s="7">
        <f t="shared" si="14"/>
        <v>5905.5118110236226</v>
      </c>
      <c r="Q111" s="1">
        <f t="shared" si="15"/>
        <v>55774.278215223101</v>
      </c>
      <c r="R111" s="1">
        <f t="shared" si="16"/>
        <v>5958.0052493438334</v>
      </c>
      <c r="S111" s="14">
        <f t="shared" si="19"/>
        <v>73648.293963254589</v>
      </c>
      <c r="T111" s="10">
        <f t="shared" si="20"/>
        <v>2.8429282160626857E-3</v>
      </c>
      <c r="U111" s="14" t="str">
        <f t="shared" si="21"/>
        <v/>
      </c>
    </row>
    <row r="112" spans="1:21" s="1" customFormat="1" hidden="1" x14ac:dyDescent="0.25">
      <c r="A112" s="1" t="s">
        <v>182</v>
      </c>
      <c r="B112" s="1" t="s">
        <v>185</v>
      </c>
      <c r="C112" s="1" t="s">
        <v>192</v>
      </c>
      <c r="D112" s="6">
        <v>3.8999999999999998E-3</v>
      </c>
      <c r="E112" s="1">
        <v>4.3099999999999999E-2</v>
      </c>
      <c r="F112" s="1">
        <v>141.18</v>
      </c>
      <c r="G112" s="1">
        <v>5.79</v>
      </c>
      <c r="H112" s="1">
        <v>5.74</v>
      </c>
      <c r="I112" s="1">
        <v>125.03</v>
      </c>
      <c r="J112" s="1">
        <v>5.77</v>
      </c>
      <c r="K112" s="9">
        <f t="shared" si="11"/>
        <v>142.33000000000001</v>
      </c>
      <c r="L112" s="20">
        <f t="shared" si="17"/>
        <v>1.008145629692591</v>
      </c>
      <c r="M112" s="14" t="str">
        <f t="shared" si="18"/>
        <v/>
      </c>
      <c r="N112" s="7">
        <f t="shared" si="12"/>
        <v>300382.97872340429</v>
      </c>
      <c r="O112" s="7">
        <f t="shared" si="13"/>
        <v>12319.148936170213</v>
      </c>
      <c r="P112" s="7">
        <f t="shared" si="14"/>
        <v>12212.765957446809</v>
      </c>
      <c r="Q112" s="1">
        <f t="shared" si="15"/>
        <v>266021.27659574465</v>
      </c>
      <c r="R112" s="1">
        <f t="shared" si="16"/>
        <v>12276.59574468085</v>
      </c>
      <c r="S112" s="14">
        <f t="shared" si="19"/>
        <v>302829.78723404254</v>
      </c>
      <c r="T112" s="10">
        <f t="shared" si="20"/>
        <v>-8.1456296925908576E-3</v>
      </c>
      <c r="U112" s="14" t="str">
        <f t="shared" si="21"/>
        <v/>
      </c>
    </row>
    <row r="113" spans="1:21" s="1" customFormat="1" hidden="1" x14ac:dyDescent="0.25">
      <c r="A113" s="1" t="s">
        <v>182</v>
      </c>
      <c r="B113" s="1" t="s">
        <v>185</v>
      </c>
      <c r="C113" s="1" t="s">
        <v>193</v>
      </c>
      <c r="D113" s="6">
        <v>9.2999999999999992E-3</v>
      </c>
      <c r="E113" s="1">
        <v>5.04E-2</v>
      </c>
      <c r="F113" s="1">
        <v>22.99</v>
      </c>
      <c r="G113" s="1">
        <v>2.0699999999999998</v>
      </c>
      <c r="H113" s="1">
        <v>2.0699999999999998</v>
      </c>
      <c r="I113" s="1">
        <v>17.190000000000001</v>
      </c>
      <c r="J113" s="1">
        <v>2.06</v>
      </c>
      <c r="K113" s="9">
        <f t="shared" si="11"/>
        <v>23.39</v>
      </c>
      <c r="L113" s="20">
        <f t="shared" si="17"/>
        <v>1.0173988690735103</v>
      </c>
      <c r="M113" s="14" t="str">
        <f t="shared" si="18"/>
        <v/>
      </c>
      <c r="N113" s="7">
        <f t="shared" si="12"/>
        <v>38509.21273031825</v>
      </c>
      <c r="O113" s="7">
        <f t="shared" si="13"/>
        <v>3467.3366834170847</v>
      </c>
      <c r="P113" s="7">
        <f t="shared" si="14"/>
        <v>3467.3366834170847</v>
      </c>
      <c r="Q113" s="1">
        <f t="shared" si="15"/>
        <v>28793.96984924623</v>
      </c>
      <c r="R113" s="1">
        <f t="shared" si="16"/>
        <v>3450.5862646566165</v>
      </c>
      <c r="S113" s="14">
        <f t="shared" si="19"/>
        <v>39179.229480737013</v>
      </c>
      <c r="T113" s="10">
        <f t="shared" si="20"/>
        <v>-1.7398869073510289E-2</v>
      </c>
      <c r="U113" s="14" t="str">
        <f t="shared" si="21"/>
        <v/>
      </c>
    </row>
    <row r="114" spans="1:21" s="1" customFormat="1" hidden="1" x14ac:dyDescent="0.25">
      <c r="A114" s="1" t="s">
        <v>182</v>
      </c>
      <c r="B114" s="1" t="s">
        <v>185</v>
      </c>
      <c r="C114" s="1" t="s">
        <v>194</v>
      </c>
      <c r="D114" s="6">
        <v>3.0999999999999999E-3</v>
      </c>
      <c r="E114" s="1">
        <v>7.2099999999999997E-2</v>
      </c>
      <c r="F114" s="1">
        <v>16.18</v>
      </c>
      <c r="G114" s="1">
        <v>2.5</v>
      </c>
      <c r="H114" s="1">
        <v>2.5099999999999998</v>
      </c>
      <c r="I114" s="1">
        <v>9.89</v>
      </c>
      <c r="J114" s="1">
        <v>2.54</v>
      </c>
      <c r="K114" s="9">
        <f t="shared" si="11"/>
        <v>17.440000000000001</v>
      </c>
      <c r="L114" s="20">
        <f t="shared" si="17"/>
        <v>1.0778739184177999</v>
      </c>
      <c r="M114" s="14" t="str">
        <f t="shared" si="18"/>
        <v/>
      </c>
      <c r="N114" s="7">
        <f t="shared" si="12"/>
        <v>21515.957446808508</v>
      </c>
      <c r="O114" s="7">
        <f t="shared" si="13"/>
        <v>3324.4680851063827</v>
      </c>
      <c r="P114" s="7">
        <f t="shared" si="14"/>
        <v>3337.7659574468084</v>
      </c>
      <c r="Q114" s="1">
        <f t="shared" si="15"/>
        <v>13151.59574468085</v>
      </c>
      <c r="R114" s="1">
        <f t="shared" si="16"/>
        <v>3377.6595744680849</v>
      </c>
      <c r="S114" s="14">
        <f t="shared" si="19"/>
        <v>23191.489361702126</v>
      </c>
      <c r="T114" s="10">
        <f t="shared" si="20"/>
        <v>-7.7873918417799795E-2</v>
      </c>
      <c r="U114" s="14" t="str">
        <f t="shared" si="21"/>
        <v/>
      </c>
    </row>
    <row r="115" spans="1:21" s="1" customFormat="1" hidden="1" x14ac:dyDescent="0.25">
      <c r="A115" s="1" t="s">
        <v>195</v>
      </c>
      <c r="B115" s="1" t="s">
        <v>196</v>
      </c>
      <c r="C115" s="1" t="s">
        <v>197</v>
      </c>
      <c r="D115" s="6">
        <v>3.7900000000000003E-2</v>
      </c>
      <c r="E115" s="1">
        <v>0.29820000000000002</v>
      </c>
      <c r="F115" s="1">
        <v>20.04</v>
      </c>
      <c r="G115" s="1">
        <v>10.3</v>
      </c>
      <c r="H115" s="1">
        <v>10.25</v>
      </c>
      <c r="I115" s="1">
        <v>0</v>
      </c>
      <c r="J115" s="1">
        <v>0</v>
      </c>
      <c r="K115" s="9">
        <f t="shared" si="11"/>
        <v>20.55</v>
      </c>
      <c r="L115" s="20">
        <f t="shared" si="17"/>
        <v>1.0254491017964074</v>
      </c>
      <c r="M115" s="14" t="str">
        <f t="shared" si="18"/>
        <v/>
      </c>
      <c r="N115" s="7">
        <f t="shared" si="12"/>
        <v>5962.5111573936319</v>
      </c>
      <c r="O115" s="7">
        <f t="shared" si="13"/>
        <v>3064.5641178220767</v>
      </c>
      <c r="P115" s="7">
        <f t="shared" si="14"/>
        <v>3049.6875929782805</v>
      </c>
      <c r="Q115" s="1">
        <f t="shared" si="15"/>
        <v>0</v>
      </c>
      <c r="R115" s="1">
        <f t="shared" si="16"/>
        <v>0</v>
      </c>
      <c r="S115" s="14">
        <f t="shared" si="19"/>
        <v>6114.2517108003576</v>
      </c>
      <c r="T115" s="10">
        <f t="shared" si="20"/>
        <v>-2.5449101796407438E-2</v>
      </c>
      <c r="U115" s="14" t="str">
        <f t="shared" si="21"/>
        <v/>
      </c>
    </row>
    <row r="116" spans="1:21" s="1" customFormat="1" hidden="1" x14ac:dyDescent="0.25">
      <c r="A116" s="1" t="s">
        <v>195</v>
      </c>
      <c r="B116" s="1" t="s">
        <v>196</v>
      </c>
      <c r="C116" s="1" t="s">
        <v>198</v>
      </c>
      <c r="D116" s="6">
        <v>3.1600000000000003E-2</v>
      </c>
      <c r="E116" s="1">
        <v>0.25729999999999997</v>
      </c>
      <c r="F116" s="1">
        <v>56.09</v>
      </c>
      <c r="G116" s="1">
        <v>9.6300000000000008</v>
      </c>
      <c r="H116" s="1">
        <v>9.65</v>
      </c>
      <c r="I116" s="1">
        <v>27.63</v>
      </c>
      <c r="J116" s="1">
        <v>9.64</v>
      </c>
      <c r="K116" s="9">
        <f t="shared" si="11"/>
        <v>56.55</v>
      </c>
      <c r="L116" s="20">
        <f t="shared" si="17"/>
        <v>1.0082011053663753</v>
      </c>
      <c r="M116" s="14" t="str">
        <f t="shared" si="18"/>
        <v/>
      </c>
      <c r="N116" s="7">
        <f t="shared" si="12"/>
        <v>19415.022499134651</v>
      </c>
      <c r="O116" s="7">
        <f t="shared" si="13"/>
        <v>3333.3333333333335</v>
      </c>
      <c r="P116" s="7">
        <f t="shared" si="14"/>
        <v>3340.256143994462</v>
      </c>
      <c r="Q116" s="1">
        <f t="shared" si="15"/>
        <v>9563.8629283489099</v>
      </c>
      <c r="R116" s="1">
        <f t="shared" si="16"/>
        <v>3336.794738663898</v>
      </c>
      <c r="S116" s="14">
        <f t="shared" si="19"/>
        <v>19574.247144340603</v>
      </c>
      <c r="T116" s="10">
        <f t="shared" si="20"/>
        <v>-8.201105366375366E-3</v>
      </c>
      <c r="U116" s="14" t="str">
        <f t="shared" si="21"/>
        <v/>
      </c>
    </row>
    <row r="117" spans="1:21" s="1" customFormat="1" hidden="1" x14ac:dyDescent="0.25">
      <c r="A117" s="1" t="s">
        <v>199</v>
      </c>
      <c r="B117" s="1" t="s">
        <v>200</v>
      </c>
      <c r="C117" s="1" t="s">
        <v>201</v>
      </c>
      <c r="D117" s="6">
        <v>1.2699999999999999E-2</v>
      </c>
      <c r="E117" s="1">
        <v>9.1200000000000003E-2</v>
      </c>
      <c r="F117" s="19">
        <v>14.31</v>
      </c>
      <c r="G117" s="1">
        <v>3.75</v>
      </c>
      <c r="H117" s="1">
        <v>3.82</v>
      </c>
      <c r="I117" s="1">
        <v>3</v>
      </c>
      <c r="J117" s="19">
        <v>3.86</v>
      </c>
      <c r="K117" s="9">
        <f t="shared" si="11"/>
        <v>14.43</v>
      </c>
      <c r="L117" s="20">
        <f t="shared" si="17"/>
        <v>1.0083857442348008</v>
      </c>
      <c r="M117" s="14" t="str">
        <f t="shared" si="18"/>
        <v/>
      </c>
      <c r="N117" s="7">
        <f t="shared" si="12"/>
        <v>13772.858517805582</v>
      </c>
      <c r="O117" s="7">
        <f t="shared" si="13"/>
        <v>3609.2396535129928</v>
      </c>
      <c r="P117" s="7">
        <f t="shared" si="14"/>
        <v>3676.6121270452354</v>
      </c>
      <c r="Q117" s="1">
        <f t="shared" si="15"/>
        <v>2887.3917228103946</v>
      </c>
      <c r="R117" s="1">
        <f t="shared" si="16"/>
        <v>3715.1106833493741</v>
      </c>
      <c r="S117" s="14">
        <f t="shared" si="19"/>
        <v>13888.354186717997</v>
      </c>
      <c r="T117" s="10">
        <f t="shared" si="20"/>
        <v>-8.3857442348008234E-3</v>
      </c>
      <c r="U117" s="14" t="str">
        <f t="shared" si="21"/>
        <v/>
      </c>
    </row>
    <row r="118" spans="1:21" s="1" customFormat="1" hidden="1" x14ac:dyDescent="0.25">
      <c r="A118" s="1" t="s">
        <v>199</v>
      </c>
      <c r="B118" s="1" t="s">
        <v>202</v>
      </c>
      <c r="C118" s="1" t="s">
        <v>203</v>
      </c>
      <c r="D118" s="6">
        <v>3.39E-2</v>
      </c>
      <c r="E118" s="1">
        <v>0.10589999999999999</v>
      </c>
      <c r="F118" s="19">
        <v>6.8</v>
      </c>
      <c r="G118" s="1">
        <v>3.15</v>
      </c>
      <c r="H118" s="1">
        <v>3.18</v>
      </c>
      <c r="I118" s="19">
        <v>0</v>
      </c>
      <c r="J118" s="1">
        <v>0</v>
      </c>
      <c r="K118" s="9">
        <f t="shared" si="11"/>
        <v>6.33</v>
      </c>
      <c r="L118" s="20">
        <f t="shared" si="17"/>
        <v>0.93088235294117649</v>
      </c>
      <c r="M118" s="14" t="str">
        <f t="shared" si="18"/>
        <v/>
      </c>
      <c r="N118" s="7">
        <f t="shared" si="12"/>
        <v>4864.0915593705304</v>
      </c>
      <c r="O118" s="7">
        <f t="shared" si="13"/>
        <v>2253.2188841201719</v>
      </c>
      <c r="P118" s="7">
        <f t="shared" si="14"/>
        <v>2274.6781115879835</v>
      </c>
      <c r="Q118" s="1">
        <f t="shared" si="15"/>
        <v>0</v>
      </c>
      <c r="R118" s="1">
        <f t="shared" si="16"/>
        <v>0</v>
      </c>
      <c r="S118" s="14">
        <f t="shared" si="19"/>
        <v>4527.8969957081554</v>
      </c>
      <c r="T118" s="10">
        <f t="shared" si="20"/>
        <v>6.9117647058823548E-2</v>
      </c>
      <c r="U118" s="14" t="str">
        <f t="shared" si="21"/>
        <v/>
      </c>
    </row>
    <row r="119" spans="1:21" s="1" customFormat="1" hidden="1" x14ac:dyDescent="0.25">
      <c r="A119" s="1" t="s">
        <v>199</v>
      </c>
      <c r="B119" s="1" t="s">
        <v>204</v>
      </c>
      <c r="C119" s="1" t="s">
        <v>205</v>
      </c>
      <c r="D119" s="6">
        <v>1.5100000000000001E-2</v>
      </c>
      <c r="E119" s="1">
        <v>0.1111</v>
      </c>
      <c r="F119" s="1">
        <v>107.55</v>
      </c>
      <c r="G119" s="1">
        <v>4.2</v>
      </c>
      <c r="H119" s="1">
        <v>4.2</v>
      </c>
      <c r="I119" s="19">
        <v>94.66</v>
      </c>
      <c r="J119" s="1">
        <v>4.21</v>
      </c>
      <c r="K119" s="9">
        <f t="shared" si="11"/>
        <v>107.27</v>
      </c>
      <c r="L119" s="20">
        <f t="shared" si="17"/>
        <v>0.99739655973965591</v>
      </c>
      <c r="M119" s="14" t="str">
        <f t="shared" si="18"/>
        <v/>
      </c>
      <c r="N119" s="7">
        <f t="shared" si="12"/>
        <v>85221.870047543576</v>
      </c>
      <c r="O119" s="7">
        <f t="shared" si="13"/>
        <v>3328.0507131537242</v>
      </c>
      <c r="P119" s="7">
        <f t="shared" si="14"/>
        <v>3328.0507131537242</v>
      </c>
      <c r="Q119" s="1">
        <f t="shared" si="15"/>
        <v>75007.923930269404</v>
      </c>
      <c r="R119" s="1">
        <f t="shared" si="16"/>
        <v>3335.9746434231374</v>
      </c>
      <c r="S119" s="14">
        <f t="shared" si="19"/>
        <v>84999.999999999985</v>
      </c>
      <c r="T119" s="10">
        <f t="shared" si="20"/>
        <v>2.6034402603441337E-3</v>
      </c>
      <c r="U119" s="14" t="str">
        <f t="shared" si="21"/>
        <v/>
      </c>
    </row>
    <row r="120" spans="1:21" s="1" customFormat="1" hidden="1" x14ac:dyDescent="0.25">
      <c r="A120" s="1" t="s">
        <v>199</v>
      </c>
      <c r="B120" s="1" t="s">
        <v>204</v>
      </c>
      <c r="C120" s="1" t="s">
        <v>206</v>
      </c>
      <c r="D120" s="6">
        <v>3.1800000000000002E-2</v>
      </c>
      <c r="E120" s="1">
        <v>6.7799999999999999E-2</v>
      </c>
      <c r="F120" s="1">
        <v>63.65</v>
      </c>
      <c r="G120" s="1">
        <v>3.89</v>
      </c>
      <c r="H120" s="1">
        <v>3.93</v>
      </c>
      <c r="I120" s="19">
        <v>50.86</v>
      </c>
      <c r="J120" s="1">
        <v>3.92</v>
      </c>
      <c r="K120" s="9">
        <f t="shared" si="11"/>
        <v>62.6</v>
      </c>
      <c r="L120" s="20">
        <f t="shared" si="17"/>
        <v>0.98350353495679499</v>
      </c>
      <c r="M120" s="14" t="str">
        <f t="shared" si="18"/>
        <v/>
      </c>
      <c r="N120" s="7">
        <f t="shared" si="12"/>
        <v>63905.622489959846</v>
      </c>
      <c r="O120" s="7">
        <f t="shared" si="13"/>
        <v>3905.6224899598396</v>
      </c>
      <c r="P120" s="7">
        <f t="shared" si="14"/>
        <v>3945.7831325301208</v>
      </c>
      <c r="Q120" s="1">
        <f t="shared" si="15"/>
        <v>51064.25702811245</v>
      </c>
      <c r="R120" s="1">
        <f t="shared" si="16"/>
        <v>3935.7429718875501</v>
      </c>
      <c r="S120" s="14">
        <f t="shared" si="19"/>
        <v>62851.405622489961</v>
      </c>
      <c r="T120" s="10">
        <f t="shared" si="20"/>
        <v>1.6496465043205098E-2</v>
      </c>
      <c r="U120" s="14" t="str">
        <f t="shared" si="21"/>
        <v/>
      </c>
    </row>
    <row r="121" spans="1:21" s="1" customFormat="1" hidden="1" x14ac:dyDescent="0.25">
      <c r="A121" s="1" t="s">
        <v>199</v>
      </c>
      <c r="B121" s="1" t="s">
        <v>204</v>
      </c>
      <c r="C121" s="1" t="s">
        <v>207</v>
      </c>
      <c r="D121" s="6">
        <v>4.0800000000000003E-2</v>
      </c>
      <c r="E121" s="1">
        <v>7.1300000000000002E-2</v>
      </c>
      <c r="F121" s="1">
        <v>77.97</v>
      </c>
      <c r="G121" s="1">
        <v>4.05</v>
      </c>
      <c r="H121" s="1">
        <v>4.05</v>
      </c>
      <c r="I121" s="19">
        <v>63.34</v>
      </c>
      <c r="J121" s="1">
        <v>4.08</v>
      </c>
      <c r="K121" s="9">
        <f t="shared" si="11"/>
        <v>75.52</v>
      </c>
      <c r="L121" s="20">
        <f t="shared" si="17"/>
        <v>0.96857765807361806</v>
      </c>
      <c r="M121" s="14" t="str">
        <f t="shared" si="18"/>
        <v/>
      </c>
      <c r="N121" s="7">
        <f t="shared" si="12"/>
        <v>69553.969669937549</v>
      </c>
      <c r="O121" s="7">
        <f t="shared" si="13"/>
        <v>3612.845673505798</v>
      </c>
      <c r="P121" s="7">
        <f t="shared" si="14"/>
        <v>3612.845673505798</v>
      </c>
      <c r="Q121" s="1">
        <f t="shared" si="15"/>
        <v>56503.122212310438</v>
      </c>
      <c r="R121" s="1">
        <f t="shared" si="16"/>
        <v>3639.6074933095447</v>
      </c>
      <c r="S121" s="14">
        <f t="shared" si="19"/>
        <v>67368.421052631587</v>
      </c>
      <c r="T121" s="10">
        <f t="shared" si="20"/>
        <v>3.1422341926381728E-2</v>
      </c>
      <c r="U121" s="14" t="str">
        <f t="shared" si="21"/>
        <v/>
      </c>
    </row>
    <row r="122" spans="1:21" s="1" customFormat="1" hidden="1" x14ac:dyDescent="0.25">
      <c r="A122" s="1" t="s">
        <v>199</v>
      </c>
      <c r="B122" s="1" t="s">
        <v>204</v>
      </c>
      <c r="C122" s="1" t="s">
        <v>208</v>
      </c>
      <c r="D122" s="6">
        <v>3.85E-2</v>
      </c>
      <c r="E122" s="1">
        <v>3.9800000000000002E-2</v>
      </c>
      <c r="F122" s="1">
        <v>37.31</v>
      </c>
      <c r="G122" s="1">
        <v>3.72</v>
      </c>
      <c r="H122" s="1">
        <v>3.78</v>
      </c>
      <c r="I122" s="19">
        <v>25.66</v>
      </c>
      <c r="J122" s="1">
        <v>3.77</v>
      </c>
      <c r="K122" s="9">
        <f t="shared" si="11"/>
        <v>36.93</v>
      </c>
      <c r="L122" s="20">
        <f t="shared" si="17"/>
        <v>0.98981506298579458</v>
      </c>
      <c r="M122" s="14" t="str">
        <f t="shared" si="18"/>
        <v/>
      </c>
      <c r="N122" s="7">
        <f t="shared" si="12"/>
        <v>47650.063856960405</v>
      </c>
      <c r="O122" s="7">
        <f t="shared" si="13"/>
        <v>4750.9578544061296</v>
      </c>
      <c r="P122" s="7">
        <f t="shared" si="14"/>
        <v>4827.5862068965507</v>
      </c>
      <c r="Q122" s="1">
        <f t="shared" si="15"/>
        <v>32771.392081736907</v>
      </c>
      <c r="R122" s="1">
        <f t="shared" si="16"/>
        <v>4814.8148148148148</v>
      </c>
      <c r="S122" s="14">
        <f t="shared" si="19"/>
        <v>47164.750957854405</v>
      </c>
      <c r="T122" s="10">
        <f t="shared" si="20"/>
        <v>1.018493701420526E-2</v>
      </c>
      <c r="U122" s="14" t="str">
        <f t="shared" si="21"/>
        <v/>
      </c>
    </row>
    <row r="123" spans="1:21" s="1" customFormat="1" hidden="1" x14ac:dyDescent="0.25">
      <c r="A123" s="1" t="s">
        <v>199</v>
      </c>
      <c r="B123" s="1" t="s">
        <v>204</v>
      </c>
      <c r="C123" s="1" t="s">
        <v>209</v>
      </c>
      <c r="D123" s="6">
        <v>4.07E-2</v>
      </c>
      <c r="E123" s="1">
        <v>7.2099999999999997E-2</v>
      </c>
      <c r="F123" s="1">
        <v>55.03</v>
      </c>
      <c r="G123" s="1">
        <v>3.81</v>
      </c>
      <c r="H123" s="1">
        <v>3.84</v>
      </c>
      <c r="I123" s="19">
        <v>41.96</v>
      </c>
      <c r="J123" s="1">
        <v>3.81</v>
      </c>
      <c r="K123" s="9">
        <f t="shared" si="11"/>
        <v>53.42</v>
      </c>
      <c r="L123" s="20">
        <f t="shared" si="17"/>
        <v>0.97074323096492821</v>
      </c>
      <c r="M123" s="14" t="str">
        <f t="shared" si="18"/>
        <v/>
      </c>
      <c r="N123" s="7">
        <f t="shared" si="12"/>
        <v>48785.460992907807</v>
      </c>
      <c r="O123" s="7">
        <f t="shared" si="13"/>
        <v>3377.6595744680853</v>
      </c>
      <c r="P123" s="7">
        <f t="shared" si="14"/>
        <v>3404.255319148936</v>
      </c>
      <c r="Q123" s="1">
        <f t="shared" si="15"/>
        <v>37198.581560283688</v>
      </c>
      <c r="R123" s="1">
        <f t="shared" si="16"/>
        <v>3377.6595744680853</v>
      </c>
      <c r="S123" s="14">
        <f t="shared" si="19"/>
        <v>47358.156028368801</v>
      </c>
      <c r="T123" s="10">
        <f t="shared" si="20"/>
        <v>2.9256769035071746E-2</v>
      </c>
      <c r="U123" s="14" t="str">
        <f t="shared" si="21"/>
        <v/>
      </c>
    </row>
    <row r="124" spans="1:21" s="1" customFormat="1" hidden="1" x14ac:dyDescent="0.25">
      <c r="A124" s="1" t="s">
        <v>210</v>
      </c>
      <c r="B124" s="1" t="s">
        <v>211</v>
      </c>
      <c r="C124" s="1" t="s">
        <v>212</v>
      </c>
      <c r="D124" s="6">
        <v>3.2599999999999997E-2</v>
      </c>
      <c r="E124" s="1">
        <v>1.29E-2</v>
      </c>
      <c r="F124" s="1">
        <v>4.3569000000000004</v>
      </c>
      <c r="G124" s="1">
        <v>1.49</v>
      </c>
      <c r="H124" s="1">
        <v>1.45</v>
      </c>
      <c r="I124" s="1">
        <v>0</v>
      </c>
      <c r="J124" s="1">
        <v>1.42</v>
      </c>
      <c r="K124" s="9">
        <f t="shared" si="11"/>
        <v>4.3599999999999994</v>
      </c>
      <c r="L124" s="20">
        <f t="shared" si="17"/>
        <v>1.0007115150680528</v>
      </c>
      <c r="M124" s="14" t="str">
        <f t="shared" si="18"/>
        <v/>
      </c>
      <c r="N124" s="7">
        <f t="shared" si="12"/>
        <v>9575.6043956043959</v>
      </c>
      <c r="O124" s="7">
        <f t="shared" si="13"/>
        <v>3274.7252747252746</v>
      </c>
      <c r="P124" s="7">
        <f t="shared" si="14"/>
        <v>3186.8131868131868</v>
      </c>
      <c r="Q124" s="1">
        <f t="shared" si="15"/>
        <v>0</v>
      </c>
      <c r="R124" s="1">
        <f t="shared" si="16"/>
        <v>3120.8791208791208</v>
      </c>
      <c r="S124" s="14">
        <f t="shared" si="19"/>
        <v>9582.4175824175818</v>
      </c>
      <c r="T124" s="10">
        <f t="shared" si="20"/>
        <v>-7.1151506805287737E-4</v>
      </c>
      <c r="U124" s="14" t="str">
        <f t="shared" si="21"/>
        <v/>
      </c>
    </row>
    <row r="125" spans="1:21" s="1" customFormat="1" hidden="1" x14ac:dyDescent="0.25">
      <c r="A125" s="1" t="s">
        <v>210</v>
      </c>
      <c r="B125" s="1" t="s">
        <v>211</v>
      </c>
      <c r="C125" s="1" t="s">
        <v>213</v>
      </c>
      <c r="D125" s="6">
        <v>4.0099999999999997E-2</v>
      </c>
      <c r="E125" s="1">
        <v>0.2457</v>
      </c>
      <c r="F125" s="1">
        <v>6.2149000000000001</v>
      </c>
      <c r="G125" s="1">
        <v>3.09</v>
      </c>
      <c r="H125" s="19">
        <v>3.09</v>
      </c>
      <c r="J125" s="1">
        <v>0</v>
      </c>
      <c r="K125" s="9">
        <f t="shared" si="11"/>
        <v>6.18</v>
      </c>
      <c r="L125" s="20">
        <f t="shared" si="17"/>
        <v>0.99438446314502238</v>
      </c>
      <c r="M125" s="14" t="str">
        <f t="shared" si="18"/>
        <v/>
      </c>
      <c r="N125" s="7">
        <f t="shared" si="12"/>
        <v>2174.5626312106369</v>
      </c>
      <c r="O125" s="7">
        <f t="shared" si="13"/>
        <v>1081.1756473058083</v>
      </c>
      <c r="P125" s="7">
        <f t="shared" si="14"/>
        <v>1081.1756473058083</v>
      </c>
      <c r="Q125" s="1">
        <f t="shared" si="15"/>
        <v>0</v>
      </c>
      <c r="R125" s="1">
        <f t="shared" si="16"/>
        <v>0</v>
      </c>
      <c r="S125" s="14">
        <f t="shared" si="19"/>
        <v>2162.3512946116166</v>
      </c>
      <c r="T125" s="10">
        <f t="shared" si="20"/>
        <v>5.6155368549775757E-3</v>
      </c>
      <c r="U125" s="14" t="str">
        <f t="shared" si="21"/>
        <v/>
      </c>
    </row>
    <row r="126" spans="1:21" s="1" customFormat="1" hidden="1" x14ac:dyDescent="0.25">
      <c r="A126" s="1" t="s">
        <v>214</v>
      </c>
      <c r="B126" s="1" t="s">
        <v>215</v>
      </c>
      <c r="C126" s="1" t="s">
        <v>216</v>
      </c>
      <c r="D126" s="6">
        <v>0.1123</v>
      </c>
      <c r="E126" s="1">
        <v>0.17199999999999999</v>
      </c>
      <c r="F126" s="1">
        <v>15.7171</v>
      </c>
      <c r="G126" s="1">
        <v>7.83</v>
      </c>
      <c r="H126" s="19">
        <v>7.88</v>
      </c>
      <c r="J126" s="1">
        <v>0</v>
      </c>
      <c r="K126" s="9">
        <f t="shared" si="11"/>
        <v>15.71</v>
      </c>
      <c r="L126" s="20">
        <f t="shared" si="17"/>
        <v>0.99954826272022201</v>
      </c>
      <c r="M126" s="14" t="str">
        <f t="shared" si="18"/>
        <v/>
      </c>
      <c r="N126" s="7">
        <f t="shared" si="12"/>
        <v>5528.3503341540627</v>
      </c>
      <c r="O126" s="7">
        <f t="shared" si="13"/>
        <v>2754.1329581428067</v>
      </c>
      <c r="P126" s="7">
        <f t="shared" si="14"/>
        <v>2771.720014069645</v>
      </c>
      <c r="Q126" s="1">
        <f t="shared" si="15"/>
        <v>0</v>
      </c>
      <c r="R126" s="1">
        <f t="shared" si="16"/>
        <v>0</v>
      </c>
      <c r="S126" s="14">
        <f t="shared" si="19"/>
        <v>5525.8529722124513</v>
      </c>
      <c r="T126" s="10">
        <f t="shared" si="20"/>
        <v>4.5173727977815601E-4</v>
      </c>
      <c r="U126" s="14" t="str">
        <f t="shared" si="21"/>
        <v/>
      </c>
    </row>
    <row r="127" spans="1:21" s="1" customFormat="1" hidden="1" x14ac:dyDescent="0.25">
      <c r="A127" s="1" t="s">
        <v>217</v>
      </c>
      <c r="B127" s="1" t="s">
        <v>218</v>
      </c>
      <c r="C127" s="1" t="s">
        <v>219</v>
      </c>
      <c r="D127" s="6">
        <v>4.3900000000000002E-2</v>
      </c>
      <c r="E127" s="1">
        <v>5.1000000000000004E-3</v>
      </c>
      <c r="F127" s="1">
        <v>1080.5899999999999</v>
      </c>
      <c r="G127" s="1">
        <v>15.88</v>
      </c>
      <c r="H127" s="1">
        <v>15.89</v>
      </c>
      <c r="I127" s="1">
        <v>1037.6400000000001</v>
      </c>
      <c r="J127" s="1">
        <v>15.9</v>
      </c>
      <c r="K127" s="9">
        <f t="shared" si="11"/>
        <v>1085.3100000000002</v>
      </c>
      <c r="L127" s="20">
        <f t="shared" si="17"/>
        <v>1.0043679841568034</v>
      </c>
      <c r="M127" s="14" t="str">
        <f t="shared" si="18"/>
        <v/>
      </c>
      <c r="N127" s="7">
        <f t="shared" si="12"/>
        <v>2205285.7142857141</v>
      </c>
      <c r="O127" s="7">
        <f t="shared" si="13"/>
        <v>32408.163265306121</v>
      </c>
      <c r="P127" s="7">
        <f t="shared" si="14"/>
        <v>32428.571428571428</v>
      </c>
      <c r="Q127" s="1">
        <f t="shared" si="15"/>
        <v>2117632.6530612246</v>
      </c>
      <c r="R127" s="1">
        <f t="shared" si="16"/>
        <v>32448.979591836734</v>
      </c>
      <c r="S127" s="14">
        <f t="shared" si="19"/>
        <v>2214918.3673469387</v>
      </c>
      <c r="T127" s="10">
        <f t="shared" si="20"/>
        <v>-4.367984156803284E-3</v>
      </c>
      <c r="U127" s="14" t="str">
        <f t="shared" si="21"/>
        <v/>
      </c>
    </row>
    <row r="128" spans="1:21" s="1" customFormat="1" hidden="1" x14ac:dyDescent="0.25">
      <c r="A128" s="1" t="s">
        <v>217</v>
      </c>
      <c r="B128" s="1" t="s">
        <v>218</v>
      </c>
      <c r="C128" s="1" t="s">
        <v>220</v>
      </c>
      <c r="D128" s="6">
        <v>5.7299999999999997E-2</v>
      </c>
      <c r="E128" s="1">
        <v>1.72E-2</v>
      </c>
      <c r="F128" s="1">
        <v>61.75</v>
      </c>
      <c r="G128" s="1">
        <v>3.04</v>
      </c>
      <c r="H128" s="1">
        <v>3.03</v>
      </c>
      <c r="I128" s="1">
        <v>50.92</v>
      </c>
      <c r="J128" s="1">
        <v>3.08</v>
      </c>
      <c r="K128" s="9">
        <f t="shared" si="11"/>
        <v>60.07</v>
      </c>
      <c r="L128" s="20">
        <f t="shared" si="17"/>
        <v>0.9727935222672065</v>
      </c>
      <c r="M128" s="14" t="str">
        <f t="shared" si="18"/>
        <v/>
      </c>
      <c r="N128" s="7">
        <f t="shared" si="12"/>
        <v>82885.906040268455</v>
      </c>
      <c r="O128" s="7">
        <f t="shared" si="13"/>
        <v>4080.5369127516783</v>
      </c>
      <c r="P128" s="7">
        <f t="shared" si="14"/>
        <v>4067.1140939597317</v>
      </c>
      <c r="Q128" s="1">
        <f t="shared" si="15"/>
        <v>68348.993288590616</v>
      </c>
      <c r="R128" s="1">
        <f t="shared" si="16"/>
        <v>4134.2281879194634</v>
      </c>
      <c r="S128" s="14">
        <f t="shared" si="19"/>
        <v>80630.872483221494</v>
      </c>
      <c r="T128" s="10">
        <f t="shared" si="20"/>
        <v>2.7206477732793301E-2</v>
      </c>
      <c r="U128" s="14" t="str">
        <f t="shared" si="21"/>
        <v/>
      </c>
    </row>
    <row r="129" spans="1:21" s="1" customFormat="1" hidden="1" x14ac:dyDescent="0.25">
      <c r="A129" s="1" t="s">
        <v>217</v>
      </c>
      <c r="B129" s="1" t="s">
        <v>218</v>
      </c>
      <c r="C129" s="1" t="s">
        <v>221</v>
      </c>
      <c r="D129" s="6">
        <v>4.7E-2</v>
      </c>
      <c r="E129" s="1">
        <v>8.8999999999999999E-3</v>
      </c>
      <c r="F129" s="19">
        <v>25.99</v>
      </c>
      <c r="G129" s="1">
        <v>3.1E-2</v>
      </c>
      <c r="H129" s="1">
        <v>3.01</v>
      </c>
      <c r="I129" s="1">
        <v>20.86</v>
      </c>
      <c r="J129" s="1">
        <v>3</v>
      </c>
      <c r="K129" s="9">
        <f t="shared" si="11"/>
        <v>26.901</v>
      </c>
      <c r="L129" s="20">
        <f t="shared" si="17"/>
        <v>1.0350519430550211</v>
      </c>
      <c r="M129" s="14" t="str">
        <f t="shared" si="18"/>
        <v/>
      </c>
      <c r="N129" s="7">
        <f t="shared" si="12"/>
        <v>46493.738819320213</v>
      </c>
      <c r="O129" s="7">
        <f t="shared" si="13"/>
        <v>55.456171735241497</v>
      </c>
      <c r="P129" s="7">
        <f t="shared" si="14"/>
        <v>5384.6153846153848</v>
      </c>
      <c r="Q129" s="1">
        <f t="shared" si="15"/>
        <v>37316.636851520569</v>
      </c>
      <c r="R129" s="1">
        <f t="shared" si="16"/>
        <v>5366.7262969588555</v>
      </c>
      <c r="S129" s="14">
        <f t="shared" si="19"/>
        <v>48123.434704830048</v>
      </c>
      <c r="T129" s="10">
        <f t="shared" si="20"/>
        <v>-3.5051943055021066E-2</v>
      </c>
      <c r="U129" s="14" t="str">
        <f t="shared" si="21"/>
        <v/>
      </c>
    </row>
    <row r="130" spans="1:21" s="1" customFormat="1" hidden="1" x14ac:dyDescent="0.25">
      <c r="A130" s="1" t="s">
        <v>222</v>
      </c>
      <c r="B130" s="1" t="s">
        <v>223</v>
      </c>
      <c r="C130" s="1" t="s">
        <v>224</v>
      </c>
      <c r="D130" s="6">
        <v>3.9800000000000002E-2</v>
      </c>
      <c r="E130" s="1">
        <v>4.1099999999999998E-2</v>
      </c>
      <c r="F130" s="1">
        <v>18.8</v>
      </c>
      <c r="G130" s="1">
        <v>2.7</v>
      </c>
      <c r="H130" s="1">
        <v>2.69</v>
      </c>
      <c r="I130" s="1">
        <v>11.64</v>
      </c>
      <c r="J130" s="1">
        <v>1.7</v>
      </c>
      <c r="K130" s="9">
        <f t="shared" ref="K130:K193" si="22">SUM(G130:J130)</f>
        <v>18.73</v>
      </c>
      <c r="L130" s="20">
        <f t="shared" si="17"/>
        <v>0.99627659574468086</v>
      </c>
      <c r="M130" s="14" t="str">
        <f t="shared" si="18"/>
        <v/>
      </c>
      <c r="N130" s="7">
        <f t="shared" ref="N130:N193" si="23">(F130/(D130+E130))*100</f>
        <v>23238.56613102596</v>
      </c>
      <c r="O130" s="7">
        <f t="shared" ref="O130:O193" si="24">(G130/(D130+E130))*100</f>
        <v>3337.4536464771327</v>
      </c>
      <c r="P130" s="7">
        <f t="shared" ref="P130:P193" si="25">(H130/(D130+E130))*100</f>
        <v>3325.0927070457351</v>
      </c>
      <c r="Q130" s="1">
        <f t="shared" ref="Q130:Q193" si="26">(I130/(D130+E130))*100</f>
        <v>14388.133498145859</v>
      </c>
      <c r="R130" s="1">
        <f t="shared" ref="R130:R193" si="27">(J130/(D130+E130))*100</f>
        <v>2101.3597033374535</v>
      </c>
      <c r="S130" s="14">
        <f t="shared" si="19"/>
        <v>23152.03955500618</v>
      </c>
      <c r="T130" s="10">
        <f t="shared" si="20"/>
        <v>3.7234042553192515E-3</v>
      </c>
      <c r="U130" s="14" t="str">
        <f t="shared" si="21"/>
        <v/>
      </c>
    </row>
    <row r="131" spans="1:21" s="1" customFormat="1" hidden="1" x14ac:dyDescent="0.25">
      <c r="A131" s="1" t="s">
        <v>225</v>
      </c>
      <c r="B131" s="1" t="s">
        <v>226</v>
      </c>
      <c r="C131" s="1" t="s">
        <v>227</v>
      </c>
      <c r="D131" s="6">
        <v>0.83819999999999995</v>
      </c>
      <c r="E131" s="1">
        <v>0</v>
      </c>
      <c r="F131" s="1">
        <v>174.56039999999999</v>
      </c>
      <c r="G131" s="1">
        <v>27.924399999999999</v>
      </c>
      <c r="H131" s="1">
        <v>27.746700000000001</v>
      </c>
      <c r="I131" s="1">
        <v>91.96</v>
      </c>
      <c r="J131" s="1">
        <v>27.864999999999998</v>
      </c>
      <c r="K131" s="9">
        <f t="shared" si="22"/>
        <v>175.49610000000001</v>
      </c>
      <c r="L131" s="20">
        <f t="shared" ref="L131:L194" si="28">K131/F131</f>
        <v>1.0053603222724057</v>
      </c>
      <c r="M131" s="14" t="str">
        <f t="shared" ref="M131:M194" si="29">IF(ABS(L131-1)&gt;0.1,1,"")</f>
        <v/>
      </c>
      <c r="N131" s="7">
        <f t="shared" si="23"/>
        <v>20825.626342161773</v>
      </c>
      <c r="O131" s="7">
        <f t="shared" si="24"/>
        <v>3331.4722023383438</v>
      </c>
      <c r="P131" s="7">
        <f t="shared" si="25"/>
        <v>3310.2720114531139</v>
      </c>
      <c r="Q131" s="1">
        <f t="shared" si="26"/>
        <v>10971.128608923884</v>
      </c>
      <c r="R131" s="1">
        <f t="shared" si="27"/>
        <v>3324.3855881651157</v>
      </c>
      <c r="S131" s="14">
        <f t="shared" ref="S131:S194" si="30">SUM(O131:R131)</f>
        <v>20937.258410880455</v>
      </c>
      <c r="T131" s="10">
        <f t="shared" ref="T131:T194" si="31">(N131-S131)/N131</f>
        <v>-5.3603222724053681E-3</v>
      </c>
      <c r="U131" s="14" t="str">
        <f t="shared" ref="U131:U194" si="32">IF(T131&gt;0.1,1,IF(T131&lt;-0.1,-1,""))</f>
        <v/>
      </c>
    </row>
    <row r="132" spans="1:21" s="8" customFormat="1" hidden="1" x14ac:dyDescent="0.25">
      <c r="A132" s="51" t="s">
        <v>225</v>
      </c>
      <c r="B132" s="51" t="s">
        <v>226</v>
      </c>
      <c r="C132" s="51" t="s">
        <v>228</v>
      </c>
      <c r="D132" s="52" t="s">
        <v>581</v>
      </c>
      <c r="E132" s="51"/>
      <c r="F132" s="51"/>
      <c r="G132" s="51">
        <v>0</v>
      </c>
      <c r="H132" s="51">
        <v>0</v>
      </c>
      <c r="I132" s="51">
        <v>0</v>
      </c>
      <c r="J132" s="51">
        <v>0</v>
      </c>
      <c r="K132" s="9">
        <f t="shared" si="22"/>
        <v>0</v>
      </c>
      <c r="L132" s="20" t="e">
        <f t="shared" si="28"/>
        <v>#DIV/0!</v>
      </c>
      <c r="M132" s="14" t="e">
        <f t="shared" si="29"/>
        <v>#DIV/0!</v>
      </c>
      <c r="N132" s="7" t="e">
        <f t="shared" si="23"/>
        <v>#VALUE!</v>
      </c>
      <c r="O132" s="7" t="e">
        <f t="shared" si="24"/>
        <v>#VALUE!</v>
      </c>
      <c r="P132" s="7" t="e">
        <f t="shared" si="25"/>
        <v>#VALUE!</v>
      </c>
      <c r="Q132" s="1" t="e">
        <f t="shared" si="26"/>
        <v>#VALUE!</v>
      </c>
      <c r="R132" s="1" t="e">
        <f t="shared" si="27"/>
        <v>#VALUE!</v>
      </c>
      <c r="S132" s="14" t="e">
        <f t="shared" si="30"/>
        <v>#VALUE!</v>
      </c>
      <c r="T132" s="10" t="e">
        <f t="shared" si="31"/>
        <v>#VALUE!</v>
      </c>
      <c r="U132" s="14" t="e">
        <f t="shared" si="32"/>
        <v>#VALUE!</v>
      </c>
    </row>
    <row r="133" spans="1:21" s="1" customFormat="1" hidden="1" x14ac:dyDescent="0.25">
      <c r="A133" s="1" t="s">
        <v>225</v>
      </c>
      <c r="B133" s="1" t="s">
        <v>226</v>
      </c>
      <c r="C133" s="1" t="s">
        <v>229</v>
      </c>
      <c r="D133" s="6">
        <v>0.82730000000000004</v>
      </c>
      <c r="E133" s="1">
        <v>3.4697</v>
      </c>
      <c r="F133" s="1">
        <v>81.092100000000002</v>
      </c>
      <c r="G133" s="1">
        <v>40.5</v>
      </c>
      <c r="H133" s="1">
        <v>40.61</v>
      </c>
      <c r="I133" s="1">
        <v>0</v>
      </c>
      <c r="J133" s="1">
        <v>0</v>
      </c>
      <c r="K133" s="9">
        <f t="shared" si="22"/>
        <v>81.11</v>
      </c>
      <c r="L133" s="20">
        <f t="shared" si="28"/>
        <v>1.0002207366685534</v>
      </c>
      <c r="M133" s="14" t="str">
        <f t="shared" si="29"/>
        <v/>
      </c>
      <c r="N133" s="7">
        <f t="shared" si="23"/>
        <v>1887.1794275075636</v>
      </c>
      <c r="O133" s="7">
        <f t="shared" si="24"/>
        <v>942.51803583895753</v>
      </c>
      <c r="P133" s="7">
        <f t="shared" si="25"/>
        <v>945.0779613683967</v>
      </c>
      <c r="Q133" s="1">
        <f t="shared" si="26"/>
        <v>0</v>
      </c>
      <c r="R133" s="1">
        <f t="shared" si="27"/>
        <v>0</v>
      </c>
      <c r="S133" s="14">
        <f t="shared" si="30"/>
        <v>1887.5959972073542</v>
      </c>
      <c r="T133" s="10">
        <f t="shared" si="31"/>
        <v>-2.2073666855347337E-4</v>
      </c>
      <c r="U133" s="14" t="str">
        <f t="shared" si="32"/>
        <v/>
      </c>
    </row>
    <row r="134" spans="1:21" s="1" customFormat="1" hidden="1" x14ac:dyDescent="0.25">
      <c r="A134" s="1" t="s">
        <v>230</v>
      </c>
      <c r="B134" s="1" t="s">
        <v>231</v>
      </c>
      <c r="C134" s="1" t="s">
        <v>232</v>
      </c>
      <c r="D134" s="6">
        <v>1.77E-2</v>
      </c>
      <c r="E134" s="1">
        <v>2.1100000000000001E-2</v>
      </c>
      <c r="F134" s="1">
        <v>3.6027</v>
      </c>
      <c r="G134" s="1">
        <v>1.84</v>
      </c>
      <c r="H134" s="1">
        <v>1.88</v>
      </c>
      <c r="K134" s="9">
        <f t="shared" si="22"/>
        <v>3.7199999999999998</v>
      </c>
      <c r="L134" s="20">
        <f t="shared" si="28"/>
        <v>1.0325589141477225</v>
      </c>
      <c r="M134" s="14" t="str">
        <f t="shared" si="29"/>
        <v/>
      </c>
      <c r="N134" s="7">
        <f t="shared" si="23"/>
        <v>9285.3092783505144</v>
      </c>
      <c r="O134" s="7">
        <f t="shared" si="24"/>
        <v>4742.2680412371137</v>
      </c>
      <c r="P134" s="7">
        <f t="shared" si="25"/>
        <v>4845.3608247422681</v>
      </c>
      <c r="Q134" s="1">
        <f t="shared" si="26"/>
        <v>0</v>
      </c>
      <c r="R134" s="1">
        <f t="shared" si="27"/>
        <v>0</v>
      </c>
      <c r="S134" s="14">
        <f t="shared" si="30"/>
        <v>9587.6288659793827</v>
      </c>
      <c r="T134" s="10">
        <f t="shared" si="31"/>
        <v>-3.2558914147722787E-2</v>
      </c>
      <c r="U134" s="14" t="str">
        <f t="shared" si="32"/>
        <v/>
      </c>
    </row>
    <row r="135" spans="1:21" s="1" customFormat="1" hidden="1" x14ac:dyDescent="0.25">
      <c r="A135" s="1" t="s">
        <v>233</v>
      </c>
      <c r="B135" s="1" t="s">
        <v>234</v>
      </c>
      <c r="C135" s="1" t="s">
        <v>235</v>
      </c>
      <c r="D135" s="6">
        <v>2.4799999999999999E-2</v>
      </c>
      <c r="E135" s="1">
        <v>1.2370000000000001</v>
      </c>
      <c r="F135" s="19">
        <v>21.87</v>
      </c>
      <c r="G135" s="1">
        <v>10.28</v>
      </c>
      <c r="H135" s="1">
        <v>10.19</v>
      </c>
      <c r="I135" s="1">
        <v>0</v>
      </c>
      <c r="J135" s="1">
        <v>0</v>
      </c>
      <c r="K135" s="9">
        <f t="shared" si="22"/>
        <v>20.47</v>
      </c>
      <c r="L135" s="20">
        <f t="shared" si="28"/>
        <v>0.93598536808413346</v>
      </c>
      <c r="M135" s="14" t="str">
        <f t="shared" si="29"/>
        <v/>
      </c>
      <c r="N135" s="7">
        <f t="shared" si="23"/>
        <v>1733.2382310984308</v>
      </c>
      <c r="O135" s="7">
        <f t="shared" si="24"/>
        <v>814.70914566492297</v>
      </c>
      <c r="P135" s="7">
        <f t="shared" si="25"/>
        <v>807.5764780472341</v>
      </c>
      <c r="Q135" s="1">
        <f t="shared" si="26"/>
        <v>0</v>
      </c>
      <c r="R135" s="1">
        <f t="shared" si="27"/>
        <v>0</v>
      </c>
      <c r="S135" s="14">
        <f t="shared" si="30"/>
        <v>1622.2856237121571</v>
      </c>
      <c r="T135" s="10">
        <f t="shared" si="31"/>
        <v>6.4014631915866566E-2</v>
      </c>
      <c r="U135" s="14" t="str">
        <f t="shared" si="32"/>
        <v/>
      </c>
    </row>
    <row r="136" spans="1:21" s="1" customFormat="1" hidden="1" x14ac:dyDescent="0.25">
      <c r="A136" s="1" t="s">
        <v>233</v>
      </c>
      <c r="B136" s="1" t="s">
        <v>236</v>
      </c>
      <c r="C136" s="1" t="s">
        <v>237</v>
      </c>
      <c r="D136" s="6">
        <v>5.0299999999999997E-2</v>
      </c>
      <c r="E136" s="1">
        <v>1.7710999999999999</v>
      </c>
      <c r="F136" s="1">
        <v>405.93</v>
      </c>
      <c r="G136" s="1">
        <v>60.73</v>
      </c>
      <c r="H136" s="1">
        <v>60.73</v>
      </c>
      <c r="I136" s="1">
        <v>239.29</v>
      </c>
      <c r="J136" s="1">
        <v>60.72</v>
      </c>
      <c r="K136" s="9">
        <f t="shared" si="22"/>
        <v>421.47</v>
      </c>
      <c r="L136" s="20">
        <f t="shared" si="28"/>
        <v>1.0382824624935334</v>
      </c>
      <c r="M136" s="14" t="str">
        <f t="shared" si="29"/>
        <v/>
      </c>
      <c r="N136" s="7">
        <f t="shared" si="23"/>
        <v>22286.70253651038</v>
      </c>
      <c r="O136" s="7">
        <f t="shared" si="24"/>
        <v>3334.2483803667506</v>
      </c>
      <c r="P136" s="7">
        <f t="shared" si="25"/>
        <v>3334.2483803667506</v>
      </c>
      <c r="Q136" s="1">
        <f t="shared" si="26"/>
        <v>13137.696277588668</v>
      </c>
      <c r="R136" s="1">
        <f t="shared" si="27"/>
        <v>3333.6993521467007</v>
      </c>
      <c r="S136" s="14">
        <f t="shared" si="30"/>
        <v>23139.892390468871</v>
      </c>
      <c r="T136" s="10">
        <f t="shared" si="31"/>
        <v>-3.8282462493533245E-2</v>
      </c>
      <c r="U136" s="14" t="str">
        <f t="shared" si="32"/>
        <v/>
      </c>
    </row>
    <row r="137" spans="1:21" s="1" customFormat="1" hidden="1" x14ac:dyDescent="0.25">
      <c r="A137" s="1" t="s">
        <v>233</v>
      </c>
      <c r="B137" s="1" t="s">
        <v>236</v>
      </c>
      <c r="C137" s="1" t="s">
        <v>238</v>
      </c>
      <c r="D137" s="6">
        <v>4.7199999999999999E-2</v>
      </c>
      <c r="E137" s="1">
        <v>0.99970000000000003</v>
      </c>
      <c r="F137" s="1">
        <v>1057.48</v>
      </c>
      <c r="G137" s="1">
        <v>56.07</v>
      </c>
      <c r="H137" s="1">
        <v>56.05</v>
      </c>
      <c r="I137" s="1">
        <v>916.45</v>
      </c>
      <c r="J137" s="1">
        <v>56.05</v>
      </c>
      <c r="K137" s="9">
        <f t="shared" si="22"/>
        <v>1084.6200000000001</v>
      </c>
      <c r="L137" s="20">
        <f t="shared" si="28"/>
        <v>1.0256647879865342</v>
      </c>
      <c r="M137" s="14" t="str">
        <f t="shared" si="29"/>
        <v/>
      </c>
      <c r="N137" s="7">
        <f t="shared" si="23"/>
        <v>101010.60273187507</v>
      </c>
      <c r="O137" s="7">
        <f t="shared" si="24"/>
        <v>5355.8123985098864</v>
      </c>
      <c r="P137" s="7">
        <f t="shared" si="25"/>
        <v>5353.9019963702358</v>
      </c>
      <c r="Q137" s="1">
        <f t="shared" si="26"/>
        <v>87539.4020441303</v>
      </c>
      <c r="R137" s="1">
        <f t="shared" si="27"/>
        <v>5353.9019963702358</v>
      </c>
      <c r="S137" s="14">
        <f t="shared" si="30"/>
        <v>103603.01843538065</v>
      </c>
      <c r="T137" s="10">
        <f t="shared" si="31"/>
        <v>-2.5664787986533974E-2</v>
      </c>
      <c r="U137" s="14" t="str">
        <f t="shared" si="32"/>
        <v/>
      </c>
    </row>
    <row r="138" spans="1:21" s="1" customFormat="1" hidden="1" x14ac:dyDescent="0.25">
      <c r="A138" s="1" t="s">
        <v>233</v>
      </c>
      <c r="B138" s="1" t="s">
        <v>236</v>
      </c>
      <c r="C138" s="1" t="s">
        <v>239</v>
      </c>
      <c r="D138" s="6">
        <v>3.5499999999999997E-2</v>
      </c>
      <c r="E138" s="1">
        <v>2.0009999999999999</v>
      </c>
      <c r="F138" s="1">
        <v>468.69</v>
      </c>
      <c r="G138" s="1">
        <v>67.88</v>
      </c>
      <c r="H138" s="1">
        <v>67.91</v>
      </c>
      <c r="I138" s="1">
        <v>247.07</v>
      </c>
      <c r="J138" s="1">
        <v>67.88</v>
      </c>
      <c r="K138" s="9">
        <f t="shared" si="22"/>
        <v>450.74</v>
      </c>
      <c r="L138" s="20">
        <f t="shared" si="28"/>
        <v>0.96170176449252176</v>
      </c>
      <c r="M138" s="14" t="str">
        <f t="shared" si="29"/>
        <v/>
      </c>
      <c r="N138" s="7">
        <f t="shared" si="23"/>
        <v>23014.485637122518</v>
      </c>
      <c r="O138" s="7">
        <f t="shared" si="24"/>
        <v>3333.1696538178248</v>
      </c>
      <c r="P138" s="7">
        <f t="shared" si="25"/>
        <v>3334.6427694574027</v>
      </c>
      <c r="Q138" s="1">
        <f t="shared" si="26"/>
        <v>12132.08936901547</v>
      </c>
      <c r="R138" s="1">
        <f t="shared" si="27"/>
        <v>3333.1696538178248</v>
      </c>
      <c r="S138" s="14">
        <f t="shared" si="30"/>
        <v>22133.071446108523</v>
      </c>
      <c r="T138" s="10">
        <f t="shared" si="31"/>
        <v>3.8298235507478309E-2</v>
      </c>
      <c r="U138" s="14" t="str">
        <f t="shared" si="32"/>
        <v/>
      </c>
    </row>
    <row r="139" spans="1:21" s="1" customFormat="1" hidden="1" x14ac:dyDescent="0.25">
      <c r="A139" s="1" t="s">
        <v>233</v>
      </c>
      <c r="B139" s="1" t="s">
        <v>236</v>
      </c>
      <c r="C139" s="1" t="s">
        <v>240</v>
      </c>
      <c r="D139" s="6">
        <v>4.5400000000000003E-2</v>
      </c>
      <c r="E139" s="1">
        <v>1.8720000000000001</v>
      </c>
      <c r="F139" s="1">
        <v>301.82</v>
      </c>
      <c r="G139" s="1">
        <v>63.9</v>
      </c>
      <c r="H139" s="1">
        <v>63.89</v>
      </c>
      <c r="I139" s="1">
        <v>123.48</v>
      </c>
      <c r="J139" s="1">
        <v>63.9</v>
      </c>
      <c r="K139" s="9">
        <f t="shared" si="22"/>
        <v>315.16999999999996</v>
      </c>
      <c r="L139" s="20">
        <f t="shared" si="28"/>
        <v>1.0442316612550526</v>
      </c>
      <c r="M139" s="14" t="str">
        <f t="shared" si="29"/>
        <v/>
      </c>
      <c r="N139" s="7">
        <f t="shared" si="23"/>
        <v>15741.107750078228</v>
      </c>
      <c r="O139" s="7">
        <f t="shared" si="24"/>
        <v>3332.6379472201934</v>
      </c>
      <c r="P139" s="7">
        <f t="shared" si="25"/>
        <v>3332.1164076353389</v>
      </c>
      <c r="Q139" s="1">
        <f t="shared" si="26"/>
        <v>6439.9707937832472</v>
      </c>
      <c r="R139" s="1">
        <f t="shared" si="27"/>
        <v>3332.6379472201934</v>
      </c>
      <c r="S139" s="14">
        <f t="shared" si="30"/>
        <v>16437.363095858971</v>
      </c>
      <c r="T139" s="10">
        <f t="shared" si="31"/>
        <v>-4.4231661255052547E-2</v>
      </c>
      <c r="U139" s="14" t="str">
        <f t="shared" si="32"/>
        <v/>
      </c>
    </row>
    <row r="140" spans="1:21" s="1" customFormat="1" hidden="1" x14ac:dyDescent="0.25">
      <c r="A140" s="1" t="s">
        <v>233</v>
      </c>
      <c r="B140" s="1" t="s">
        <v>236</v>
      </c>
      <c r="C140" s="1" t="s">
        <v>241</v>
      </c>
      <c r="D140" s="6">
        <v>4.3299999999999998E-2</v>
      </c>
      <c r="E140" s="1">
        <v>1.4013</v>
      </c>
      <c r="F140" s="1">
        <v>344.9</v>
      </c>
      <c r="G140" s="1">
        <v>48.14</v>
      </c>
      <c r="H140" s="1">
        <v>48.17</v>
      </c>
      <c r="I140" s="1">
        <v>197.55</v>
      </c>
      <c r="J140" s="1">
        <v>48.14</v>
      </c>
      <c r="K140" s="9">
        <f t="shared" si="22"/>
        <v>342</v>
      </c>
      <c r="L140" s="20">
        <f t="shared" si="28"/>
        <v>0.99159176572919694</v>
      </c>
      <c r="M140" s="14" t="str">
        <f t="shared" si="29"/>
        <v/>
      </c>
      <c r="N140" s="7">
        <f t="shared" si="23"/>
        <v>23875.12114080022</v>
      </c>
      <c r="O140" s="7">
        <f t="shared" si="24"/>
        <v>3332.4103558078364</v>
      </c>
      <c r="P140" s="7">
        <f t="shared" si="25"/>
        <v>3334.4870552402049</v>
      </c>
      <c r="Q140" s="1">
        <f t="shared" si="26"/>
        <v>13675.065762148693</v>
      </c>
      <c r="R140" s="1">
        <f t="shared" si="27"/>
        <v>3332.4103558078364</v>
      </c>
      <c r="S140" s="14">
        <f t="shared" si="30"/>
        <v>23674.37352900457</v>
      </c>
      <c r="T140" s="10">
        <f t="shared" si="31"/>
        <v>8.4082342708030281E-3</v>
      </c>
      <c r="U140" s="14" t="str">
        <f t="shared" si="32"/>
        <v/>
      </c>
    </row>
    <row r="141" spans="1:21" s="1" customFormat="1" hidden="1" x14ac:dyDescent="0.25">
      <c r="A141" s="1" t="s">
        <v>233</v>
      </c>
      <c r="B141" s="1" t="s">
        <v>236</v>
      </c>
      <c r="C141" s="1" t="s">
        <v>242</v>
      </c>
      <c r="D141" s="6">
        <v>4.4200000000000003E-2</v>
      </c>
      <c r="E141" s="1">
        <v>1.071</v>
      </c>
      <c r="F141" s="1">
        <v>656.09</v>
      </c>
      <c r="G141" s="1">
        <v>61.15</v>
      </c>
      <c r="H141" s="1">
        <v>61.15</v>
      </c>
      <c r="I141" s="1">
        <v>482.03</v>
      </c>
      <c r="J141" s="1">
        <v>61.14</v>
      </c>
      <c r="K141" s="9">
        <f t="shared" si="22"/>
        <v>665.46999999999991</v>
      </c>
      <c r="L141" s="20">
        <f t="shared" si="28"/>
        <v>1.0142968190339738</v>
      </c>
      <c r="M141" s="14" t="str">
        <f t="shared" si="29"/>
        <v/>
      </c>
      <c r="N141" s="7">
        <f t="shared" si="23"/>
        <v>58831.599713055963</v>
      </c>
      <c r="O141" s="7">
        <f t="shared" si="24"/>
        <v>5483.321377331421</v>
      </c>
      <c r="P141" s="7">
        <f t="shared" si="25"/>
        <v>5483.321377331421</v>
      </c>
      <c r="Q141" s="1">
        <f t="shared" si="26"/>
        <v>43223.637015781926</v>
      </c>
      <c r="R141" s="1">
        <f t="shared" si="27"/>
        <v>5482.4246771879489</v>
      </c>
      <c r="S141" s="14">
        <f t="shared" si="30"/>
        <v>59672.704447632714</v>
      </c>
      <c r="T141" s="10">
        <f t="shared" si="31"/>
        <v>-1.4296819033973885E-2</v>
      </c>
      <c r="U141" s="14" t="str">
        <f t="shared" si="32"/>
        <v/>
      </c>
    </row>
    <row r="142" spans="1:21" s="1" customFormat="1" hidden="1" x14ac:dyDescent="0.25">
      <c r="A142" s="1" t="s">
        <v>243</v>
      </c>
      <c r="B142" s="1" t="s">
        <v>244</v>
      </c>
      <c r="C142" s="1" t="s">
        <v>245</v>
      </c>
      <c r="D142" s="6">
        <v>2.8999999999999998E-3</v>
      </c>
      <c r="E142" s="1">
        <v>0.93320000000000003</v>
      </c>
      <c r="F142" s="19">
        <v>35.44</v>
      </c>
      <c r="G142" s="1">
        <v>19.09</v>
      </c>
      <c r="H142" s="1">
        <v>18.95</v>
      </c>
      <c r="I142" s="1">
        <v>0</v>
      </c>
      <c r="J142" s="1">
        <v>0</v>
      </c>
      <c r="K142" s="9">
        <f t="shared" si="22"/>
        <v>38.04</v>
      </c>
      <c r="L142" s="20">
        <f t="shared" si="28"/>
        <v>1.0733634311512417</v>
      </c>
      <c r="M142" s="14" t="str">
        <f t="shared" si="29"/>
        <v/>
      </c>
      <c r="N142" s="7">
        <f t="shared" si="23"/>
        <v>3785.9203076594376</v>
      </c>
      <c r="O142" s="7">
        <f t="shared" si="24"/>
        <v>2039.3120393120391</v>
      </c>
      <c r="P142" s="7">
        <f t="shared" si="25"/>
        <v>2024.3563721824589</v>
      </c>
      <c r="Q142" s="1">
        <f t="shared" si="26"/>
        <v>0</v>
      </c>
      <c r="R142" s="1">
        <f t="shared" si="27"/>
        <v>0</v>
      </c>
      <c r="S142" s="14">
        <f t="shared" si="30"/>
        <v>4063.6684114944983</v>
      </c>
      <c r="T142" s="10">
        <f t="shared" si="31"/>
        <v>-7.3363431151241623E-2</v>
      </c>
      <c r="U142" s="14" t="str">
        <f t="shared" si="32"/>
        <v/>
      </c>
    </row>
    <row r="143" spans="1:21" s="1" customFormat="1" hidden="1" x14ac:dyDescent="0.25">
      <c r="A143" s="1" t="s">
        <v>246</v>
      </c>
      <c r="B143" s="1" t="s">
        <v>247</v>
      </c>
      <c r="C143" s="1" t="s">
        <v>248</v>
      </c>
      <c r="D143" s="6">
        <v>1.5974999999999999</v>
      </c>
      <c r="E143" s="1">
        <v>0.26465</v>
      </c>
      <c r="F143" s="1">
        <v>194.77549999999999</v>
      </c>
      <c r="G143" s="1">
        <v>62.12</v>
      </c>
      <c r="H143" s="1">
        <v>62.06</v>
      </c>
      <c r="I143" s="1">
        <v>8.83</v>
      </c>
      <c r="J143" s="1">
        <v>62.03</v>
      </c>
      <c r="K143" s="9">
        <f t="shared" si="22"/>
        <v>195.04000000000002</v>
      </c>
      <c r="L143" s="20">
        <f t="shared" si="28"/>
        <v>1.0013579736671194</v>
      </c>
      <c r="M143" s="14" t="str">
        <f t="shared" si="29"/>
        <v/>
      </c>
      <c r="N143" s="7">
        <f t="shared" si="23"/>
        <v>10459.710549633488</v>
      </c>
      <c r="O143" s="7">
        <f t="shared" si="24"/>
        <v>3335.9288993904897</v>
      </c>
      <c r="P143" s="7">
        <f t="shared" si="25"/>
        <v>3332.7068173885023</v>
      </c>
      <c r="Q143" s="1">
        <f t="shared" si="26"/>
        <v>474.18306795907955</v>
      </c>
      <c r="R143" s="1">
        <f t="shared" si="27"/>
        <v>3331.0957763875094</v>
      </c>
      <c r="S143" s="14">
        <f t="shared" si="30"/>
        <v>10473.914561125581</v>
      </c>
      <c r="T143" s="10">
        <f t="shared" si="31"/>
        <v>-1.3579736671193588E-3</v>
      </c>
      <c r="U143" s="14" t="str">
        <f t="shared" si="32"/>
        <v/>
      </c>
    </row>
    <row r="144" spans="1:21" s="1" customFormat="1" hidden="1" x14ac:dyDescent="0.25">
      <c r="A144" s="1" t="s">
        <v>246</v>
      </c>
      <c r="B144" s="1" t="s">
        <v>247</v>
      </c>
      <c r="C144" s="1" t="s">
        <v>249</v>
      </c>
      <c r="D144" s="6">
        <v>1.5790999999999999</v>
      </c>
      <c r="E144" s="1">
        <v>1.23E-2</v>
      </c>
      <c r="F144" s="1">
        <v>267.36</v>
      </c>
      <c r="G144" s="1">
        <v>53.54</v>
      </c>
      <c r="H144" s="1">
        <v>53.57</v>
      </c>
      <c r="I144" s="1">
        <v>106.99</v>
      </c>
      <c r="J144" s="1">
        <v>53.65</v>
      </c>
      <c r="K144" s="9">
        <f t="shared" si="22"/>
        <v>267.75</v>
      </c>
      <c r="L144" s="20">
        <f t="shared" si="28"/>
        <v>1.0014587073608616</v>
      </c>
      <c r="M144" s="14" t="str">
        <f t="shared" si="29"/>
        <v/>
      </c>
      <c r="N144" s="7">
        <f t="shared" si="23"/>
        <v>16800.301621214028</v>
      </c>
      <c r="O144" s="7">
        <f t="shared" si="24"/>
        <v>3364.3332914414982</v>
      </c>
      <c r="P144" s="7">
        <f t="shared" si="25"/>
        <v>3366.2184240291567</v>
      </c>
      <c r="Q144" s="1">
        <f t="shared" si="26"/>
        <v>6723.0111851200209</v>
      </c>
      <c r="R144" s="1">
        <f t="shared" si="27"/>
        <v>3371.2454442629132</v>
      </c>
      <c r="S144" s="14">
        <f t="shared" si="30"/>
        <v>16824.808344853591</v>
      </c>
      <c r="T144" s="10">
        <f t="shared" si="31"/>
        <v>-1.4587073608617533E-3</v>
      </c>
      <c r="U144" s="14" t="str">
        <f t="shared" si="32"/>
        <v/>
      </c>
    </row>
    <row r="145" spans="1:21" s="1" customFormat="1" hidden="1" x14ac:dyDescent="0.25">
      <c r="A145" s="1" t="s">
        <v>246</v>
      </c>
      <c r="B145" s="1" t="s">
        <v>250</v>
      </c>
      <c r="C145" s="1" t="s">
        <v>646</v>
      </c>
      <c r="D145" s="6">
        <v>0.5726</v>
      </c>
      <c r="E145" s="1">
        <v>1.29E-2</v>
      </c>
      <c r="F145" s="1">
        <v>126.87</v>
      </c>
      <c r="G145" s="1">
        <v>22.89</v>
      </c>
      <c r="H145" s="1">
        <v>22.77</v>
      </c>
      <c r="I145" s="1">
        <v>47.48</v>
      </c>
      <c r="J145" s="1">
        <v>22.84</v>
      </c>
      <c r="K145" s="9">
        <f t="shared" si="22"/>
        <v>115.97999999999999</v>
      </c>
      <c r="L145" s="20">
        <f t="shared" si="28"/>
        <v>0.91416410498935907</v>
      </c>
      <c r="M145" s="14" t="str">
        <f t="shared" si="29"/>
        <v/>
      </c>
      <c r="N145" s="7">
        <f t="shared" si="23"/>
        <v>21668.659265584971</v>
      </c>
      <c r="O145" s="7">
        <f t="shared" si="24"/>
        <v>3909.4790777113581</v>
      </c>
      <c r="P145" s="7">
        <f t="shared" si="25"/>
        <v>3888.9837745516652</v>
      </c>
      <c r="Q145" s="1">
        <f t="shared" si="26"/>
        <v>8109.3082835183595</v>
      </c>
      <c r="R145" s="1">
        <f t="shared" si="27"/>
        <v>3900.9393680614858</v>
      </c>
      <c r="S145" s="14">
        <f t="shared" si="30"/>
        <v>19808.710503842867</v>
      </c>
      <c r="T145" s="10">
        <f t="shared" si="31"/>
        <v>8.5835895010640942E-2</v>
      </c>
      <c r="U145" s="14" t="str">
        <f t="shared" si="32"/>
        <v/>
      </c>
    </row>
    <row r="146" spans="1:21" s="8" customFormat="1" hidden="1" x14ac:dyDescent="0.25">
      <c r="A146" s="51" t="s">
        <v>246</v>
      </c>
      <c r="B146" s="51" t="s">
        <v>252</v>
      </c>
      <c r="C146" s="51" t="s">
        <v>253</v>
      </c>
      <c r="D146" s="52"/>
      <c r="E146" s="51"/>
      <c r="F146" s="51"/>
      <c r="G146" s="51"/>
      <c r="H146" s="51"/>
      <c r="I146" s="51"/>
      <c r="J146" s="51"/>
      <c r="K146" s="9">
        <f t="shared" si="22"/>
        <v>0</v>
      </c>
      <c r="L146" s="20" t="e">
        <f t="shared" si="28"/>
        <v>#DIV/0!</v>
      </c>
      <c r="M146" s="14" t="e">
        <f t="shared" si="29"/>
        <v>#DIV/0!</v>
      </c>
      <c r="N146" s="7" t="e">
        <f t="shared" si="23"/>
        <v>#DIV/0!</v>
      </c>
      <c r="O146" s="7" t="e">
        <f t="shared" si="24"/>
        <v>#DIV/0!</v>
      </c>
      <c r="P146" s="7" t="e">
        <f t="shared" si="25"/>
        <v>#DIV/0!</v>
      </c>
      <c r="Q146" s="1" t="e">
        <f t="shared" si="26"/>
        <v>#DIV/0!</v>
      </c>
      <c r="R146" s="1" t="e">
        <f t="shared" si="27"/>
        <v>#DIV/0!</v>
      </c>
      <c r="S146" s="14" t="e">
        <f t="shared" si="30"/>
        <v>#DIV/0!</v>
      </c>
      <c r="T146" s="10" t="e">
        <f t="shared" si="31"/>
        <v>#DIV/0!</v>
      </c>
      <c r="U146" s="14" t="e">
        <f t="shared" si="32"/>
        <v>#DIV/0!</v>
      </c>
    </row>
    <row r="147" spans="1:21" s="1" customFormat="1" hidden="1" x14ac:dyDescent="0.25">
      <c r="A147" s="1" t="s">
        <v>246</v>
      </c>
      <c r="B147" s="1" t="s">
        <v>252</v>
      </c>
      <c r="C147" s="1" t="s">
        <v>254</v>
      </c>
      <c r="D147" s="6">
        <v>0.96740000000000004</v>
      </c>
      <c r="E147" s="1">
        <v>1.105</v>
      </c>
      <c r="F147" s="1">
        <v>314.96120000000002</v>
      </c>
      <c r="G147" s="1">
        <v>69.08</v>
      </c>
      <c r="H147" s="1">
        <v>69.14</v>
      </c>
      <c r="I147" s="1">
        <v>106.54</v>
      </c>
      <c r="J147" s="1">
        <v>69.17</v>
      </c>
      <c r="K147" s="9">
        <f t="shared" si="22"/>
        <v>313.93</v>
      </c>
      <c r="L147" s="20">
        <f t="shared" si="28"/>
        <v>0.9967259459260378</v>
      </c>
      <c r="M147" s="14" t="str">
        <f t="shared" si="29"/>
        <v/>
      </c>
      <c r="N147" s="7">
        <f t="shared" si="23"/>
        <v>15197.896159042657</v>
      </c>
      <c r="O147" s="7">
        <f t="shared" si="24"/>
        <v>3333.3333333333335</v>
      </c>
      <c r="P147" s="7">
        <f t="shared" si="25"/>
        <v>3336.2285273113303</v>
      </c>
      <c r="Q147" s="1">
        <f t="shared" si="26"/>
        <v>5140.8994402624976</v>
      </c>
      <c r="R147" s="1">
        <f t="shared" si="27"/>
        <v>3337.676124300328</v>
      </c>
      <c r="S147" s="14">
        <f t="shared" si="30"/>
        <v>15148.137425207489</v>
      </c>
      <c r="T147" s="10">
        <f t="shared" si="31"/>
        <v>3.2740540739621769E-3</v>
      </c>
      <c r="U147" s="14" t="str">
        <f t="shared" si="32"/>
        <v/>
      </c>
    </row>
    <row r="148" spans="1:21" s="1" customFormat="1" hidden="1" x14ac:dyDescent="0.25">
      <c r="A148" s="1" t="s">
        <v>255</v>
      </c>
      <c r="B148" s="1" t="s">
        <v>256</v>
      </c>
      <c r="C148" s="1" t="s">
        <v>257</v>
      </c>
      <c r="D148" s="6">
        <v>5.7882999999999996</v>
      </c>
      <c r="E148" s="1">
        <v>0</v>
      </c>
      <c r="F148" s="1">
        <v>459.12</v>
      </c>
      <c r="G148" s="1">
        <v>154.9</v>
      </c>
      <c r="H148" s="1">
        <v>153.32</v>
      </c>
      <c r="I148" s="1">
        <v>0</v>
      </c>
      <c r="J148" s="1">
        <v>153.63999999999999</v>
      </c>
      <c r="K148" s="9">
        <f t="shared" si="22"/>
        <v>461.86</v>
      </c>
      <c r="L148" s="20">
        <f t="shared" si="28"/>
        <v>1.0059679386652727</v>
      </c>
      <c r="M148" s="14" t="str">
        <f t="shared" si="29"/>
        <v/>
      </c>
      <c r="N148" s="7">
        <f t="shared" si="23"/>
        <v>7931.8625503170197</v>
      </c>
      <c r="O148" s="7">
        <f t="shared" si="24"/>
        <v>2676.0879705613052</v>
      </c>
      <c r="P148" s="7">
        <f t="shared" si="25"/>
        <v>2648.7915277369871</v>
      </c>
      <c r="Q148" s="1">
        <f t="shared" si="26"/>
        <v>0</v>
      </c>
      <c r="R148" s="1">
        <f t="shared" si="27"/>
        <v>2654.3199212203926</v>
      </c>
      <c r="S148" s="14">
        <f t="shared" si="30"/>
        <v>7979.1994195186853</v>
      </c>
      <c r="T148" s="10">
        <f t="shared" si="31"/>
        <v>-5.9679386652727231E-3</v>
      </c>
      <c r="U148" s="14" t="str">
        <f t="shared" si="32"/>
        <v/>
      </c>
    </row>
    <row r="149" spans="1:21" s="1" customFormat="1" x14ac:dyDescent="0.25">
      <c r="A149" s="1" t="s">
        <v>258</v>
      </c>
      <c r="B149" s="1" t="s">
        <v>259</v>
      </c>
      <c r="C149" s="1" t="s">
        <v>260</v>
      </c>
      <c r="D149" s="6">
        <v>9.8799999999999999E-2</v>
      </c>
      <c r="E149" s="1">
        <v>0.1741</v>
      </c>
      <c r="F149" s="1">
        <v>183.91</v>
      </c>
      <c r="G149" s="1">
        <v>7.62</v>
      </c>
      <c r="H149" s="1">
        <v>7.64</v>
      </c>
      <c r="I149" s="1">
        <v>160.61000000000001</v>
      </c>
      <c r="J149" s="1">
        <v>7.61</v>
      </c>
      <c r="K149" s="9">
        <f t="shared" si="22"/>
        <v>183.48000000000002</v>
      </c>
      <c r="L149" s="20">
        <f t="shared" si="28"/>
        <v>0.99766189984231435</v>
      </c>
      <c r="M149" s="14" t="str">
        <f t="shared" si="29"/>
        <v/>
      </c>
      <c r="N149" s="7">
        <f t="shared" si="23"/>
        <v>67390.985709050932</v>
      </c>
      <c r="O149" s="7">
        <f t="shared" si="24"/>
        <v>2792.2315866617805</v>
      </c>
      <c r="P149" s="7">
        <f t="shared" si="25"/>
        <v>2799.560278490289</v>
      </c>
      <c r="Q149" s="1">
        <f t="shared" si="26"/>
        <v>58853.059728838401</v>
      </c>
      <c r="R149" s="1">
        <f t="shared" si="27"/>
        <v>2788.5672407475263</v>
      </c>
      <c r="S149" s="14">
        <f t="shared" si="30"/>
        <v>67233.418834737997</v>
      </c>
      <c r="T149" s="10">
        <f t="shared" si="31"/>
        <v>2.3381001576858284E-3</v>
      </c>
      <c r="U149" s="14" t="str">
        <f t="shared" si="32"/>
        <v/>
      </c>
    </row>
    <row r="150" spans="1:21" s="1" customFormat="1" x14ac:dyDescent="0.25">
      <c r="A150" s="1" t="s">
        <v>258</v>
      </c>
      <c r="B150" s="1" t="s">
        <v>259</v>
      </c>
      <c r="C150" s="1" t="s">
        <v>261</v>
      </c>
      <c r="D150" s="6">
        <v>9.01E-2</v>
      </c>
      <c r="E150" s="1">
        <v>0.2039</v>
      </c>
      <c r="F150" s="1">
        <v>130.86000000000001</v>
      </c>
      <c r="G150" s="1">
        <v>7.42</v>
      </c>
      <c r="H150" s="1">
        <v>7.43</v>
      </c>
      <c r="I150" s="1">
        <v>108.53</v>
      </c>
      <c r="J150" s="1">
        <v>7.41</v>
      </c>
      <c r="K150" s="9">
        <f t="shared" si="22"/>
        <v>130.79</v>
      </c>
      <c r="L150" s="20">
        <f t="shared" si="28"/>
        <v>0.99946507718172073</v>
      </c>
      <c r="M150" s="14" t="str">
        <f t="shared" si="29"/>
        <v/>
      </c>
      <c r="N150" s="7">
        <f t="shared" si="23"/>
        <v>44510.204081632663</v>
      </c>
      <c r="O150" s="7">
        <f t="shared" si="24"/>
        <v>2523.8095238095239</v>
      </c>
      <c r="P150" s="7">
        <f t="shared" si="25"/>
        <v>2527.2108843537417</v>
      </c>
      <c r="Q150" s="1">
        <f t="shared" si="26"/>
        <v>36914.965986394564</v>
      </c>
      <c r="R150" s="1">
        <f t="shared" si="27"/>
        <v>2520.4081632653065</v>
      </c>
      <c r="S150" s="14">
        <f t="shared" si="30"/>
        <v>44486.394557823129</v>
      </c>
      <c r="T150" s="10">
        <f t="shared" si="31"/>
        <v>5.3492281827930246E-4</v>
      </c>
      <c r="U150" s="14" t="str">
        <f t="shared" si="32"/>
        <v/>
      </c>
    </row>
    <row r="151" spans="1:21" s="1" customFormat="1" x14ac:dyDescent="0.25">
      <c r="A151" s="1" t="s">
        <v>258</v>
      </c>
      <c r="B151" s="1" t="s">
        <v>259</v>
      </c>
      <c r="C151" s="1" t="s">
        <v>262</v>
      </c>
      <c r="D151" s="6">
        <v>0.17050000000000001</v>
      </c>
      <c r="E151" s="1">
        <v>0.64980000000000004</v>
      </c>
      <c r="F151" s="1">
        <v>529.6</v>
      </c>
      <c r="G151" s="1">
        <v>41.04</v>
      </c>
      <c r="H151" s="1">
        <v>41.48</v>
      </c>
      <c r="I151" s="1">
        <v>404.35</v>
      </c>
      <c r="J151" s="1">
        <v>41.72</v>
      </c>
      <c r="K151" s="9">
        <f t="shared" si="22"/>
        <v>528.59</v>
      </c>
      <c r="L151" s="20">
        <f t="shared" si="28"/>
        <v>0.99809290030211484</v>
      </c>
      <c r="M151" s="14" t="str">
        <f t="shared" si="29"/>
        <v/>
      </c>
      <c r="N151" s="7">
        <f t="shared" si="23"/>
        <v>64561.745702791668</v>
      </c>
      <c r="O151" s="7">
        <f t="shared" si="24"/>
        <v>5003.0476654882359</v>
      </c>
      <c r="P151" s="7">
        <f t="shared" si="25"/>
        <v>5056.6865780811895</v>
      </c>
      <c r="Q151" s="1">
        <f t="shared" si="26"/>
        <v>49292.94160672924</v>
      </c>
      <c r="R151" s="1">
        <f t="shared" si="27"/>
        <v>5085.9441667682549</v>
      </c>
      <c r="S151" s="14">
        <f t="shared" si="30"/>
        <v>64438.620017066918</v>
      </c>
      <c r="T151" s="10">
        <f t="shared" si="31"/>
        <v>1.9070996978854298E-3</v>
      </c>
      <c r="U151" s="14" t="str">
        <f t="shared" si="32"/>
        <v/>
      </c>
    </row>
    <row r="152" spans="1:21" s="1" customFormat="1" x14ac:dyDescent="0.25">
      <c r="A152" s="1" t="s">
        <v>258</v>
      </c>
      <c r="B152" s="1" t="s">
        <v>259</v>
      </c>
      <c r="C152" s="1" t="s">
        <v>263</v>
      </c>
      <c r="D152" s="6">
        <v>0.1027</v>
      </c>
      <c r="E152" s="1">
        <v>0.80059999999999998</v>
      </c>
      <c r="F152" s="19">
        <v>144.04</v>
      </c>
      <c r="G152" s="1">
        <v>30.1</v>
      </c>
      <c r="H152" s="1">
        <v>30.07</v>
      </c>
      <c r="I152" s="1">
        <v>53.78</v>
      </c>
      <c r="J152" s="1">
        <v>30.1</v>
      </c>
      <c r="K152" s="9">
        <f t="shared" si="22"/>
        <v>144.05000000000001</v>
      </c>
      <c r="L152" s="20">
        <f t="shared" si="28"/>
        <v>1.000069425159678</v>
      </c>
      <c r="M152" s="14" t="str">
        <f t="shared" si="29"/>
        <v/>
      </c>
      <c r="N152" s="7">
        <f t="shared" si="23"/>
        <v>15945.975866268129</v>
      </c>
      <c r="O152" s="7">
        <f t="shared" si="24"/>
        <v>3332.2262814125984</v>
      </c>
      <c r="P152" s="7">
        <f t="shared" si="25"/>
        <v>3328.9051256503931</v>
      </c>
      <c r="Q152" s="1">
        <f t="shared" si="26"/>
        <v>5953.7252297132736</v>
      </c>
      <c r="R152" s="1">
        <f t="shared" si="27"/>
        <v>3332.2262814125984</v>
      </c>
      <c r="S152" s="14">
        <f t="shared" si="30"/>
        <v>15947.082918188864</v>
      </c>
      <c r="T152" s="10">
        <f t="shared" si="31"/>
        <v>-6.9425159677868523E-5</v>
      </c>
      <c r="U152" s="14" t="str">
        <f t="shared" si="32"/>
        <v/>
      </c>
    </row>
    <row r="153" spans="1:21" s="1" customFormat="1" x14ac:dyDescent="0.25">
      <c r="A153" s="1" t="s">
        <v>258</v>
      </c>
      <c r="B153" s="1" t="s">
        <v>259</v>
      </c>
      <c r="C153" s="1" t="s">
        <v>264</v>
      </c>
      <c r="D153" s="6">
        <v>0.12470000000000001</v>
      </c>
      <c r="E153" s="1">
        <v>0.50729999999999997</v>
      </c>
      <c r="F153" s="1">
        <v>854.72</v>
      </c>
      <c r="G153" s="1">
        <v>29.45</v>
      </c>
      <c r="H153" s="1">
        <v>29.42</v>
      </c>
      <c r="I153" s="1">
        <v>764.49</v>
      </c>
      <c r="J153" s="1">
        <v>29.46</v>
      </c>
      <c r="K153" s="9">
        <f t="shared" si="22"/>
        <v>852.82</v>
      </c>
      <c r="L153" s="20">
        <f t="shared" si="28"/>
        <v>0.99777704979408466</v>
      </c>
      <c r="M153" s="14" t="str">
        <f t="shared" si="29"/>
        <v/>
      </c>
      <c r="N153" s="7">
        <f t="shared" si="23"/>
        <v>135240.50632911391</v>
      </c>
      <c r="O153" s="7">
        <f t="shared" si="24"/>
        <v>4659.8101265822788</v>
      </c>
      <c r="P153" s="7">
        <f t="shared" si="25"/>
        <v>4655.0632911392404</v>
      </c>
      <c r="Q153" s="1">
        <f t="shared" si="26"/>
        <v>120963.60759493671</v>
      </c>
      <c r="R153" s="1">
        <f t="shared" si="27"/>
        <v>4661.3924050632913</v>
      </c>
      <c r="S153" s="14">
        <f t="shared" si="30"/>
        <v>134939.87341772151</v>
      </c>
      <c r="T153" s="10">
        <f t="shared" si="31"/>
        <v>2.2229502059153525E-3</v>
      </c>
      <c r="U153" s="14" t="str">
        <f t="shared" si="32"/>
        <v/>
      </c>
    </row>
    <row r="154" spans="1:21" s="1" customFormat="1" x14ac:dyDescent="0.25">
      <c r="A154" s="1" t="s">
        <v>258</v>
      </c>
      <c r="B154" s="1" t="s">
        <v>259</v>
      </c>
      <c r="C154" s="1" t="s">
        <v>265</v>
      </c>
      <c r="D154" s="6">
        <v>8.9499999999999996E-2</v>
      </c>
      <c r="E154" s="1">
        <v>0.49309999999999998</v>
      </c>
      <c r="F154" s="19">
        <v>689.79</v>
      </c>
      <c r="G154" s="1">
        <v>23.92</v>
      </c>
      <c r="H154" s="1">
        <v>23.44</v>
      </c>
      <c r="I154" s="1">
        <v>600.16</v>
      </c>
      <c r="J154" s="1">
        <v>23.99</v>
      </c>
      <c r="K154" s="9">
        <f t="shared" si="22"/>
        <v>671.51</v>
      </c>
      <c r="L154" s="20">
        <f t="shared" si="28"/>
        <v>0.9734991809101321</v>
      </c>
      <c r="M154" s="14" t="str">
        <f t="shared" si="29"/>
        <v/>
      </c>
      <c r="N154" s="7">
        <f t="shared" si="23"/>
        <v>118398.55818743563</v>
      </c>
      <c r="O154" s="7">
        <f t="shared" si="24"/>
        <v>4105.732921386887</v>
      </c>
      <c r="P154" s="7">
        <f t="shared" si="25"/>
        <v>4023.3436319945076</v>
      </c>
      <c r="Q154" s="1">
        <f t="shared" si="26"/>
        <v>103014.07483693786</v>
      </c>
      <c r="R154" s="1">
        <f t="shared" si="27"/>
        <v>4117.748026089941</v>
      </c>
      <c r="S154" s="14">
        <f t="shared" si="30"/>
        <v>115260.8994164092</v>
      </c>
      <c r="T154" s="10">
        <f t="shared" si="31"/>
        <v>2.6500819089867893E-2</v>
      </c>
      <c r="U154" s="14" t="str">
        <f t="shared" si="32"/>
        <v/>
      </c>
    </row>
    <row r="155" spans="1:21" s="1" customFormat="1" x14ac:dyDescent="0.25">
      <c r="A155" s="1" t="s">
        <v>258</v>
      </c>
      <c r="B155" s="1" t="s">
        <v>259</v>
      </c>
      <c r="C155" s="1" t="s">
        <v>266</v>
      </c>
      <c r="D155" s="6">
        <v>9.9199999999999997E-2</v>
      </c>
      <c r="E155" s="1">
        <v>0.8921</v>
      </c>
      <c r="F155" s="1">
        <v>162.93</v>
      </c>
      <c r="G155" s="1">
        <v>33.049999999999997</v>
      </c>
      <c r="H155" s="1">
        <v>33.06</v>
      </c>
      <c r="I155" s="1">
        <v>62.91</v>
      </c>
      <c r="J155" s="1">
        <v>33.07</v>
      </c>
      <c r="K155" s="9">
        <f t="shared" si="22"/>
        <v>162.08999999999997</v>
      </c>
      <c r="L155" s="20">
        <f t="shared" si="28"/>
        <v>0.99484441171055038</v>
      </c>
      <c r="M155" s="14" t="str">
        <f t="shared" si="29"/>
        <v/>
      </c>
      <c r="N155" s="7">
        <f t="shared" si="23"/>
        <v>16435.993140320792</v>
      </c>
      <c r="O155" s="7">
        <f t="shared" si="24"/>
        <v>3334.0058509028545</v>
      </c>
      <c r="P155" s="7">
        <f t="shared" si="25"/>
        <v>3335.0146272571374</v>
      </c>
      <c r="Q155" s="1">
        <f t="shared" si="26"/>
        <v>6346.2120447896705</v>
      </c>
      <c r="R155" s="1">
        <f t="shared" si="27"/>
        <v>3336.0234036114193</v>
      </c>
      <c r="S155" s="14">
        <f t="shared" si="30"/>
        <v>16351.255926561082</v>
      </c>
      <c r="T155" s="10">
        <f t="shared" si="31"/>
        <v>5.1555882894495104E-3</v>
      </c>
      <c r="U155" s="14" t="str">
        <f t="shared" si="32"/>
        <v/>
      </c>
    </row>
    <row r="156" spans="1:21" s="1" customFormat="1" hidden="1" x14ac:dyDescent="0.25">
      <c r="A156" s="1" t="s">
        <v>267</v>
      </c>
      <c r="B156" s="1" t="s">
        <v>218</v>
      </c>
      <c r="C156" s="1" t="s">
        <v>268</v>
      </c>
      <c r="D156" s="6">
        <v>3.0000000000000001E-3</v>
      </c>
      <c r="E156" s="1">
        <v>7.22E-2</v>
      </c>
      <c r="F156" s="19">
        <v>16.72</v>
      </c>
      <c r="G156" s="1">
        <v>2.5499999999999998</v>
      </c>
      <c r="H156" s="1">
        <v>2.57</v>
      </c>
      <c r="I156" s="1">
        <v>8</v>
      </c>
      <c r="J156" s="1">
        <v>2.54</v>
      </c>
      <c r="K156" s="9">
        <f t="shared" si="22"/>
        <v>15.66</v>
      </c>
      <c r="L156" s="20">
        <f t="shared" si="28"/>
        <v>0.93660287081339721</v>
      </c>
      <c r="M156" s="14" t="str">
        <f t="shared" si="29"/>
        <v/>
      </c>
      <c r="N156" s="7">
        <f t="shared" si="23"/>
        <v>22234.042553191484</v>
      </c>
      <c r="O156" s="7">
        <f t="shared" si="24"/>
        <v>3390.9574468085102</v>
      </c>
      <c r="P156" s="7">
        <f t="shared" si="25"/>
        <v>3417.5531914893609</v>
      </c>
      <c r="Q156" s="1">
        <f t="shared" si="26"/>
        <v>10638.297872340425</v>
      </c>
      <c r="R156" s="1">
        <f t="shared" si="27"/>
        <v>3377.6595744680849</v>
      </c>
      <c r="S156" s="14">
        <f t="shared" si="30"/>
        <v>20824.468085106382</v>
      </c>
      <c r="T156" s="10">
        <f t="shared" si="31"/>
        <v>6.3397129186602688E-2</v>
      </c>
      <c r="U156" s="14" t="str">
        <f t="shared" si="32"/>
        <v/>
      </c>
    </row>
    <row r="157" spans="1:21" s="1" customFormat="1" hidden="1" x14ac:dyDescent="0.25">
      <c r="A157" s="1" t="s">
        <v>267</v>
      </c>
      <c r="B157" s="1" t="s">
        <v>269</v>
      </c>
      <c r="C157" s="1" t="s">
        <v>270</v>
      </c>
      <c r="D157" s="6">
        <v>2.5000000000000001E-3</v>
      </c>
      <c r="E157" s="1">
        <v>0.1099</v>
      </c>
      <c r="F157" s="19">
        <v>151.88</v>
      </c>
      <c r="G157" s="1">
        <v>5.28</v>
      </c>
      <c r="H157" s="1">
        <v>5.28</v>
      </c>
      <c r="I157" s="1">
        <v>130.76</v>
      </c>
      <c r="J157" s="1">
        <v>5.29</v>
      </c>
      <c r="K157" s="9">
        <f t="shared" si="22"/>
        <v>146.60999999999999</v>
      </c>
      <c r="L157" s="20">
        <f t="shared" si="28"/>
        <v>0.96530155385830907</v>
      </c>
      <c r="M157" s="14" t="str">
        <f t="shared" si="29"/>
        <v/>
      </c>
      <c r="N157" s="7">
        <f t="shared" si="23"/>
        <v>135124.55516014234</v>
      </c>
      <c r="O157" s="7">
        <f t="shared" si="24"/>
        <v>4697.5088967971533</v>
      </c>
      <c r="P157" s="7">
        <f t="shared" si="25"/>
        <v>4697.5088967971533</v>
      </c>
      <c r="Q157" s="1">
        <f t="shared" si="26"/>
        <v>116334.51957295372</v>
      </c>
      <c r="R157" s="1">
        <f t="shared" si="27"/>
        <v>4706.4056939501779</v>
      </c>
      <c r="S157" s="14">
        <f t="shared" si="30"/>
        <v>130435.9430604982</v>
      </c>
      <c r="T157" s="10">
        <f t="shared" si="31"/>
        <v>3.4698446141690834E-2</v>
      </c>
      <c r="U157" s="14" t="str">
        <f t="shared" si="32"/>
        <v/>
      </c>
    </row>
    <row r="158" spans="1:21" s="8" customFormat="1" hidden="1" x14ac:dyDescent="0.25">
      <c r="A158" s="51" t="s">
        <v>267</v>
      </c>
      <c r="B158" s="51" t="s">
        <v>269</v>
      </c>
      <c r="C158" s="51" t="s">
        <v>271</v>
      </c>
      <c r="D158" s="52">
        <v>4.1000000000000003E-3</v>
      </c>
      <c r="E158" s="51">
        <v>4.9700000000000001E-2</v>
      </c>
      <c r="F158" s="51"/>
      <c r="G158" s="51">
        <v>0</v>
      </c>
      <c r="H158" s="51">
        <v>0</v>
      </c>
      <c r="I158" s="51">
        <v>0</v>
      </c>
      <c r="J158" s="51">
        <v>0</v>
      </c>
      <c r="K158" s="9">
        <f t="shared" si="22"/>
        <v>0</v>
      </c>
      <c r="L158" s="20" t="e">
        <f t="shared" si="28"/>
        <v>#DIV/0!</v>
      </c>
      <c r="M158" s="14" t="e">
        <f t="shared" si="29"/>
        <v>#DIV/0!</v>
      </c>
      <c r="N158" s="7">
        <f t="shared" si="23"/>
        <v>0</v>
      </c>
      <c r="O158" s="7">
        <f t="shared" si="24"/>
        <v>0</v>
      </c>
      <c r="P158" s="7">
        <f t="shared" si="25"/>
        <v>0</v>
      </c>
      <c r="Q158" s="1">
        <f t="shared" si="26"/>
        <v>0</v>
      </c>
      <c r="R158" s="1">
        <f t="shared" si="27"/>
        <v>0</v>
      </c>
      <c r="S158" s="14">
        <f t="shared" si="30"/>
        <v>0</v>
      </c>
      <c r="T158" s="10" t="e">
        <f t="shared" si="31"/>
        <v>#DIV/0!</v>
      </c>
      <c r="U158" s="14" t="e">
        <f t="shared" si="32"/>
        <v>#DIV/0!</v>
      </c>
    </row>
    <row r="159" spans="1:21" s="1" customFormat="1" hidden="1" x14ac:dyDescent="0.25">
      <c r="A159" s="1" t="s">
        <v>267</v>
      </c>
      <c r="B159" s="1" t="s">
        <v>269</v>
      </c>
      <c r="C159" s="1" t="s">
        <v>272</v>
      </c>
      <c r="D159" s="6">
        <v>3.5000000000000001E-3</v>
      </c>
      <c r="E159" s="1">
        <v>5.0099999999999999E-2</v>
      </c>
      <c r="F159" s="19">
        <v>64.45</v>
      </c>
      <c r="G159" s="1">
        <v>2.21</v>
      </c>
      <c r="H159" s="1">
        <v>2.21</v>
      </c>
      <c r="I159" s="1">
        <v>57.76</v>
      </c>
      <c r="J159" s="1">
        <v>2.23</v>
      </c>
      <c r="K159" s="9">
        <f t="shared" si="22"/>
        <v>64.41</v>
      </c>
      <c r="L159" s="20">
        <f t="shared" si="28"/>
        <v>0.99937936384794401</v>
      </c>
      <c r="M159" s="14" t="str">
        <f t="shared" si="29"/>
        <v/>
      </c>
      <c r="N159" s="7">
        <f t="shared" si="23"/>
        <v>120242.53731343283</v>
      </c>
      <c r="O159" s="7">
        <f t="shared" si="24"/>
        <v>4123.1343283582082</v>
      </c>
      <c r="P159" s="7">
        <f t="shared" si="25"/>
        <v>4123.1343283582082</v>
      </c>
      <c r="Q159" s="1">
        <f t="shared" si="26"/>
        <v>107761.19402985073</v>
      </c>
      <c r="R159" s="1">
        <f t="shared" si="27"/>
        <v>4160.4477611940292</v>
      </c>
      <c r="S159" s="14">
        <f t="shared" si="30"/>
        <v>120167.91044776117</v>
      </c>
      <c r="T159" s="10">
        <f t="shared" si="31"/>
        <v>6.2063615205598015E-4</v>
      </c>
      <c r="U159" s="14" t="str">
        <f t="shared" si="32"/>
        <v/>
      </c>
    </row>
    <row r="160" spans="1:21" s="1" customFormat="1" hidden="1" x14ac:dyDescent="0.25">
      <c r="A160" s="1" t="s">
        <v>267</v>
      </c>
      <c r="B160" s="1" t="s">
        <v>269</v>
      </c>
      <c r="C160" s="1" t="s">
        <v>273</v>
      </c>
      <c r="D160" s="6">
        <v>4.0000000000000001E-3</v>
      </c>
      <c r="E160" s="1">
        <v>9.11E-2</v>
      </c>
      <c r="F160" s="19">
        <v>105.21</v>
      </c>
      <c r="G160" s="1">
        <v>5.47</v>
      </c>
      <c r="H160" s="1">
        <v>5.49</v>
      </c>
      <c r="I160" s="1">
        <v>88.77</v>
      </c>
      <c r="J160" s="1">
        <v>5.45</v>
      </c>
      <c r="K160" s="9">
        <f t="shared" si="22"/>
        <v>105.17999999999999</v>
      </c>
      <c r="L160" s="20">
        <f t="shared" si="28"/>
        <v>0.99971485600228116</v>
      </c>
      <c r="M160" s="14" t="str">
        <f t="shared" si="29"/>
        <v/>
      </c>
      <c r="N160" s="7">
        <f t="shared" si="23"/>
        <v>110630.91482649841</v>
      </c>
      <c r="O160" s="7">
        <f t="shared" si="24"/>
        <v>5751.8401682439535</v>
      </c>
      <c r="P160" s="7">
        <f t="shared" si="25"/>
        <v>5772.8706624605675</v>
      </c>
      <c r="Q160" s="1">
        <f t="shared" si="26"/>
        <v>93343.848580441641</v>
      </c>
      <c r="R160" s="1">
        <f t="shared" si="27"/>
        <v>5730.8096740273395</v>
      </c>
      <c r="S160" s="14">
        <f t="shared" si="30"/>
        <v>110599.3690851735</v>
      </c>
      <c r="T160" s="10">
        <f t="shared" si="31"/>
        <v>2.851439977187439E-4</v>
      </c>
      <c r="U160" s="14" t="str">
        <f t="shared" si="32"/>
        <v/>
      </c>
    </row>
    <row r="161" spans="1:21" s="1" customFormat="1" hidden="1" x14ac:dyDescent="0.25">
      <c r="A161" s="1" t="s">
        <v>267</v>
      </c>
      <c r="B161" s="1" t="s">
        <v>269</v>
      </c>
      <c r="C161" s="1" t="s">
        <v>274</v>
      </c>
      <c r="D161" s="6">
        <v>3.3999999999999998E-3</v>
      </c>
      <c r="E161" s="1">
        <v>8.72E-2</v>
      </c>
      <c r="F161" s="1">
        <v>204.47</v>
      </c>
      <c r="G161" s="1">
        <v>5.94</v>
      </c>
      <c r="H161" s="1">
        <v>5.97</v>
      </c>
      <c r="I161" s="1">
        <v>195.52</v>
      </c>
      <c r="J161" s="1">
        <v>5.96</v>
      </c>
      <c r="K161" s="9">
        <f t="shared" si="22"/>
        <v>213.39000000000001</v>
      </c>
      <c r="L161" s="20">
        <f t="shared" si="28"/>
        <v>1.0436249816599013</v>
      </c>
      <c r="M161" s="14" t="str">
        <f t="shared" si="29"/>
        <v/>
      </c>
      <c r="N161" s="7">
        <f t="shared" si="23"/>
        <v>225684.32671081676</v>
      </c>
      <c r="O161" s="7">
        <f t="shared" si="24"/>
        <v>6556.2913907284765</v>
      </c>
      <c r="P161" s="7">
        <f t="shared" si="25"/>
        <v>6589.4039735099341</v>
      </c>
      <c r="Q161" s="1">
        <f t="shared" si="26"/>
        <v>215805.7395143488</v>
      </c>
      <c r="R161" s="1">
        <f t="shared" si="27"/>
        <v>6578.3664459161146</v>
      </c>
      <c r="S161" s="14">
        <f t="shared" si="30"/>
        <v>235529.80132450332</v>
      </c>
      <c r="T161" s="10">
        <f t="shared" si="31"/>
        <v>-4.3624981659901314E-2</v>
      </c>
      <c r="U161" s="14" t="str">
        <f t="shared" si="32"/>
        <v/>
      </c>
    </row>
    <row r="162" spans="1:21" s="1" customFormat="1" hidden="1" x14ac:dyDescent="0.25">
      <c r="A162" s="1" t="s">
        <v>267</v>
      </c>
      <c r="B162" s="1" t="s">
        <v>269</v>
      </c>
      <c r="C162" s="1" t="s">
        <v>275</v>
      </c>
      <c r="D162" s="6">
        <v>3.0999999999999999E-3</v>
      </c>
      <c r="E162" s="1">
        <v>6.8099999999999994E-2</v>
      </c>
      <c r="F162" s="19">
        <v>125.93</v>
      </c>
      <c r="G162" s="1">
        <v>5.42</v>
      </c>
      <c r="H162" s="1">
        <v>5.46</v>
      </c>
      <c r="I162" s="1">
        <v>103.77</v>
      </c>
      <c r="J162" s="1">
        <v>5.46</v>
      </c>
      <c r="K162" s="9">
        <f t="shared" si="22"/>
        <v>120.10999999999999</v>
      </c>
      <c r="L162" s="20">
        <f t="shared" si="28"/>
        <v>0.95378384816961792</v>
      </c>
      <c r="M162" s="14" t="str">
        <f t="shared" si="29"/>
        <v/>
      </c>
      <c r="N162" s="7">
        <f t="shared" si="23"/>
        <v>176867.97752808992</v>
      </c>
      <c r="O162" s="7">
        <f t="shared" si="24"/>
        <v>7612.3595505617968</v>
      </c>
      <c r="P162" s="7">
        <f t="shared" si="25"/>
        <v>7668.5393258426966</v>
      </c>
      <c r="Q162" s="1">
        <f t="shared" si="26"/>
        <v>145744.38202247189</v>
      </c>
      <c r="R162" s="1">
        <f t="shared" si="27"/>
        <v>7668.5393258426966</v>
      </c>
      <c r="S162" s="14">
        <f t="shared" si="30"/>
        <v>168693.82022471909</v>
      </c>
      <c r="T162" s="10">
        <f t="shared" si="31"/>
        <v>4.6216151830382177E-2</v>
      </c>
      <c r="U162" s="14" t="str">
        <f t="shared" si="32"/>
        <v/>
      </c>
    </row>
    <row r="163" spans="1:21" s="1" customFormat="1" hidden="1" x14ac:dyDescent="0.25">
      <c r="A163" s="1" t="s">
        <v>267</v>
      </c>
      <c r="B163" s="1" t="s">
        <v>269</v>
      </c>
      <c r="C163" s="1" t="s">
        <v>276</v>
      </c>
      <c r="D163" s="6">
        <v>2.7000000000000001E-3</v>
      </c>
      <c r="E163" s="1">
        <v>4.87E-2</v>
      </c>
      <c r="F163" s="19">
        <v>259.05</v>
      </c>
      <c r="G163" s="1">
        <v>3.05</v>
      </c>
      <c r="H163" s="1">
        <v>3.03</v>
      </c>
      <c r="I163" s="1">
        <v>244.17</v>
      </c>
      <c r="J163" s="1">
        <v>3.04</v>
      </c>
      <c r="K163" s="9">
        <f t="shared" si="22"/>
        <v>253.29</v>
      </c>
      <c r="L163" s="20">
        <f t="shared" si="28"/>
        <v>0.9777649102489866</v>
      </c>
      <c r="M163" s="14" t="str">
        <f t="shared" si="29"/>
        <v/>
      </c>
      <c r="N163" s="7">
        <f t="shared" si="23"/>
        <v>503988.32684824901</v>
      </c>
      <c r="O163" s="7">
        <f t="shared" si="24"/>
        <v>5933.8521400778209</v>
      </c>
      <c r="P163" s="7">
        <f t="shared" si="25"/>
        <v>5894.9416342412451</v>
      </c>
      <c r="Q163" s="1">
        <f t="shared" si="26"/>
        <v>475038.91050583654</v>
      </c>
      <c r="R163" s="1">
        <f t="shared" si="27"/>
        <v>5914.3968871595325</v>
      </c>
      <c r="S163" s="14">
        <f t="shared" si="30"/>
        <v>492782.10116731515</v>
      </c>
      <c r="T163" s="10">
        <f t="shared" si="31"/>
        <v>2.2235089751013331E-2</v>
      </c>
      <c r="U163" s="14" t="str">
        <f t="shared" si="32"/>
        <v/>
      </c>
    </row>
    <row r="164" spans="1:21" s="1" customFormat="1" hidden="1" x14ac:dyDescent="0.25">
      <c r="A164" s="1" t="s">
        <v>267</v>
      </c>
      <c r="B164" s="1" t="s">
        <v>269</v>
      </c>
      <c r="C164" s="1" t="s">
        <v>277</v>
      </c>
      <c r="D164" s="6">
        <v>2.3E-3</v>
      </c>
      <c r="E164" s="1">
        <v>8.3099999999999993E-2</v>
      </c>
      <c r="F164" s="1">
        <v>36.11</v>
      </c>
      <c r="G164" s="1">
        <v>2.86</v>
      </c>
      <c r="H164" s="1">
        <v>2.87</v>
      </c>
      <c r="I164" s="1">
        <v>28.15</v>
      </c>
      <c r="J164" s="1">
        <v>2.88</v>
      </c>
      <c r="K164" s="9">
        <f t="shared" si="22"/>
        <v>36.76</v>
      </c>
      <c r="L164" s="20">
        <f t="shared" si="28"/>
        <v>1.0180005538631958</v>
      </c>
      <c r="M164" s="14" t="str">
        <f t="shared" si="29"/>
        <v/>
      </c>
      <c r="N164" s="7">
        <f t="shared" si="23"/>
        <v>42283.372365339586</v>
      </c>
      <c r="O164" s="7">
        <f t="shared" si="24"/>
        <v>3348.946135831382</v>
      </c>
      <c r="P164" s="7">
        <f t="shared" si="25"/>
        <v>3360.6557377049185</v>
      </c>
      <c r="Q164" s="1">
        <f t="shared" si="26"/>
        <v>32962.529274004686</v>
      </c>
      <c r="R164" s="1">
        <f t="shared" si="27"/>
        <v>3372.3653395784545</v>
      </c>
      <c r="S164" s="14">
        <f t="shared" si="30"/>
        <v>43044.496487119446</v>
      </c>
      <c r="T164" s="10">
        <f t="shared" si="31"/>
        <v>-1.8000553863195792E-2</v>
      </c>
      <c r="U164" s="14" t="str">
        <f t="shared" si="32"/>
        <v/>
      </c>
    </row>
    <row r="165" spans="1:21" s="1" customFormat="1" hidden="1" x14ac:dyDescent="0.25">
      <c r="A165" s="1" t="s">
        <v>267</v>
      </c>
      <c r="B165" s="1" t="s">
        <v>12</v>
      </c>
      <c r="C165" s="1" t="s">
        <v>278</v>
      </c>
      <c r="D165" s="6">
        <v>2.5000000000000001E-3</v>
      </c>
      <c r="E165" s="1">
        <v>6.2399999999999997E-2</v>
      </c>
      <c r="F165" s="19">
        <v>223.79</v>
      </c>
      <c r="G165" s="1">
        <v>6.59</v>
      </c>
      <c r="H165" s="1">
        <v>6.59</v>
      </c>
      <c r="I165" s="1">
        <v>182.27</v>
      </c>
      <c r="J165" s="1">
        <v>6.59</v>
      </c>
      <c r="K165" s="9">
        <f t="shared" si="22"/>
        <v>202.04000000000002</v>
      </c>
      <c r="L165" s="20">
        <f t="shared" si="28"/>
        <v>0.90281067071808407</v>
      </c>
      <c r="M165" s="14" t="str">
        <f t="shared" si="29"/>
        <v/>
      </c>
      <c r="N165" s="7">
        <f t="shared" si="23"/>
        <v>344822.80431432975</v>
      </c>
      <c r="O165" s="7">
        <f t="shared" si="24"/>
        <v>10154.083204930663</v>
      </c>
      <c r="P165" s="7">
        <f t="shared" si="25"/>
        <v>10154.083204930663</v>
      </c>
      <c r="Q165" s="1">
        <f t="shared" si="26"/>
        <v>280847.45762711868</v>
      </c>
      <c r="R165" s="1">
        <f t="shared" si="27"/>
        <v>10154.083204930663</v>
      </c>
      <c r="S165" s="14">
        <f t="shared" si="30"/>
        <v>311309.70724191063</v>
      </c>
      <c r="T165" s="10">
        <f t="shared" si="31"/>
        <v>9.7189329281916148E-2</v>
      </c>
      <c r="U165" s="14" t="str">
        <f t="shared" si="32"/>
        <v/>
      </c>
    </row>
    <row r="166" spans="1:21" s="1" customFormat="1" hidden="1" x14ac:dyDescent="0.25">
      <c r="A166" s="1" t="s">
        <v>267</v>
      </c>
      <c r="B166" s="1" t="s">
        <v>12</v>
      </c>
      <c r="C166" s="1" t="s">
        <v>279</v>
      </c>
      <c r="D166" s="6">
        <v>4.5999999999999999E-3</v>
      </c>
      <c r="E166" s="1">
        <v>3.8699999999999998E-2</v>
      </c>
      <c r="F166" s="1">
        <v>51.56</v>
      </c>
      <c r="G166" s="1">
        <v>3.43</v>
      </c>
      <c r="H166" s="1">
        <v>3.48</v>
      </c>
      <c r="I166" s="1">
        <v>41.54</v>
      </c>
      <c r="J166" s="1">
        <v>3.43</v>
      </c>
      <c r="K166" s="9">
        <f t="shared" si="22"/>
        <v>51.88</v>
      </c>
      <c r="L166" s="20">
        <f t="shared" si="28"/>
        <v>1.0062063615205585</v>
      </c>
      <c r="M166" s="14" t="str">
        <f t="shared" si="29"/>
        <v/>
      </c>
      <c r="N166" s="7">
        <f t="shared" si="23"/>
        <v>119076.21247113166</v>
      </c>
      <c r="O166" s="7">
        <f t="shared" si="24"/>
        <v>7921.4780600461909</v>
      </c>
      <c r="P166" s="7">
        <f t="shared" si="25"/>
        <v>8036.9515011547346</v>
      </c>
      <c r="Q166" s="1">
        <f t="shared" si="26"/>
        <v>95935.33487297922</v>
      </c>
      <c r="R166" s="1">
        <f t="shared" si="27"/>
        <v>7921.4780600461909</v>
      </c>
      <c r="S166" s="14">
        <f t="shared" si="30"/>
        <v>119815.24249422635</v>
      </c>
      <c r="T166" s="10">
        <f t="shared" si="31"/>
        <v>-6.2063615205585751E-3</v>
      </c>
      <c r="U166" s="14" t="str">
        <f t="shared" si="32"/>
        <v/>
      </c>
    </row>
    <row r="167" spans="1:21" s="1" customFormat="1" hidden="1" x14ac:dyDescent="0.25">
      <c r="A167" s="1" t="s">
        <v>267</v>
      </c>
      <c r="B167" s="1" t="s">
        <v>12</v>
      </c>
      <c r="C167" s="1" t="s">
        <v>280</v>
      </c>
      <c r="D167" s="6">
        <v>2.5999999999999999E-3</v>
      </c>
      <c r="E167" s="1">
        <v>7.5600000000000001E-2</v>
      </c>
      <c r="F167" s="19">
        <v>283.31</v>
      </c>
      <c r="G167" s="1">
        <v>2.79</v>
      </c>
      <c r="H167" s="1">
        <v>2.8</v>
      </c>
      <c r="I167" s="1">
        <v>286.95999999999998</v>
      </c>
      <c r="J167" s="1">
        <v>2.81</v>
      </c>
      <c r="K167" s="9">
        <f t="shared" si="22"/>
        <v>295.35999999999996</v>
      </c>
      <c r="L167" s="20">
        <f t="shared" si="28"/>
        <v>1.0425329144753095</v>
      </c>
      <c r="M167" s="14" t="str">
        <f t="shared" si="29"/>
        <v/>
      </c>
      <c r="N167" s="7">
        <f t="shared" si="23"/>
        <v>362289.00255754474</v>
      </c>
      <c r="O167" s="7">
        <f t="shared" si="24"/>
        <v>3567.7749360613811</v>
      </c>
      <c r="P167" s="7">
        <f t="shared" si="25"/>
        <v>3580.5626598465465</v>
      </c>
      <c r="Q167" s="1">
        <f t="shared" si="26"/>
        <v>366956.52173913037</v>
      </c>
      <c r="R167" s="1">
        <f t="shared" si="27"/>
        <v>3593.3503836317136</v>
      </c>
      <c r="S167" s="14">
        <f t="shared" si="30"/>
        <v>377698.20971867</v>
      </c>
      <c r="T167" s="10">
        <f t="shared" si="31"/>
        <v>-4.2532914475309574E-2</v>
      </c>
      <c r="U167" s="14" t="str">
        <f t="shared" si="32"/>
        <v/>
      </c>
    </row>
    <row r="168" spans="1:21" s="1" customFormat="1" hidden="1" x14ac:dyDescent="0.25">
      <c r="A168" s="1" t="s">
        <v>267</v>
      </c>
      <c r="B168" s="1" t="s">
        <v>12</v>
      </c>
      <c r="C168" s="1" t="s">
        <v>281</v>
      </c>
      <c r="D168" s="6">
        <v>4.7999999999999996E-3</v>
      </c>
      <c r="E168" s="1">
        <v>4.9799999999999997E-2</v>
      </c>
      <c r="F168" s="19">
        <v>523.30999999999995</v>
      </c>
      <c r="G168" s="1">
        <v>3.92</v>
      </c>
      <c r="H168" s="1">
        <v>3.94</v>
      </c>
      <c r="I168" s="1">
        <v>461.11</v>
      </c>
      <c r="J168" s="1">
        <v>3.98</v>
      </c>
      <c r="K168" s="9">
        <f t="shared" si="22"/>
        <v>472.95000000000005</v>
      </c>
      <c r="L168" s="20">
        <f t="shared" si="28"/>
        <v>0.9037664099673236</v>
      </c>
      <c r="M168" s="14" t="str">
        <f t="shared" si="29"/>
        <v/>
      </c>
      <c r="N168" s="7">
        <f t="shared" si="23"/>
        <v>958443.2234432234</v>
      </c>
      <c r="O168" s="7">
        <f t="shared" si="24"/>
        <v>7179.4871794871797</v>
      </c>
      <c r="P168" s="7">
        <f t="shared" si="25"/>
        <v>7216.1172161172162</v>
      </c>
      <c r="Q168" s="1">
        <f t="shared" si="26"/>
        <v>844523.80952380958</v>
      </c>
      <c r="R168" s="1">
        <f t="shared" si="27"/>
        <v>7289.3772893772903</v>
      </c>
      <c r="S168" s="14">
        <f t="shared" si="30"/>
        <v>866208.7912087912</v>
      </c>
      <c r="T168" s="10">
        <f t="shared" si="31"/>
        <v>9.6233590032676578E-2</v>
      </c>
      <c r="U168" s="14" t="str">
        <f t="shared" si="32"/>
        <v/>
      </c>
    </row>
    <row r="169" spans="1:21" s="1" customFormat="1" hidden="1" x14ac:dyDescent="0.25">
      <c r="A169" s="1" t="s">
        <v>267</v>
      </c>
      <c r="B169" s="1" t="s">
        <v>12</v>
      </c>
      <c r="C169" s="1" t="s">
        <v>282</v>
      </c>
      <c r="D169" s="6">
        <v>3.5000000000000001E-3</v>
      </c>
      <c r="E169" s="1">
        <v>5.5599999999999997E-2</v>
      </c>
      <c r="F169" s="1">
        <v>317.42</v>
      </c>
      <c r="G169" s="1">
        <v>3.91</v>
      </c>
      <c r="H169" s="1">
        <v>3.93</v>
      </c>
      <c r="I169" s="1">
        <v>297.7</v>
      </c>
      <c r="J169" s="1">
        <v>3.98</v>
      </c>
      <c r="K169" s="9">
        <f t="shared" si="22"/>
        <v>309.52</v>
      </c>
      <c r="L169" s="20">
        <f t="shared" si="28"/>
        <v>0.9751118392035788</v>
      </c>
      <c r="M169" s="14" t="str">
        <f t="shared" si="29"/>
        <v/>
      </c>
      <c r="N169" s="7">
        <f t="shared" si="23"/>
        <v>537089.67851099838</v>
      </c>
      <c r="O169" s="7">
        <f t="shared" si="24"/>
        <v>6615.9052453468703</v>
      </c>
      <c r="P169" s="7">
        <f t="shared" si="25"/>
        <v>6649.7461928934017</v>
      </c>
      <c r="Q169" s="1">
        <f t="shared" si="26"/>
        <v>503722.50423011847</v>
      </c>
      <c r="R169" s="1">
        <f t="shared" si="27"/>
        <v>6734.3485617597298</v>
      </c>
      <c r="S169" s="14">
        <f t="shared" si="30"/>
        <v>523722.50423011847</v>
      </c>
      <c r="T169" s="10">
        <f t="shared" si="31"/>
        <v>2.4888160796421213E-2</v>
      </c>
      <c r="U169" s="14" t="str">
        <f t="shared" si="32"/>
        <v/>
      </c>
    </row>
    <row r="170" spans="1:21" s="1" customFormat="1" hidden="1" x14ac:dyDescent="0.25">
      <c r="A170" s="1" t="s">
        <v>267</v>
      </c>
      <c r="B170" s="1" t="s">
        <v>12</v>
      </c>
      <c r="C170" s="1" t="s">
        <v>283</v>
      </c>
      <c r="D170" s="6">
        <v>4.4999999999999997E-3</v>
      </c>
      <c r="E170" s="1">
        <v>7.0400000000000004E-2</v>
      </c>
      <c r="F170" s="1">
        <v>573.01</v>
      </c>
      <c r="G170" s="1">
        <v>6.16</v>
      </c>
      <c r="H170" s="1">
        <v>6.19</v>
      </c>
      <c r="I170" s="1">
        <v>511.48</v>
      </c>
      <c r="J170" s="1">
        <v>6.18</v>
      </c>
      <c r="K170" s="9">
        <f t="shared" si="22"/>
        <v>530.01</v>
      </c>
      <c r="L170" s="20">
        <f t="shared" si="28"/>
        <v>0.9249576796216471</v>
      </c>
      <c r="M170" s="14" t="str">
        <f t="shared" si="29"/>
        <v/>
      </c>
      <c r="N170" s="7">
        <f t="shared" si="23"/>
        <v>765033.37783711602</v>
      </c>
      <c r="O170" s="7">
        <f t="shared" si="24"/>
        <v>8224.2990654205605</v>
      </c>
      <c r="P170" s="7">
        <f t="shared" si="25"/>
        <v>8264.3524699599475</v>
      </c>
      <c r="Q170" s="1">
        <f t="shared" si="26"/>
        <v>682883.84512683575</v>
      </c>
      <c r="R170" s="1">
        <f t="shared" si="27"/>
        <v>8251.0013351134839</v>
      </c>
      <c r="S170" s="14">
        <f t="shared" si="30"/>
        <v>707623.4979973298</v>
      </c>
      <c r="T170" s="10">
        <f t="shared" si="31"/>
        <v>7.5042320378352706E-2</v>
      </c>
      <c r="U170" s="14" t="str">
        <f t="shared" si="32"/>
        <v/>
      </c>
    </row>
    <row r="171" spans="1:21" s="1" customFormat="1" hidden="1" x14ac:dyDescent="0.25">
      <c r="A171" s="1" t="s">
        <v>267</v>
      </c>
      <c r="B171" s="1" t="s">
        <v>12</v>
      </c>
      <c r="C171" s="1" t="s">
        <v>284</v>
      </c>
      <c r="D171" s="6">
        <v>3.0999999999999999E-3</v>
      </c>
      <c r="E171" s="1">
        <v>8.9099999999999999E-2</v>
      </c>
      <c r="F171" s="19">
        <v>705.41</v>
      </c>
      <c r="G171" s="1">
        <v>4.07</v>
      </c>
      <c r="H171" s="1">
        <v>4.0599999999999996</v>
      </c>
      <c r="I171" s="1">
        <v>756.31</v>
      </c>
      <c r="J171" s="1">
        <v>4.13</v>
      </c>
      <c r="K171" s="9">
        <f t="shared" si="22"/>
        <v>768.56999999999994</v>
      </c>
      <c r="L171" s="20">
        <f t="shared" si="28"/>
        <v>1.0895365815624956</v>
      </c>
      <c r="M171" s="14" t="str">
        <f t="shared" si="29"/>
        <v/>
      </c>
      <c r="N171" s="7">
        <f t="shared" si="23"/>
        <v>765086.76789587841</v>
      </c>
      <c r="O171" s="7">
        <f t="shared" si="24"/>
        <v>4414.3167028199568</v>
      </c>
      <c r="P171" s="7">
        <f t="shared" si="25"/>
        <v>4403.4707158351403</v>
      </c>
      <c r="Q171" s="1">
        <f t="shared" si="26"/>
        <v>820292.84164859005</v>
      </c>
      <c r="R171" s="1">
        <f t="shared" si="27"/>
        <v>4479.39262472885</v>
      </c>
      <c r="S171" s="14">
        <f t="shared" si="30"/>
        <v>833590.02169197402</v>
      </c>
      <c r="T171" s="10">
        <f t="shared" si="31"/>
        <v>-8.9536581562495804E-2</v>
      </c>
      <c r="U171" s="14" t="str">
        <f t="shared" si="32"/>
        <v/>
      </c>
    </row>
    <row r="172" spans="1:21" s="1" customFormat="1" hidden="1" x14ac:dyDescent="0.25">
      <c r="A172" s="1" t="s">
        <v>267</v>
      </c>
      <c r="B172" s="1" t="s">
        <v>12</v>
      </c>
      <c r="C172" s="1" t="s">
        <v>285</v>
      </c>
      <c r="D172" s="6">
        <v>3.3E-3</v>
      </c>
      <c r="E172" s="1">
        <v>2.93E-2</v>
      </c>
      <c r="F172" s="19">
        <v>1597.1</v>
      </c>
      <c r="G172" s="1">
        <v>22.45</v>
      </c>
      <c r="H172" s="1">
        <v>22.56</v>
      </c>
      <c r="I172" s="1">
        <v>1449.78</v>
      </c>
      <c r="J172" s="1">
        <v>22.42</v>
      </c>
      <c r="K172" s="9">
        <f t="shared" si="22"/>
        <v>1517.21</v>
      </c>
      <c r="L172" s="20">
        <f t="shared" si="28"/>
        <v>0.94997808527956928</v>
      </c>
      <c r="M172" s="14" t="str">
        <f t="shared" si="29"/>
        <v/>
      </c>
      <c r="N172" s="7">
        <f t="shared" si="23"/>
        <v>4899079.7546012271</v>
      </c>
      <c r="O172" s="7">
        <f t="shared" si="24"/>
        <v>68865.030674846625</v>
      </c>
      <c r="P172" s="7">
        <f t="shared" si="25"/>
        <v>69202.45398773007</v>
      </c>
      <c r="Q172" s="1">
        <f t="shared" si="26"/>
        <v>4447177.9141104296</v>
      </c>
      <c r="R172" s="1">
        <f t="shared" si="27"/>
        <v>68773.006134969342</v>
      </c>
      <c r="S172" s="14">
        <f t="shared" si="30"/>
        <v>4654018.4049079753</v>
      </c>
      <c r="T172" s="10">
        <f t="shared" si="31"/>
        <v>5.0021914720430827E-2</v>
      </c>
      <c r="U172" s="14" t="str">
        <f t="shared" si="32"/>
        <v/>
      </c>
    </row>
    <row r="173" spans="1:21" s="1" customFormat="1" hidden="1" x14ac:dyDescent="0.25">
      <c r="A173" s="1" t="s">
        <v>267</v>
      </c>
      <c r="B173" s="1" t="s">
        <v>12</v>
      </c>
      <c r="C173" s="1" t="s">
        <v>286</v>
      </c>
      <c r="D173" s="6">
        <v>2.8000000000000001E-2</v>
      </c>
      <c r="E173" s="1">
        <v>9.7100000000000006E-2</v>
      </c>
      <c r="F173" s="1">
        <v>92.76</v>
      </c>
      <c r="G173" s="1">
        <v>6.71</v>
      </c>
      <c r="H173" s="1">
        <v>6.7</v>
      </c>
      <c r="I173" s="1">
        <v>71.58</v>
      </c>
      <c r="J173" s="1">
        <v>6.71</v>
      </c>
      <c r="K173" s="9">
        <f t="shared" si="22"/>
        <v>91.699999999999989</v>
      </c>
      <c r="L173" s="20">
        <f t="shared" si="28"/>
        <v>0.98857266062958149</v>
      </c>
      <c r="M173" s="14" t="str">
        <f t="shared" si="29"/>
        <v/>
      </c>
      <c r="N173" s="7">
        <f t="shared" si="23"/>
        <v>74148.681055155874</v>
      </c>
      <c r="O173" s="7">
        <f t="shared" si="24"/>
        <v>5363.7090327737806</v>
      </c>
      <c r="P173" s="7">
        <f t="shared" si="25"/>
        <v>5355.7154276578731</v>
      </c>
      <c r="Q173" s="1">
        <f t="shared" si="26"/>
        <v>57218.225419664261</v>
      </c>
      <c r="R173" s="1">
        <f t="shared" si="27"/>
        <v>5363.7090327737806</v>
      </c>
      <c r="S173" s="14">
        <f t="shared" si="30"/>
        <v>73301.358912869691</v>
      </c>
      <c r="T173" s="10">
        <f t="shared" si="31"/>
        <v>1.1427339370418439E-2</v>
      </c>
      <c r="U173" s="14" t="str">
        <f t="shared" si="32"/>
        <v/>
      </c>
    </row>
    <row r="174" spans="1:21" s="1" customFormat="1" hidden="1" x14ac:dyDescent="0.25">
      <c r="A174" s="1" t="s">
        <v>602</v>
      </c>
      <c r="B174" s="1" t="s">
        <v>123</v>
      </c>
      <c r="C174" s="1" t="s">
        <v>603</v>
      </c>
      <c r="D174" s="6">
        <v>0.87949999999999995</v>
      </c>
      <c r="E174" s="1">
        <v>2.5840000000000001</v>
      </c>
      <c r="F174" s="1">
        <v>1034.75</v>
      </c>
      <c r="G174" s="1">
        <v>115.76</v>
      </c>
      <c r="H174" s="1">
        <v>115.82</v>
      </c>
      <c r="I174" s="1">
        <v>687.73</v>
      </c>
      <c r="J174" s="1">
        <v>115.44</v>
      </c>
      <c r="K174" s="9">
        <f t="shared" si="22"/>
        <v>1034.75</v>
      </c>
      <c r="L174" s="20">
        <f t="shared" si="28"/>
        <v>1</v>
      </c>
      <c r="M174" s="14" t="str">
        <f t="shared" si="29"/>
        <v/>
      </c>
      <c r="N174" s="7">
        <f t="shared" si="23"/>
        <v>29875.848130503829</v>
      </c>
      <c r="O174" s="7">
        <f t="shared" si="24"/>
        <v>3342.2838169481743</v>
      </c>
      <c r="P174" s="7">
        <f t="shared" si="25"/>
        <v>3344.0161686155625</v>
      </c>
      <c r="Q174" s="1">
        <f t="shared" si="26"/>
        <v>19856.503536884658</v>
      </c>
      <c r="R174" s="1">
        <f t="shared" si="27"/>
        <v>3333.0446080554352</v>
      </c>
      <c r="S174" s="14">
        <f t="shared" si="30"/>
        <v>29875.848130503833</v>
      </c>
      <c r="T174" s="10">
        <f t="shared" si="31"/>
        <v>-1.2176989222867501E-16</v>
      </c>
      <c r="U174" s="14" t="str">
        <f t="shared" si="32"/>
        <v/>
      </c>
    </row>
    <row r="175" spans="1:21" s="1" customFormat="1" hidden="1" x14ac:dyDescent="0.25">
      <c r="A175" s="1" t="s">
        <v>287</v>
      </c>
      <c r="B175" s="1" t="s">
        <v>288</v>
      </c>
      <c r="C175" s="1" t="s">
        <v>289</v>
      </c>
      <c r="D175" s="6">
        <v>6.0000000000000001E-3</v>
      </c>
      <c r="E175" s="1">
        <v>0.87319999999999998</v>
      </c>
      <c r="F175" s="1">
        <v>115.36</v>
      </c>
      <c r="G175" s="1">
        <v>29.15</v>
      </c>
      <c r="H175" s="1">
        <v>29.16</v>
      </c>
      <c r="I175" s="1">
        <v>29.16</v>
      </c>
      <c r="J175" s="1">
        <v>29.14</v>
      </c>
      <c r="K175" s="9">
        <f t="shared" si="22"/>
        <v>116.61</v>
      </c>
      <c r="L175" s="20">
        <f t="shared" si="28"/>
        <v>1.0108356449375866</v>
      </c>
      <c r="M175" s="14" t="str">
        <f t="shared" si="29"/>
        <v/>
      </c>
      <c r="N175" s="7">
        <f t="shared" si="23"/>
        <v>13121.019108280254</v>
      </c>
      <c r="O175" s="7">
        <f t="shared" si="24"/>
        <v>3315.5141037306644</v>
      </c>
      <c r="P175" s="7">
        <f t="shared" si="25"/>
        <v>3316.6515013648768</v>
      </c>
      <c r="Q175" s="1">
        <f t="shared" si="26"/>
        <v>3316.6515013648768</v>
      </c>
      <c r="R175" s="1">
        <f t="shared" si="27"/>
        <v>3314.3767060964515</v>
      </c>
      <c r="S175" s="14">
        <f t="shared" si="30"/>
        <v>13263.193812556869</v>
      </c>
      <c r="T175" s="10">
        <f t="shared" si="31"/>
        <v>-1.0835644937586651E-2</v>
      </c>
      <c r="U175" s="14" t="str">
        <f t="shared" si="32"/>
        <v/>
      </c>
    </row>
    <row r="176" spans="1:21" s="1" customFormat="1" hidden="1" x14ac:dyDescent="0.25">
      <c r="A176" s="1" t="s">
        <v>287</v>
      </c>
      <c r="B176" s="1" t="s">
        <v>288</v>
      </c>
      <c r="C176" s="1" t="s">
        <v>290</v>
      </c>
      <c r="D176" s="6">
        <v>4.7999999999999996E-3</v>
      </c>
      <c r="E176" s="1">
        <v>0.50109999999999999</v>
      </c>
      <c r="F176" s="1">
        <v>232.33</v>
      </c>
      <c r="G176" s="1">
        <v>17.57</v>
      </c>
      <c r="H176" s="1">
        <v>17.57</v>
      </c>
      <c r="I176" s="1">
        <v>180.98</v>
      </c>
      <c r="J176" s="1">
        <v>17.559999999999999</v>
      </c>
      <c r="K176" s="9">
        <f t="shared" si="22"/>
        <v>233.68</v>
      </c>
      <c r="L176" s="20">
        <f t="shared" si="28"/>
        <v>1.0058107002969914</v>
      </c>
      <c r="M176" s="14" t="str">
        <f t="shared" si="29"/>
        <v/>
      </c>
      <c r="N176" s="7">
        <f t="shared" si="23"/>
        <v>45924.095671081246</v>
      </c>
      <c r="O176" s="7">
        <f t="shared" si="24"/>
        <v>3473.01838307966</v>
      </c>
      <c r="P176" s="7">
        <f t="shared" si="25"/>
        <v>3473.01838307966</v>
      </c>
      <c r="Q176" s="1">
        <f t="shared" si="26"/>
        <v>35773.868353429527</v>
      </c>
      <c r="R176" s="1">
        <f t="shared" si="27"/>
        <v>3471.0417078474002</v>
      </c>
      <c r="S176" s="14">
        <f t="shared" si="30"/>
        <v>46190.946827436244</v>
      </c>
      <c r="T176" s="10">
        <f t="shared" si="31"/>
        <v>-5.8107002969910726E-3</v>
      </c>
      <c r="U176" s="14" t="str">
        <f t="shared" si="32"/>
        <v/>
      </c>
    </row>
    <row r="177" spans="1:21" s="1" customFormat="1" hidden="1" x14ac:dyDescent="0.25">
      <c r="A177" s="1" t="s">
        <v>287</v>
      </c>
      <c r="B177" s="1" t="s">
        <v>288</v>
      </c>
      <c r="C177" s="1" t="s">
        <v>291</v>
      </c>
      <c r="D177" s="6">
        <v>3.7000000000000002E-3</v>
      </c>
      <c r="E177" s="1">
        <v>0.99719999999999998</v>
      </c>
      <c r="F177" s="1">
        <v>73.878</v>
      </c>
      <c r="G177" s="1">
        <v>29.55</v>
      </c>
      <c r="H177" s="1">
        <v>30.9</v>
      </c>
      <c r="I177" s="1">
        <v>0</v>
      </c>
      <c r="J177" s="1">
        <v>14.79</v>
      </c>
      <c r="K177" s="9">
        <f t="shared" si="22"/>
        <v>75.240000000000009</v>
      </c>
      <c r="L177" s="20">
        <f t="shared" si="28"/>
        <v>1.0184357995614393</v>
      </c>
      <c r="M177" s="14" t="str">
        <f t="shared" si="29"/>
        <v/>
      </c>
      <c r="N177" s="7">
        <f t="shared" si="23"/>
        <v>7381.1569587371368</v>
      </c>
      <c r="O177" s="7">
        <f t="shared" si="24"/>
        <v>2952.3428913977423</v>
      </c>
      <c r="P177" s="7">
        <f t="shared" si="25"/>
        <v>3087.2215006494157</v>
      </c>
      <c r="Q177" s="1">
        <f t="shared" si="26"/>
        <v>0</v>
      </c>
      <c r="R177" s="1">
        <f t="shared" si="27"/>
        <v>1477.6700969127785</v>
      </c>
      <c r="S177" s="14">
        <f t="shared" si="30"/>
        <v>7517.2344889599362</v>
      </c>
      <c r="T177" s="10">
        <f t="shared" si="31"/>
        <v>-1.8435799561439117E-2</v>
      </c>
      <c r="U177" s="14" t="str">
        <f t="shared" si="32"/>
        <v/>
      </c>
    </row>
    <row r="178" spans="1:21" s="1" customFormat="1" hidden="1" x14ac:dyDescent="0.25">
      <c r="A178" s="1" t="s">
        <v>287</v>
      </c>
      <c r="B178" s="1" t="s">
        <v>288</v>
      </c>
      <c r="C178" s="1" t="s">
        <v>292</v>
      </c>
      <c r="D178" s="6">
        <v>4.1000000000000003E-3</v>
      </c>
      <c r="E178" s="1">
        <v>0.7</v>
      </c>
      <c r="F178" s="1">
        <v>34.47</v>
      </c>
      <c r="G178" s="1">
        <v>18.12</v>
      </c>
      <c r="H178" s="1">
        <v>18.02</v>
      </c>
      <c r="I178" s="1">
        <v>0</v>
      </c>
      <c r="J178" s="1">
        <v>0</v>
      </c>
      <c r="K178" s="9">
        <f t="shared" si="22"/>
        <v>36.14</v>
      </c>
      <c r="L178" s="20">
        <f t="shared" si="28"/>
        <v>1.048447925732521</v>
      </c>
      <c r="M178" s="14" t="str">
        <f t="shared" si="29"/>
        <v/>
      </c>
      <c r="N178" s="7">
        <f t="shared" si="23"/>
        <v>4895.6114188325519</v>
      </c>
      <c r="O178" s="7">
        <f t="shared" si="24"/>
        <v>2573.4980826587139</v>
      </c>
      <c r="P178" s="7">
        <f t="shared" si="25"/>
        <v>2559.2955546087205</v>
      </c>
      <c r="Q178" s="1">
        <f t="shared" si="26"/>
        <v>0</v>
      </c>
      <c r="R178" s="1">
        <f t="shared" si="27"/>
        <v>0</v>
      </c>
      <c r="S178" s="14">
        <f t="shared" si="30"/>
        <v>5132.793637267434</v>
      </c>
      <c r="T178" s="10">
        <f t="shared" si="31"/>
        <v>-4.8447925732521172E-2</v>
      </c>
      <c r="U178" s="14" t="str">
        <f t="shared" si="32"/>
        <v/>
      </c>
    </row>
    <row r="179" spans="1:21" s="1" customFormat="1" hidden="1" x14ac:dyDescent="0.25">
      <c r="A179" s="1" t="s">
        <v>293</v>
      </c>
      <c r="B179" s="1" t="s">
        <v>294</v>
      </c>
      <c r="C179" s="1" t="s">
        <v>295</v>
      </c>
      <c r="D179" s="6">
        <v>1.8314999999999999</v>
      </c>
      <c r="E179" s="1">
        <v>3.9100000000000003E-2</v>
      </c>
      <c r="F179" s="1">
        <v>212.4</v>
      </c>
      <c r="G179" s="1">
        <v>62.39</v>
      </c>
      <c r="H179" s="1">
        <v>62.35</v>
      </c>
      <c r="I179" s="1">
        <v>25.28</v>
      </c>
      <c r="J179" s="19">
        <v>62.27</v>
      </c>
      <c r="K179" s="9">
        <f t="shared" si="22"/>
        <v>212.29000000000002</v>
      </c>
      <c r="L179" s="20">
        <f t="shared" si="28"/>
        <v>0.99948210922787206</v>
      </c>
      <c r="M179" s="14" t="str">
        <f t="shared" si="29"/>
        <v/>
      </c>
      <c r="N179" s="7">
        <f t="shared" si="23"/>
        <v>11354.645568266867</v>
      </c>
      <c r="O179" s="7">
        <f t="shared" si="24"/>
        <v>3335.2934887201968</v>
      </c>
      <c r="P179" s="7">
        <f t="shared" si="25"/>
        <v>3333.1551373890734</v>
      </c>
      <c r="Q179" s="1">
        <f t="shared" si="26"/>
        <v>1351.438041270181</v>
      </c>
      <c r="R179" s="1">
        <f t="shared" si="27"/>
        <v>3328.8784347268261</v>
      </c>
      <c r="S179" s="14">
        <f t="shared" si="30"/>
        <v>11348.765102106277</v>
      </c>
      <c r="T179" s="10">
        <f t="shared" si="31"/>
        <v>5.1789077212804424E-4</v>
      </c>
      <c r="U179" s="14" t="str">
        <f t="shared" si="32"/>
        <v/>
      </c>
    </row>
    <row r="180" spans="1:21" s="1" customFormat="1" hidden="1" x14ac:dyDescent="0.25">
      <c r="A180" s="1" t="s">
        <v>296</v>
      </c>
      <c r="B180" s="1" t="s">
        <v>297</v>
      </c>
      <c r="C180" s="1" t="s">
        <v>298</v>
      </c>
      <c r="D180" s="6">
        <v>0.27650000000000002</v>
      </c>
      <c r="E180" s="1">
        <v>5.7000000000000002E-3</v>
      </c>
      <c r="F180" s="1">
        <v>62.713099999999997</v>
      </c>
      <c r="G180" s="1">
        <v>9.44</v>
      </c>
      <c r="H180" s="1">
        <v>9.42</v>
      </c>
      <c r="I180" s="1">
        <v>34.9</v>
      </c>
      <c r="J180" s="1">
        <v>9.42</v>
      </c>
      <c r="K180" s="9">
        <f t="shared" si="22"/>
        <v>63.18</v>
      </c>
      <c r="L180" s="20">
        <f t="shared" si="28"/>
        <v>1.0074450154752357</v>
      </c>
      <c r="M180" s="14" t="str">
        <f t="shared" si="29"/>
        <v/>
      </c>
      <c r="N180" s="7">
        <f t="shared" si="23"/>
        <v>22222.927002126151</v>
      </c>
      <c r="O180" s="7">
        <f t="shared" si="24"/>
        <v>3345.1452870304747</v>
      </c>
      <c r="P180" s="7">
        <f t="shared" si="25"/>
        <v>3338.0581148121896</v>
      </c>
      <c r="Q180" s="1">
        <f t="shared" si="26"/>
        <v>12367.115520907157</v>
      </c>
      <c r="R180" s="1">
        <f t="shared" si="27"/>
        <v>3338.0581148121896</v>
      </c>
      <c r="S180" s="14">
        <f t="shared" si="30"/>
        <v>22388.377037562012</v>
      </c>
      <c r="T180" s="10">
        <f t="shared" si="31"/>
        <v>-7.4450154752356158E-3</v>
      </c>
      <c r="U180" s="14" t="str">
        <f t="shared" si="32"/>
        <v/>
      </c>
    </row>
    <row r="181" spans="1:21" s="1" customFormat="1" hidden="1" x14ac:dyDescent="0.25">
      <c r="A181" s="1" t="s">
        <v>299</v>
      </c>
      <c r="B181" s="1" t="s">
        <v>300</v>
      </c>
      <c r="C181" s="1" t="s">
        <v>301</v>
      </c>
      <c r="D181" s="6">
        <v>0.214</v>
      </c>
      <c r="E181" s="1">
        <v>1.2065999999999999</v>
      </c>
      <c r="F181" s="1">
        <v>85.18</v>
      </c>
      <c r="G181" s="1">
        <v>43.71</v>
      </c>
      <c r="H181" s="1">
        <v>44.05</v>
      </c>
      <c r="I181" s="1">
        <v>0</v>
      </c>
      <c r="J181" s="1">
        <v>0</v>
      </c>
      <c r="K181" s="9">
        <f t="shared" si="22"/>
        <v>87.759999999999991</v>
      </c>
      <c r="L181" s="20">
        <f t="shared" si="28"/>
        <v>1.0302888001878374</v>
      </c>
      <c r="M181" s="14" t="str">
        <f t="shared" si="29"/>
        <v/>
      </c>
      <c r="N181" s="7">
        <f t="shared" si="23"/>
        <v>5996.058003660426</v>
      </c>
      <c r="O181" s="7">
        <f t="shared" si="24"/>
        <v>3076.8689286217095</v>
      </c>
      <c r="P181" s="7">
        <f t="shared" si="25"/>
        <v>3100.8024778262707</v>
      </c>
      <c r="Q181" s="1">
        <f t="shared" si="26"/>
        <v>0</v>
      </c>
      <c r="R181" s="1">
        <f t="shared" si="27"/>
        <v>0</v>
      </c>
      <c r="S181" s="14">
        <f t="shared" si="30"/>
        <v>6177.6714064479802</v>
      </c>
      <c r="T181" s="10">
        <f t="shared" si="31"/>
        <v>-3.0288800187837448E-2</v>
      </c>
      <c r="U181" s="14" t="str">
        <f t="shared" si="32"/>
        <v/>
      </c>
    </row>
    <row r="182" spans="1:21" s="1" customFormat="1" hidden="1" x14ac:dyDescent="0.25">
      <c r="A182" s="1" t="s">
        <v>299</v>
      </c>
      <c r="B182" s="1" t="s">
        <v>300</v>
      </c>
      <c r="C182" s="1" t="s">
        <v>302</v>
      </c>
      <c r="D182" s="6">
        <v>0.31059999999999999</v>
      </c>
      <c r="E182" s="1">
        <v>1.5102</v>
      </c>
      <c r="F182" s="1">
        <v>430.41</v>
      </c>
      <c r="G182" s="1">
        <v>30.64</v>
      </c>
      <c r="H182" s="1">
        <v>60.8</v>
      </c>
      <c r="I182" s="1">
        <v>251.35</v>
      </c>
      <c r="J182" s="1">
        <v>60.57</v>
      </c>
      <c r="K182" s="9">
        <f t="shared" si="22"/>
        <v>403.35999999999996</v>
      </c>
      <c r="L182" s="20">
        <f t="shared" si="28"/>
        <v>0.93715294718988851</v>
      </c>
      <c r="M182" s="14" t="str">
        <f t="shared" si="29"/>
        <v/>
      </c>
      <c r="N182" s="7">
        <f t="shared" si="23"/>
        <v>23638.510544815465</v>
      </c>
      <c r="O182" s="7">
        <f t="shared" si="24"/>
        <v>1682.7768014059752</v>
      </c>
      <c r="P182" s="7">
        <f t="shared" si="25"/>
        <v>3339.1915641476276</v>
      </c>
      <c r="Q182" s="1">
        <f t="shared" si="26"/>
        <v>13804.371704745168</v>
      </c>
      <c r="R182" s="1">
        <f t="shared" si="27"/>
        <v>3326.559753954306</v>
      </c>
      <c r="S182" s="14">
        <f t="shared" si="30"/>
        <v>22152.899824253076</v>
      </c>
      <c r="T182" s="10">
        <f t="shared" si="31"/>
        <v>6.2847052810111215E-2</v>
      </c>
      <c r="U182" s="14" t="str">
        <f t="shared" si="32"/>
        <v/>
      </c>
    </row>
    <row r="183" spans="1:21" s="1" customFormat="1" hidden="1" x14ac:dyDescent="0.25">
      <c r="A183" s="1" t="s">
        <v>303</v>
      </c>
      <c r="B183" s="1" t="s">
        <v>304</v>
      </c>
      <c r="C183" s="1" t="s">
        <v>305</v>
      </c>
      <c r="D183" s="6">
        <v>5.5500000000000001E-2</v>
      </c>
      <c r="E183" s="1">
        <v>1.3028999999999999</v>
      </c>
      <c r="F183" s="19">
        <v>667.61</v>
      </c>
      <c r="G183" s="1">
        <v>52.43</v>
      </c>
      <c r="H183" s="1">
        <v>51.79</v>
      </c>
      <c r="I183" s="1">
        <v>504.7</v>
      </c>
      <c r="J183" s="1">
        <v>54.38</v>
      </c>
      <c r="K183" s="9">
        <f t="shared" si="22"/>
        <v>663.3</v>
      </c>
      <c r="L183" s="20">
        <f t="shared" si="28"/>
        <v>0.99354413504890571</v>
      </c>
      <c r="M183" s="14" t="str">
        <f t="shared" si="29"/>
        <v/>
      </c>
      <c r="N183" s="7">
        <f t="shared" si="23"/>
        <v>49146.790341578329</v>
      </c>
      <c r="O183" s="7">
        <f t="shared" si="24"/>
        <v>3859.6878680800942</v>
      </c>
      <c r="P183" s="7">
        <f t="shared" si="25"/>
        <v>3812.5736160188453</v>
      </c>
      <c r="Q183" s="1">
        <f t="shared" si="26"/>
        <v>37154.004711425208</v>
      </c>
      <c r="R183" s="1">
        <f t="shared" si="27"/>
        <v>4003.2391048292111</v>
      </c>
      <c r="S183" s="14">
        <f t="shared" si="30"/>
        <v>48829.505300353361</v>
      </c>
      <c r="T183" s="10">
        <f t="shared" si="31"/>
        <v>6.4558649510941526E-3</v>
      </c>
      <c r="U183" s="14" t="str">
        <f t="shared" si="32"/>
        <v/>
      </c>
    </row>
    <row r="184" spans="1:21" s="1" customFormat="1" hidden="1" x14ac:dyDescent="0.25">
      <c r="A184" s="1" t="s">
        <v>303</v>
      </c>
      <c r="B184" s="1" t="s">
        <v>304</v>
      </c>
      <c r="C184" s="1" t="s">
        <v>306</v>
      </c>
      <c r="D184" s="6">
        <v>0.1328</v>
      </c>
      <c r="E184" s="1">
        <v>1.1257999999999999</v>
      </c>
      <c r="F184" s="1">
        <v>191.55</v>
      </c>
      <c r="G184" s="1">
        <v>42.04</v>
      </c>
      <c r="H184" s="1">
        <v>42.98</v>
      </c>
      <c r="I184" s="1">
        <v>59.26</v>
      </c>
      <c r="J184" s="1">
        <v>42.9</v>
      </c>
      <c r="K184" s="9">
        <f t="shared" si="22"/>
        <v>187.18</v>
      </c>
      <c r="L184" s="20">
        <f t="shared" si="28"/>
        <v>0.97718611328634819</v>
      </c>
      <c r="M184" s="14" t="str">
        <f t="shared" si="29"/>
        <v/>
      </c>
      <c r="N184" s="7">
        <f t="shared" si="23"/>
        <v>15219.291276020977</v>
      </c>
      <c r="O184" s="7">
        <f t="shared" si="24"/>
        <v>3340.2192912760215</v>
      </c>
      <c r="P184" s="7">
        <f t="shared" si="25"/>
        <v>3414.9054505005561</v>
      </c>
      <c r="Q184" s="1">
        <f t="shared" si="26"/>
        <v>4708.4061655808046</v>
      </c>
      <c r="R184" s="1">
        <f t="shared" si="27"/>
        <v>3408.5491816303829</v>
      </c>
      <c r="S184" s="14">
        <f t="shared" si="30"/>
        <v>14872.080088987765</v>
      </c>
      <c r="T184" s="10">
        <f t="shared" si="31"/>
        <v>2.2813886713651813E-2</v>
      </c>
      <c r="U184" s="14" t="str">
        <f t="shared" si="32"/>
        <v/>
      </c>
    </row>
    <row r="185" spans="1:21" s="1" customFormat="1" hidden="1" x14ac:dyDescent="0.25">
      <c r="A185" s="1" t="s">
        <v>303</v>
      </c>
      <c r="B185" s="1" t="s">
        <v>304</v>
      </c>
      <c r="C185" s="1" t="s">
        <v>307</v>
      </c>
      <c r="D185" s="6">
        <v>5.8999999999999997E-2</v>
      </c>
      <c r="E185" s="1">
        <v>1.411</v>
      </c>
      <c r="F185" s="1">
        <v>61.9</v>
      </c>
      <c r="G185" s="1">
        <v>30.95</v>
      </c>
      <c r="H185" s="1">
        <v>28.36</v>
      </c>
      <c r="I185" s="1">
        <v>0</v>
      </c>
      <c r="J185" s="1">
        <v>0</v>
      </c>
      <c r="K185" s="9">
        <f t="shared" si="22"/>
        <v>59.31</v>
      </c>
      <c r="L185" s="20">
        <f t="shared" si="28"/>
        <v>0.95815831987075939</v>
      </c>
      <c r="M185" s="14" t="str">
        <f t="shared" si="29"/>
        <v/>
      </c>
      <c r="N185" s="7">
        <f t="shared" si="23"/>
        <v>4210.8843537414959</v>
      </c>
      <c r="O185" s="7">
        <f t="shared" si="24"/>
        <v>2105.442176870748</v>
      </c>
      <c r="P185" s="7">
        <f t="shared" si="25"/>
        <v>1929.2517006802723</v>
      </c>
      <c r="Q185" s="1">
        <f t="shared" si="26"/>
        <v>0</v>
      </c>
      <c r="R185" s="1">
        <f t="shared" si="27"/>
        <v>0</v>
      </c>
      <c r="S185" s="14">
        <f t="shared" si="30"/>
        <v>4034.6938775510203</v>
      </c>
      <c r="T185" s="10">
        <f t="shared" si="31"/>
        <v>4.1841680129240597E-2</v>
      </c>
      <c r="U185" s="14" t="str">
        <f t="shared" si="32"/>
        <v/>
      </c>
    </row>
    <row r="186" spans="1:21" s="1" customFormat="1" hidden="1" x14ac:dyDescent="0.25">
      <c r="A186" s="1" t="s">
        <v>303</v>
      </c>
      <c r="B186" s="1" t="s">
        <v>304</v>
      </c>
      <c r="C186" s="1" t="s">
        <v>308</v>
      </c>
      <c r="D186" s="6">
        <v>3.73E-2</v>
      </c>
      <c r="E186" s="1">
        <v>0.98719999999999997</v>
      </c>
      <c r="F186" s="19">
        <v>194.01499999999999</v>
      </c>
      <c r="G186" s="1">
        <v>33.450000000000003</v>
      </c>
      <c r="H186" s="1">
        <v>34.340000000000003</v>
      </c>
      <c r="I186" s="1">
        <v>81.239999999999995</v>
      </c>
      <c r="J186" s="1">
        <v>34.130000000000003</v>
      </c>
      <c r="K186" s="9">
        <f t="shared" si="22"/>
        <v>183.16</v>
      </c>
      <c r="L186" s="20">
        <f t="shared" si="28"/>
        <v>0.94405071772801075</v>
      </c>
      <c r="M186" s="14" t="str">
        <f t="shared" si="29"/>
        <v/>
      </c>
      <c r="N186" s="7">
        <f t="shared" si="23"/>
        <v>18937.530502684236</v>
      </c>
      <c r="O186" s="7">
        <f t="shared" si="24"/>
        <v>3265.0073206442171</v>
      </c>
      <c r="P186" s="7">
        <f t="shared" si="25"/>
        <v>3351.8789653489512</v>
      </c>
      <c r="Q186" s="1">
        <f t="shared" si="26"/>
        <v>7929.7218155197652</v>
      </c>
      <c r="R186" s="1">
        <f t="shared" si="27"/>
        <v>3331.381161542216</v>
      </c>
      <c r="S186" s="14">
        <f t="shared" si="30"/>
        <v>17877.989263055151</v>
      </c>
      <c r="T186" s="10">
        <f t="shared" si="31"/>
        <v>5.5949282271989149E-2</v>
      </c>
      <c r="U186" s="14" t="str">
        <f t="shared" si="32"/>
        <v/>
      </c>
    </row>
    <row r="187" spans="1:21" s="1" customFormat="1" hidden="1" x14ac:dyDescent="0.25">
      <c r="A187" s="1" t="s">
        <v>303</v>
      </c>
      <c r="B187" s="1" t="s">
        <v>304</v>
      </c>
      <c r="C187" s="1" t="s">
        <v>309</v>
      </c>
      <c r="D187" s="6">
        <v>0.14829999999999999</v>
      </c>
      <c r="E187" s="1">
        <v>1.1004</v>
      </c>
      <c r="F187" s="1">
        <v>188.73</v>
      </c>
      <c r="G187" s="1">
        <v>41.66</v>
      </c>
      <c r="H187" s="1">
        <v>41.6</v>
      </c>
      <c r="I187" s="1">
        <v>53.94</v>
      </c>
      <c r="J187" s="1">
        <v>41.61</v>
      </c>
      <c r="K187" s="9">
        <f t="shared" si="22"/>
        <v>178.81</v>
      </c>
      <c r="L187" s="20">
        <f t="shared" si="28"/>
        <v>0.94743813914057129</v>
      </c>
      <c r="M187" s="14" t="str">
        <f t="shared" si="29"/>
        <v/>
      </c>
      <c r="N187" s="7">
        <f t="shared" si="23"/>
        <v>15114.118683430768</v>
      </c>
      <c r="O187" s="7">
        <f t="shared" si="24"/>
        <v>3336.26972050933</v>
      </c>
      <c r="P187" s="7">
        <f t="shared" si="25"/>
        <v>3331.464723312245</v>
      </c>
      <c r="Q187" s="1">
        <f t="shared" si="26"/>
        <v>4319.6924801793866</v>
      </c>
      <c r="R187" s="1">
        <f t="shared" si="27"/>
        <v>3332.2655561784259</v>
      </c>
      <c r="S187" s="14">
        <f t="shared" si="30"/>
        <v>14319.692480179387</v>
      </c>
      <c r="T187" s="10">
        <f t="shared" si="31"/>
        <v>5.2561860859428822E-2</v>
      </c>
      <c r="U187" s="14" t="str">
        <f t="shared" si="32"/>
        <v/>
      </c>
    </row>
    <row r="188" spans="1:21" s="1" customFormat="1" hidden="1" x14ac:dyDescent="0.25">
      <c r="A188" s="1" t="s">
        <v>310</v>
      </c>
      <c r="B188" s="1" t="s">
        <v>311</v>
      </c>
      <c r="C188" s="1" t="s">
        <v>312</v>
      </c>
      <c r="D188" s="6">
        <v>1.7999999999999999E-2</v>
      </c>
      <c r="E188" s="1">
        <v>3.7100000000000001E-2</v>
      </c>
      <c r="F188" s="1">
        <v>14.9763</v>
      </c>
      <c r="G188" s="1">
        <v>1.94</v>
      </c>
      <c r="H188" s="1">
        <v>1.94</v>
      </c>
      <c r="I188" s="1">
        <v>9.11</v>
      </c>
      <c r="J188" s="1">
        <v>1.92</v>
      </c>
      <c r="K188" s="9">
        <f t="shared" si="22"/>
        <v>14.909999999999998</v>
      </c>
      <c r="L188" s="20">
        <f t="shared" si="28"/>
        <v>0.99557300534845039</v>
      </c>
      <c r="M188" s="14" t="str">
        <f t="shared" si="29"/>
        <v/>
      </c>
      <c r="N188" s="7">
        <f t="shared" si="23"/>
        <v>27180.217785843921</v>
      </c>
      <c r="O188" s="7">
        <f t="shared" si="24"/>
        <v>3520.8711433756803</v>
      </c>
      <c r="P188" s="7">
        <f t="shared" si="25"/>
        <v>3520.8711433756803</v>
      </c>
      <c r="Q188" s="1">
        <f t="shared" si="26"/>
        <v>16533.575317604358</v>
      </c>
      <c r="R188" s="1">
        <f t="shared" si="27"/>
        <v>3484.5735027223236</v>
      </c>
      <c r="S188" s="14">
        <f t="shared" si="30"/>
        <v>27059.891107078041</v>
      </c>
      <c r="T188" s="10">
        <f t="shared" si="31"/>
        <v>4.4269946515494204E-3</v>
      </c>
      <c r="U188" s="14" t="str">
        <f t="shared" si="32"/>
        <v/>
      </c>
    </row>
    <row r="189" spans="1:21" s="1" customFormat="1" hidden="1" x14ac:dyDescent="0.25">
      <c r="A189" s="1" t="s">
        <v>313</v>
      </c>
      <c r="B189" s="1" t="s">
        <v>314</v>
      </c>
      <c r="C189" s="1" t="s">
        <v>315</v>
      </c>
      <c r="D189" s="6">
        <v>0.26240000000000002</v>
      </c>
      <c r="E189" s="1">
        <v>0.76229999999999998</v>
      </c>
      <c r="F189" s="1">
        <v>4.3392999999999997</v>
      </c>
      <c r="G189" s="1">
        <v>2.11</v>
      </c>
      <c r="H189" s="1">
        <v>2.12</v>
      </c>
      <c r="I189" s="1">
        <v>0</v>
      </c>
      <c r="J189" s="1">
        <v>0</v>
      </c>
      <c r="K189" s="9">
        <f t="shared" si="22"/>
        <v>4.2300000000000004</v>
      </c>
      <c r="L189" s="20">
        <f t="shared" si="28"/>
        <v>0.97481160555850033</v>
      </c>
      <c r="M189" s="14" t="str">
        <f t="shared" si="29"/>
        <v/>
      </c>
      <c r="N189" s="7">
        <f t="shared" si="23"/>
        <v>423.47028398555676</v>
      </c>
      <c r="O189" s="7">
        <f t="shared" si="24"/>
        <v>205.91392602712989</v>
      </c>
      <c r="P189" s="7">
        <f t="shared" si="25"/>
        <v>206.88982141114477</v>
      </c>
      <c r="Q189" s="1">
        <f t="shared" si="26"/>
        <v>0</v>
      </c>
      <c r="R189" s="1">
        <f t="shared" si="27"/>
        <v>0</v>
      </c>
      <c r="S189" s="14">
        <f t="shared" si="30"/>
        <v>412.80374743827463</v>
      </c>
      <c r="T189" s="10">
        <f t="shared" si="31"/>
        <v>2.5188394441499787E-2</v>
      </c>
      <c r="U189" s="14" t="str">
        <f t="shared" si="32"/>
        <v/>
      </c>
    </row>
    <row r="190" spans="1:21" s="1" customFormat="1" hidden="1" x14ac:dyDescent="0.25">
      <c r="A190" s="1" t="s">
        <v>316</v>
      </c>
      <c r="B190" s="1" t="s">
        <v>317</v>
      </c>
      <c r="C190" s="1" t="s">
        <v>318</v>
      </c>
      <c r="D190" s="6">
        <v>0.26240000000000002</v>
      </c>
      <c r="E190" s="1">
        <v>0.68279999999999996</v>
      </c>
      <c r="F190" s="1">
        <v>178.86</v>
      </c>
      <c r="G190" s="1">
        <v>31.55</v>
      </c>
      <c r="H190" s="1">
        <v>31.64</v>
      </c>
      <c r="I190" s="1">
        <v>85.08</v>
      </c>
      <c r="J190" s="1">
        <v>31.49</v>
      </c>
      <c r="K190" s="9">
        <f t="shared" si="22"/>
        <v>179.76</v>
      </c>
      <c r="L190" s="20">
        <f t="shared" si="28"/>
        <v>1.0050318685005031</v>
      </c>
      <c r="M190" s="14" t="str">
        <f t="shared" si="29"/>
        <v/>
      </c>
      <c r="N190" s="7">
        <f t="shared" si="23"/>
        <v>18922.979263647907</v>
      </c>
      <c r="O190" s="7">
        <f t="shared" si="24"/>
        <v>3337.9179009733393</v>
      </c>
      <c r="P190" s="7">
        <f t="shared" si="25"/>
        <v>3347.4396953025816</v>
      </c>
      <c r="Q190" s="1">
        <f t="shared" si="26"/>
        <v>9001.2695725772319</v>
      </c>
      <c r="R190" s="1">
        <f t="shared" si="27"/>
        <v>3331.5700380871767</v>
      </c>
      <c r="S190" s="14">
        <f t="shared" si="30"/>
        <v>19018.197206940327</v>
      </c>
      <c r="T190" s="10">
        <f t="shared" si="31"/>
        <v>-5.0318685005029491E-3</v>
      </c>
      <c r="U190" s="14" t="str">
        <f t="shared" si="32"/>
        <v/>
      </c>
    </row>
    <row r="191" spans="1:21" s="1" customFormat="1" hidden="1" x14ac:dyDescent="0.25">
      <c r="A191" s="1" t="s">
        <v>319</v>
      </c>
      <c r="B191" s="1" t="s">
        <v>320</v>
      </c>
      <c r="C191" s="1" t="s">
        <v>321</v>
      </c>
      <c r="D191" s="6">
        <v>0.2145</v>
      </c>
      <c r="E191" s="1">
        <v>0.19969999999999999</v>
      </c>
      <c r="F191" s="1">
        <v>116.09</v>
      </c>
      <c r="G191" s="1">
        <v>10.43</v>
      </c>
      <c r="H191" s="1">
        <v>10.61</v>
      </c>
      <c r="I191" s="1">
        <v>84.97</v>
      </c>
      <c r="J191" s="1">
        <v>10.45</v>
      </c>
      <c r="K191" s="9">
        <f t="shared" si="22"/>
        <v>116.46</v>
      </c>
      <c r="L191" s="20">
        <f t="shared" si="28"/>
        <v>1.0031871823585148</v>
      </c>
      <c r="M191" s="14" t="str">
        <f t="shared" si="29"/>
        <v/>
      </c>
      <c r="N191" s="7">
        <f t="shared" si="23"/>
        <v>28027.522935779813</v>
      </c>
      <c r="O191" s="7">
        <f t="shared" si="24"/>
        <v>2518.1071945919844</v>
      </c>
      <c r="P191" s="7">
        <f t="shared" si="25"/>
        <v>2561.5644616127474</v>
      </c>
      <c r="Q191" s="1">
        <f t="shared" si="26"/>
        <v>20514.244326412361</v>
      </c>
      <c r="R191" s="1">
        <f t="shared" si="27"/>
        <v>2522.9357798165138</v>
      </c>
      <c r="S191" s="14">
        <f t="shared" si="30"/>
        <v>28116.851762433609</v>
      </c>
      <c r="T191" s="10">
        <f t="shared" si="31"/>
        <v>-3.1871823585151644E-3</v>
      </c>
      <c r="U191" s="14" t="str">
        <f t="shared" si="32"/>
        <v/>
      </c>
    </row>
    <row r="192" spans="1:21" s="1" customFormat="1" hidden="1" x14ac:dyDescent="0.25">
      <c r="A192" s="1" t="s">
        <v>319</v>
      </c>
      <c r="B192" s="1" t="s">
        <v>320</v>
      </c>
      <c r="C192" s="1" t="s">
        <v>322</v>
      </c>
      <c r="D192" s="6">
        <v>0.111</v>
      </c>
      <c r="E192" s="1">
        <v>0.1532</v>
      </c>
      <c r="F192" s="1">
        <v>859.94</v>
      </c>
      <c r="G192" s="1">
        <v>12.49</v>
      </c>
      <c r="H192" s="1">
        <v>12.72</v>
      </c>
      <c r="I192" s="1">
        <v>796.46</v>
      </c>
      <c r="J192" s="1">
        <v>12.31</v>
      </c>
      <c r="K192" s="9">
        <f t="shared" si="22"/>
        <v>833.98</v>
      </c>
      <c r="L192" s="20">
        <f t="shared" si="28"/>
        <v>0.96981184733818637</v>
      </c>
      <c r="M192" s="14" t="str">
        <f t="shared" si="29"/>
        <v/>
      </c>
      <c r="N192" s="7">
        <f t="shared" si="23"/>
        <v>325488.26646479941</v>
      </c>
      <c r="O192" s="7">
        <f t="shared" si="24"/>
        <v>4727.4791824375479</v>
      </c>
      <c r="P192" s="7">
        <f t="shared" si="25"/>
        <v>4814.5344436033311</v>
      </c>
      <c r="Q192" s="1">
        <f t="shared" si="26"/>
        <v>301461.01438304316</v>
      </c>
      <c r="R192" s="1">
        <f t="shared" si="27"/>
        <v>4659.3489780469345</v>
      </c>
      <c r="S192" s="14">
        <f t="shared" si="30"/>
        <v>315662.37698713096</v>
      </c>
      <c r="T192" s="10">
        <f t="shared" si="31"/>
        <v>3.0188152661813655E-2</v>
      </c>
      <c r="U192" s="14" t="str">
        <f t="shared" si="32"/>
        <v/>
      </c>
    </row>
    <row r="193" spans="1:21" s="1" customFormat="1" hidden="1" x14ac:dyDescent="0.25">
      <c r="A193" s="1" t="s">
        <v>319</v>
      </c>
      <c r="B193" s="1" t="s">
        <v>323</v>
      </c>
      <c r="C193" s="1" t="s">
        <v>324</v>
      </c>
      <c r="D193" s="6">
        <v>6.0600000000000001E-2</v>
      </c>
      <c r="E193" s="1">
        <v>0.14710000000000001</v>
      </c>
      <c r="F193" s="19">
        <v>29.03</v>
      </c>
      <c r="G193" s="1">
        <v>3.59</v>
      </c>
      <c r="H193" s="1">
        <v>3.54</v>
      </c>
      <c r="I193" s="1">
        <v>16.64</v>
      </c>
      <c r="J193" s="1">
        <v>3.59</v>
      </c>
      <c r="K193" s="9">
        <f t="shared" si="22"/>
        <v>27.36</v>
      </c>
      <c r="L193" s="20">
        <f t="shared" si="28"/>
        <v>0.94247330347915947</v>
      </c>
      <c r="M193" s="14" t="str">
        <f t="shared" si="29"/>
        <v/>
      </c>
      <c r="N193" s="7">
        <f t="shared" si="23"/>
        <v>13976.889744824266</v>
      </c>
      <c r="O193" s="7">
        <f t="shared" si="24"/>
        <v>1728.4545016851225</v>
      </c>
      <c r="P193" s="7">
        <f t="shared" si="25"/>
        <v>1704.3813192103996</v>
      </c>
      <c r="Q193" s="1">
        <f t="shared" si="26"/>
        <v>8011.555127587867</v>
      </c>
      <c r="R193" s="1">
        <f t="shared" si="27"/>
        <v>1728.4545016851225</v>
      </c>
      <c r="S193" s="14">
        <f t="shared" si="30"/>
        <v>13172.845450168512</v>
      </c>
      <c r="T193" s="10">
        <f t="shared" si="31"/>
        <v>5.7526696520840553E-2</v>
      </c>
      <c r="U193" s="14" t="str">
        <f t="shared" si="32"/>
        <v/>
      </c>
    </row>
    <row r="194" spans="1:21" s="1" customFormat="1" hidden="1" x14ac:dyDescent="0.25">
      <c r="A194" s="1" t="s">
        <v>319</v>
      </c>
      <c r="B194" s="1" t="s">
        <v>323</v>
      </c>
      <c r="C194" s="1" t="s">
        <v>325</v>
      </c>
      <c r="D194" s="6">
        <v>7.2599999999999998E-2</v>
      </c>
      <c r="E194" s="1">
        <v>0.13109999999999999</v>
      </c>
      <c r="F194" s="19">
        <v>46.42</v>
      </c>
      <c r="G194" s="1">
        <v>3.49</v>
      </c>
      <c r="H194" s="1">
        <v>3.5</v>
      </c>
      <c r="I194" s="1">
        <v>37.82</v>
      </c>
      <c r="J194" s="1">
        <v>3.43</v>
      </c>
      <c r="K194" s="9">
        <f t="shared" ref="K194:K257" si="33">SUM(G194:J194)</f>
        <v>48.24</v>
      </c>
      <c r="L194" s="20">
        <f t="shared" si="28"/>
        <v>1.0392072382593709</v>
      </c>
      <c r="M194" s="14" t="str">
        <f t="shared" si="29"/>
        <v/>
      </c>
      <c r="N194" s="7">
        <f t="shared" ref="N194:N257" si="34">(F194/(D194+E194))*100</f>
        <v>22788.41433480609</v>
      </c>
      <c r="O194" s="7">
        <f t="shared" ref="O194:O257" si="35">(G194/(D194+E194))*100</f>
        <v>1713.3038782523322</v>
      </c>
      <c r="P194" s="7">
        <f t="shared" ref="P194:P257" si="36">(H194/(D194+E194))*100</f>
        <v>1718.2130584192439</v>
      </c>
      <c r="Q194" s="1">
        <f t="shared" ref="Q194:Q257" si="37">(I194/(D194+E194))*100</f>
        <v>18566.519391261663</v>
      </c>
      <c r="R194" s="1">
        <f t="shared" ref="R194:R257" si="38">(J194/(D194+E194))*100</f>
        <v>1683.8487972508592</v>
      </c>
      <c r="S194" s="14">
        <f t="shared" si="30"/>
        <v>23681.885125184097</v>
      </c>
      <c r="T194" s="10">
        <f t="shared" si="31"/>
        <v>-3.9207238259370975E-2</v>
      </c>
      <c r="U194" s="14" t="str">
        <f t="shared" si="32"/>
        <v/>
      </c>
    </row>
    <row r="195" spans="1:21" s="1" customFormat="1" hidden="1" x14ac:dyDescent="0.25">
      <c r="A195" s="1" t="s">
        <v>319</v>
      </c>
      <c r="B195" s="1" t="s">
        <v>323</v>
      </c>
      <c r="C195" s="1" t="s">
        <v>326</v>
      </c>
      <c r="D195" s="6">
        <v>6.7199999999999996E-2</v>
      </c>
      <c r="E195" s="1">
        <v>0.18720000000000001</v>
      </c>
      <c r="F195" s="1">
        <v>73.02</v>
      </c>
      <c r="G195" s="1">
        <v>3.85</v>
      </c>
      <c r="H195" s="1">
        <v>3.8</v>
      </c>
      <c r="I195" s="1">
        <v>59.65</v>
      </c>
      <c r="J195" s="1">
        <v>3.86</v>
      </c>
      <c r="K195" s="9">
        <f t="shared" si="33"/>
        <v>71.16</v>
      </c>
      <c r="L195" s="20">
        <f t="shared" ref="L195:L255" si="39">K195/F195</f>
        <v>0.9745275267050123</v>
      </c>
      <c r="M195" s="14" t="str">
        <f t="shared" ref="M195:M255" si="40">IF(ABS(L195-1)&gt;0.1,1,"")</f>
        <v/>
      </c>
      <c r="N195" s="7">
        <f t="shared" si="34"/>
        <v>28702.83018867924</v>
      </c>
      <c r="O195" s="7">
        <f t="shared" si="35"/>
        <v>1513.3647798742138</v>
      </c>
      <c r="P195" s="7">
        <f t="shared" si="36"/>
        <v>1493.7106918238992</v>
      </c>
      <c r="Q195" s="1">
        <f t="shared" si="37"/>
        <v>23447.327044025154</v>
      </c>
      <c r="R195" s="1">
        <f t="shared" si="38"/>
        <v>1517.2955974842766</v>
      </c>
      <c r="S195" s="14">
        <f t="shared" ref="S195:S255" si="41">SUM(O195:R195)</f>
        <v>27971.698113207545</v>
      </c>
      <c r="T195" s="10">
        <f t="shared" ref="T195:T255" si="42">(N195-S195)/N195</f>
        <v>2.5472473294987551E-2</v>
      </c>
      <c r="U195" s="14" t="str">
        <f t="shared" ref="U195:U255" si="43">IF(T195&gt;0.1,1,IF(T195&lt;-0.1,-1,""))</f>
        <v/>
      </c>
    </row>
    <row r="196" spans="1:21" s="1" customFormat="1" hidden="1" x14ac:dyDescent="0.25">
      <c r="A196" s="1" t="s">
        <v>319</v>
      </c>
      <c r="B196" s="1" t="s">
        <v>323</v>
      </c>
      <c r="C196" s="1" t="s">
        <v>327</v>
      </c>
      <c r="D196" s="6">
        <v>0.1028</v>
      </c>
      <c r="E196" s="1">
        <v>0.10970000000000001</v>
      </c>
      <c r="F196" s="1">
        <v>85.57</v>
      </c>
      <c r="G196" s="1">
        <v>7.71</v>
      </c>
      <c r="H196" s="1">
        <v>7.75</v>
      </c>
      <c r="I196" s="1">
        <v>64.180000000000007</v>
      </c>
      <c r="J196" s="1">
        <v>7.78</v>
      </c>
      <c r="K196" s="9">
        <f t="shared" si="33"/>
        <v>87.420000000000016</v>
      </c>
      <c r="L196" s="20">
        <f t="shared" si="39"/>
        <v>1.0216197265396754</v>
      </c>
      <c r="M196" s="14" t="str">
        <f t="shared" si="40"/>
        <v/>
      </c>
      <c r="N196" s="7">
        <f t="shared" si="34"/>
        <v>40268.235294117643</v>
      </c>
      <c r="O196" s="7">
        <f t="shared" si="35"/>
        <v>3628.2352941176468</v>
      </c>
      <c r="P196" s="7">
        <f t="shared" si="36"/>
        <v>3647.0588235294117</v>
      </c>
      <c r="Q196" s="1">
        <f t="shared" si="37"/>
        <v>30202.352941176468</v>
      </c>
      <c r="R196" s="1">
        <f t="shared" si="38"/>
        <v>3661.1764705882351</v>
      </c>
      <c r="S196" s="14">
        <f t="shared" si="41"/>
        <v>41138.823529411762</v>
      </c>
      <c r="T196" s="10">
        <f t="shared" si="42"/>
        <v>-2.1619726539675154E-2</v>
      </c>
      <c r="U196" s="14" t="str">
        <f t="shared" si="43"/>
        <v/>
      </c>
    </row>
    <row r="197" spans="1:21" s="1" customFormat="1" hidden="1" x14ac:dyDescent="0.25">
      <c r="A197" s="1" t="s">
        <v>319</v>
      </c>
      <c r="B197" s="1" t="s">
        <v>323</v>
      </c>
      <c r="C197" s="1" t="s">
        <v>328</v>
      </c>
      <c r="D197" s="6">
        <v>1.0279999999999999E-2</v>
      </c>
      <c r="E197" s="1">
        <v>0.20030000000000001</v>
      </c>
      <c r="F197" s="1">
        <v>64.680000000000007</v>
      </c>
      <c r="G197" s="1">
        <v>10.11</v>
      </c>
      <c r="H197" s="1">
        <v>10.09</v>
      </c>
      <c r="I197" s="1">
        <v>36.04</v>
      </c>
      <c r="J197" s="1">
        <v>10.16</v>
      </c>
      <c r="K197" s="9">
        <f t="shared" si="33"/>
        <v>66.399999999999991</v>
      </c>
      <c r="L197" s="20">
        <f t="shared" si="39"/>
        <v>1.0265924551638834</v>
      </c>
      <c r="M197" s="14" t="str">
        <f t="shared" si="40"/>
        <v/>
      </c>
      <c r="N197" s="7">
        <f t="shared" si="34"/>
        <v>30715.167632253775</v>
      </c>
      <c r="O197" s="7">
        <f t="shared" si="35"/>
        <v>4801.0257384366978</v>
      </c>
      <c r="P197" s="7">
        <f t="shared" si="36"/>
        <v>4791.5281603191179</v>
      </c>
      <c r="Q197" s="1">
        <f t="shared" si="37"/>
        <v>17114.63576787919</v>
      </c>
      <c r="R197" s="1">
        <f t="shared" si="38"/>
        <v>4824.7696837306485</v>
      </c>
      <c r="S197" s="14">
        <f t="shared" si="41"/>
        <v>31531.959350365658</v>
      </c>
      <c r="T197" s="10">
        <f t="shared" si="42"/>
        <v>-2.6592455163883779E-2</v>
      </c>
      <c r="U197" s="14" t="str">
        <f t="shared" si="43"/>
        <v/>
      </c>
    </row>
    <row r="198" spans="1:21" s="1" customFormat="1" hidden="1" x14ac:dyDescent="0.25">
      <c r="A198" s="1" t="s">
        <v>319</v>
      </c>
      <c r="B198" s="1" t="s">
        <v>323</v>
      </c>
      <c r="C198" s="1" t="s">
        <v>329</v>
      </c>
      <c r="D198" s="6">
        <v>0.11409999999999999</v>
      </c>
      <c r="E198" s="1">
        <v>0.1671</v>
      </c>
      <c r="F198" s="1">
        <v>56.926000000000002</v>
      </c>
      <c r="G198" s="1">
        <v>9.41</v>
      </c>
      <c r="H198" s="1">
        <v>9.34</v>
      </c>
      <c r="I198" s="1">
        <v>29.02</v>
      </c>
      <c r="J198" s="1">
        <v>9.43</v>
      </c>
      <c r="K198" s="9">
        <f t="shared" si="33"/>
        <v>57.199999999999996</v>
      </c>
      <c r="L198" s="20">
        <f t="shared" si="39"/>
        <v>1.0048132663457821</v>
      </c>
      <c r="M198" s="14" t="str">
        <f t="shared" si="40"/>
        <v/>
      </c>
      <c r="N198" s="7">
        <f t="shared" si="34"/>
        <v>20243.954480796587</v>
      </c>
      <c r="O198" s="7">
        <f t="shared" si="35"/>
        <v>3346.3726884779517</v>
      </c>
      <c r="P198" s="7">
        <f t="shared" si="36"/>
        <v>3321.4793741109534</v>
      </c>
      <c r="Q198" s="1">
        <f t="shared" si="37"/>
        <v>10320.056899004267</v>
      </c>
      <c r="R198" s="1">
        <f t="shared" si="38"/>
        <v>3353.4850640113796</v>
      </c>
      <c r="S198" s="14">
        <f t="shared" si="41"/>
        <v>20341.394025604553</v>
      </c>
      <c r="T198" s="10">
        <f t="shared" si="42"/>
        <v>-4.8132663457822866E-3</v>
      </c>
      <c r="U198" s="14" t="str">
        <f t="shared" si="43"/>
        <v/>
      </c>
    </row>
    <row r="199" spans="1:21" s="1" customFormat="1" hidden="1" x14ac:dyDescent="0.25">
      <c r="A199" s="1" t="s">
        <v>319</v>
      </c>
      <c r="B199" s="1" t="s">
        <v>323</v>
      </c>
      <c r="C199" s="1" t="s">
        <v>330</v>
      </c>
      <c r="D199" s="6">
        <v>9.6299999999999997E-2</v>
      </c>
      <c r="E199" s="1">
        <v>0.17630000000000001</v>
      </c>
      <c r="F199" s="1">
        <v>51.89</v>
      </c>
      <c r="G199" s="1">
        <v>9.16</v>
      </c>
      <c r="H199" s="1">
        <v>9.15</v>
      </c>
      <c r="I199" s="1">
        <v>25.64</v>
      </c>
      <c r="J199" s="1">
        <v>9.1</v>
      </c>
      <c r="K199" s="9">
        <f t="shared" si="33"/>
        <v>53.050000000000004</v>
      </c>
      <c r="L199" s="20">
        <f t="shared" si="39"/>
        <v>1.022354981692041</v>
      </c>
      <c r="M199" s="14" t="str">
        <f t="shared" si="40"/>
        <v/>
      </c>
      <c r="N199" s="7">
        <f t="shared" si="34"/>
        <v>19035.216434336024</v>
      </c>
      <c r="O199" s="7">
        <f t="shared" si="35"/>
        <v>3360.2347762289073</v>
      </c>
      <c r="P199" s="7">
        <f t="shared" si="36"/>
        <v>3356.5663976522378</v>
      </c>
      <c r="Q199" s="1">
        <f t="shared" si="37"/>
        <v>9405.7226705796038</v>
      </c>
      <c r="R199" s="1">
        <f t="shared" si="38"/>
        <v>3338.2245047688921</v>
      </c>
      <c r="S199" s="14">
        <f t="shared" si="41"/>
        <v>19460.748349229641</v>
      </c>
      <c r="T199" s="10">
        <f t="shared" si="42"/>
        <v>-2.2354981692040896E-2</v>
      </c>
      <c r="U199" s="14" t="str">
        <f t="shared" si="43"/>
        <v/>
      </c>
    </row>
    <row r="200" spans="1:21" s="8" customFormat="1" hidden="1" x14ac:dyDescent="0.25">
      <c r="A200" s="51" t="s">
        <v>331</v>
      </c>
      <c r="B200" s="51" t="s">
        <v>332</v>
      </c>
      <c r="C200" s="51" t="s">
        <v>333</v>
      </c>
      <c r="D200" s="52"/>
      <c r="E200" s="51"/>
      <c r="F200" s="51"/>
      <c r="G200" s="51"/>
      <c r="H200" s="51"/>
      <c r="I200" s="51"/>
      <c r="J200" s="51"/>
      <c r="K200" s="9">
        <f t="shared" si="33"/>
        <v>0</v>
      </c>
      <c r="L200" s="20" t="e">
        <f t="shared" si="39"/>
        <v>#DIV/0!</v>
      </c>
      <c r="M200" s="14" t="e">
        <f t="shared" si="40"/>
        <v>#DIV/0!</v>
      </c>
      <c r="N200" s="7" t="e">
        <f t="shared" si="34"/>
        <v>#DIV/0!</v>
      </c>
      <c r="O200" s="7" t="e">
        <f t="shared" si="35"/>
        <v>#DIV/0!</v>
      </c>
      <c r="P200" s="7" t="e">
        <f t="shared" si="36"/>
        <v>#DIV/0!</v>
      </c>
      <c r="Q200" s="1" t="e">
        <f t="shared" si="37"/>
        <v>#DIV/0!</v>
      </c>
      <c r="R200" s="1" t="e">
        <f t="shared" si="38"/>
        <v>#DIV/0!</v>
      </c>
      <c r="S200" s="14" t="e">
        <f t="shared" si="41"/>
        <v>#DIV/0!</v>
      </c>
      <c r="T200" s="10" t="e">
        <f t="shared" si="42"/>
        <v>#DIV/0!</v>
      </c>
      <c r="U200" s="14" t="e">
        <f t="shared" si="43"/>
        <v>#DIV/0!</v>
      </c>
    </row>
    <row r="201" spans="1:21" s="1" customFormat="1" hidden="1" x14ac:dyDescent="0.25">
      <c r="A201" s="1" t="s">
        <v>334</v>
      </c>
      <c r="B201" s="1" t="s">
        <v>335</v>
      </c>
      <c r="C201" s="1" t="s">
        <v>336</v>
      </c>
      <c r="D201" s="6">
        <v>0.43159999999999998</v>
      </c>
      <c r="E201" s="1">
        <v>0.31719999999999998</v>
      </c>
      <c r="F201" s="1">
        <v>213.84</v>
      </c>
      <c r="G201" s="1">
        <v>24.98</v>
      </c>
      <c r="H201" s="1">
        <v>24.78</v>
      </c>
      <c r="I201" s="1">
        <v>130.63999999999999</v>
      </c>
      <c r="J201" s="1">
        <v>24.98</v>
      </c>
      <c r="K201" s="9">
        <f t="shared" si="33"/>
        <v>205.37999999999997</v>
      </c>
      <c r="L201" s="20">
        <f t="shared" si="39"/>
        <v>0.96043771043771031</v>
      </c>
      <c r="M201" s="14" t="str">
        <f t="shared" si="40"/>
        <v/>
      </c>
      <c r="N201" s="7">
        <f t="shared" si="34"/>
        <v>28557.692307692309</v>
      </c>
      <c r="O201" s="7">
        <f t="shared" si="35"/>
        <v>3336.0042735042739</v>
      </c>
      <c r="P201" s="7">
        <f t="shared" si="36"/>
        <v>3309.2948717948721</v>
      </c>
      <c r="Q201" s="1">
        <f t="shared" si="37"/>
        <v>17446.581196581199</v>
      </c>
      <c r="R201" s="1">
        <f t="shared" si="38"/>
        <v>3336.0042735042739</v>
      </c>
      <c r="S201" s="14">
        <f t="shared" si="41"/>
        <v>27427.884615384617</v>
      </c>
      <c r="T201" s="10">
        <f t="shared" si="42"/>
        <v>3.9562289562289535E-2</v>
      </c>
      <c r="U201" s="14" t="str">
        <f t="shared" si="43"/>
        <v/>
      </c>
    </row>
    <row r="202" spans="1:21" s="8" customFormat="1" hidden="1" x14ac:dyDescent="0.25">
      <c r="A202" s="51" t="s">
        <v>337</v>
      </c>
      <c r="B202" s="51" t="s">
        <v>294</v>
      </c>
      <c r="C202" s="51" t="s">
        <v>338</v>
      </c>
      <c r="D202" s="52" t="s">
        <v>581</v>
      </c>
      <c r="E202" s="51"/>
      <c r="F202" s="51"/>
      <c r="G202" s="51"/>
      <c r="H202" s="51"/>
      <c r="I202" s="51"/>
      <c r="J202" s="51"/>
      <c r="K202" s="9">
        <f t="shared" si="33"/>
        <v>0</v>
      </c>
      <c r="L202" s="20" t="e">
        <f t="shared" si="39"/>
        <v>#DIV/0!</v>
      </c>
      <c r="M202" s="14" t="e">
        <f t="shared" si="40"/>
        <v>#DIV/0!</v>
      </c>
      <c r="N202" s="7" t="e">
        <f t="shared" si="34"/>
        <v>#VALUE!</v>
      </c>
      <c r="O202" s="7" t="e">
        <f t="shared" si="35"/>
        <v>#VALUE!</v>
      </c>
      <c r="P202" s="7" t="e">
        <f t="shared" si="36"/>
        <v>#VALUE!</v>
      </c>
      <c r="Q202" s="1" t="e">
        <f t="shared" si="37"/>
        <v>#VALUE!</v>
      </c>
      <c r="R202" s="1" t="e">
        <f t="shared" si="38"/>
        <v>#VALUE!</v>
      </c>
      <c r="S202" s="14" t="e">
        <f t="shared" si="41"/>
        <v>#VALUE!</v>
      </c>
      <c r="T202" s="10" t="e">
        <f t="shared" si="42"/>
        <v>#VALUE!</v>
      </c>
      <c r="U202" s="14" t="e">
        <f t="shared" si="43"/>
        <v>#VALUE!</v>
      </c>
    </row>
    <row r="203" spans="1:21" s="1" customFormat="1" hidden="1" x14ac:dyDescent="0.25">
      <c r="A203" s="1" t="s">
        <v>339</v>
      </c>
      <c r="B203" s="1" t="s">
        <v>340</v>
      </c>
      <c r="C203" s="1" t="s">
        <v>341</v>
      </c>
      <c r="D203" s="6">
        <v>0.2697</v>
      </c>
      <c r="E203" s="1">
        <v>0.16689999999999999</v>
      </c>
      <c r="F203" s="1">
        <v>65.58</v>
      </c>
      <c r="G203" s="1">
        <v>14.58</v>
      </c>
      <c r="H203" s="1">
        <v>14.58</v>
      </c>
      <c r="I203" s="1">
        <v>22.85</v>
      </c>
      <c r="J203" s="1">
        <v>14.55</v>
      </c>
      <c r="K203" s="9">
        <f t="shared" si="33"/>
        <v>66.56</v>
      </c>
      <c r="L203" s="20">
        <f t="shared" si="39"/>
        <v>1.0149435803598659</v>
      </c>
      <c r="M203" s="14" t="str">
        <f t="shared" si="40"/>
        <v/>
      </c>
      <c r="N203" s="7">
        <f t="shared" si="34"/>
        <v>15020.613834173157</v>
      </c>
      <c r="O203" s="7">
        <f t="shared" si="35"/>
        <v>3339.4411360513054</v>
      </c>
      <c r="P203" s="7">
        <f t="shared" si="36"/>
        <v>3339.4411360513054</v>
      </c>
      <c r="Q203" s="1">
        <f t="shared" si="37"/>
        <v>5233.6234539624375</v>
      </c>
      <c r="R203" s="1">
        <f t="shared" si="38"/>
        <v>3332.5698579935865</v>
      </c>
      <c r="S203" s="14">
        <f t="shared" si="41"/>
        <v>15245.075584058635</v>
      </c>
      <c r="T203" s="10">
        <f t="shared" si="42"/>
        <v>-1.4943580359865809E-2</v>
      </c>
      <c r="U203" s="14" t="str">
        <f t="shared" si="43"/>
        <v/>
      </c>
    </row>
    <row r="204" spans="1:21" s="1" customFormat="1" hidden="1" x14ac:dyDescent="0.25">
      <c r="A204" s="1" t="s">
        <v>339</v>
      </c>
      <c r="B204" s="1" t="s">
        <v>340</v>
      </c>
      <c r="C204" s="1" t="s">
        <v>342</v>
      </c>
      <c r="D204" s="6">
        <v>0.32419999999999999</v>
      </c>
      <c r="E204" s="1">
        <v>0.1469</v>
      </c>
      <c r="F204" s="1">
        <v>77.97</v>
      </c>
      <c r="G204" s="1">
        <v>15.83</v>
      </c>
      <c r="H204" s="1">
        <v>15.8</v>
      </c>
      <c r="I204" s="1">
        <v>33.18</v>
      </c>
      <c r="J204" s="1">
        <v>15.61</v>
      </c>
      <c r="K204" s="9">
        <f t="shared" si="33"/>
        <v>80.42</v>
      </c>
      <c r="L204" s="20">
        <f t="shared" si="39"/>
        <v>1.0314223419263819</v>
      </c>
      <c r="M204" s="14" t="str">
        <f t="shared" si="40"/>
        <v/>
      </c>
      <c r="N204" s="7">
        <f t="shared" si="34"/>
        <v>16550.62619401401</v>
      </c>
      <c r="O204" s="7">
        <f t="shared" si="35"/>
        <v>3360.220759923583</v>
      </c>
      <c r="P204" s="7">
        <f t="shared" si="36"/>
        <v>3353.8526852048399</v>
      </c>
      <c r="Q204" s="1">
        <f t="shared" si="37"/>
        <v>7043.0906389301635</v>
      </c>
      <c r="R204" s="1">
        <f t="shared" si="38"/>
        <v>3313.5215453194655</v>
      </c>
      <c r="S204" s="14">
        <f t="shared" si="41"/>
        <v>17070.685629378051</v>
      </c>
      <c r="T204" s="10">
        <f t="shared" si="42"/>
        <v>-3.1422341926381894E-2</v>
      </c>
      <c r="U204" s="14" t="str">
        <f t="shared" si="43"/>
        <v/>
      </c>
    </row>
    <row r="205" spans="1:21" s="1" customFormat="1" hidden="1" x14ac:dyDescent="0.25">
      <c r="A205" s="1" t="s">
        <v>339</v>
      </c>
      <c r="B205" s="1" t="s">
        <v>340</v>
      </c>
      <c r="C205" s="1" t="s">
        <v>343</v>
      </c>
      <c r="D205" s="6">
        <v>0.3211</v>
      </c>
      <c r="E205" s="1">
        <v>0.1232</v>
      </c>
      <c r="F205" s="1">
        <v>50.26</v>
      </c>
      <c r="G205" s="1">
        <v>14.78</v>
      </c>
      <c r="H205" s="1">
        <v>14.92</v>
      </c>
      <c r="I205" s="1">
        <v>7.25</v>
      </c>
      <c r="J205" s="1">
        <v>14.76</v>
      </c>
      <c r="K205" s="9">
        <f t="shared" si="33"/>
        <v>51.71</v>
      </c>
      <c r="L205" s="20">
        <f t="shared" si="39"/>
        <v>1.0288499801034621</v>
      </c>
      <c r="M205" s="14" t="str">
        <f t="shared" si="40"/>
        <v/>
      </c>
      <c r="N205" s="7">
        <f t="shared" si="34"/>
        <v>11312.176457348638</v>
      </c>
      <c r="O205" s="7">
        <f t="shared" si="35"/>
        <v>3326.5811388701322</v>
      </c>
      <c r="P205" s="7">
        <f t="shared" si="36"/>
        <v>3358.0913796984023</v>
      </c>
      <c r="Q205" s="1">
        <f t="shared" si="37"/>
        <v>1631.780328606797</v>
      </c>
      <c r="R205" s="1">
        <f t="shared" si="38"/>
        <v>3322.0796758946653</v>
      </c>
      <c r="S205" s="14">
        <f t="shared" si="41"/>
        <v>11638.532523069996</v>
      </c>
      <c r="T205" s="10">
        <f t="shared" si="42"/>
        <v>-2.8849980103461906E-2</v>
      </c>
      <c r="U205" s="14" t="str">
        <f t="shared" si="43"/>
        <v/>
      </c>
    </row>
    <row r="206" spans="1:21" s="1" customFormat="1" hidden="1" x14ac:dyDescent="0.25">
      <c r="A206" s="1" t="s">
        <v>344</v>
      </c>
      <c r="B206" s="1" t="s">
        <v>345</v>
      </c>
      <c r="C206" s="1" t="s">
        <v>346</v>
      </c>
      <c r="D206" s="6">
        <v>0.65949999999999998</v>
      </c>
      <c r="E206" s="1">
        <v>8.3000000000000001E-3</v>
      </c>
      <c r="F206" s="1">
        <v>49.91</v>
      </c>
      <c r="G206" s="1">
        <v>19.991700000000002</v>
      </c>
      <c r="H206" s="1">
        <v>19.508700000000001</v>
      </c>
      <c r="I206" s="1">
        <v>0</v>
      </c>
      <c r="J206" s="1">
        <v>9.8635999999999999</v>
      </c>
      <c r="K206" s="9">
        <f t="shared" si="33"/>
        <v>49.363999999999997</v>
      </c>
      <c r="L206" s="20">
        <f t="shared" si="39"/>
        <v>0.98906030855539973</v>
      </c>
      <c r="M206" s="14" t="str">
        <f t="shared" si="40"/>
        <v/>
      </c>
      <c r="N206" s="7">
        <f t="shared" si="34"/>
        <v>7473.7945492662475</v>
      </c>
      <c r="O206" s="7">
        <f t="shared" si="35"/>
        <v>2993.6657681940706</v>
      </c>
      <c r="P206" s="7">
        <f t="shared" si="36"/>
        <v>2921.3387241689134</v>
      </c>
      <c r="Q206" s="1">
        <f t="shared" si="37"/>
        <v>0</v>
      </c>
      <c r="R206" s="1">
        <f t="shared" si="38"/>
        <v>1477.0290506139563</v>
      </c>
      <c r="S206" s="14">
        <f t="shared" si="41"/>
        <v>7392.0335429769402</v>
      </c>
      <c r="T206" s="10">
        <f t="shared" si="42"/>
        <v>1.0939691444600158E-2</v>
      </c>
      <c r="U206" s="14" t="str">
        <f t="shared" si="43"/>
        <v/>
      </c>
    </row>
    <row r="207" spans="1:21" s="1" customFormat="1" hidden="1" x14ac:dyDescent="0.25">
      <c r="A207" s="1" t="s">
        <v>344</v>
      </c>
      <c r="B207" s="1" t="s">
        <v>345</v>
      </c>
      <c r="C207" s="1" t="s">
        <v>347</v>
      </c>
      <c r="D207" s="6">
        <v>0.6774</v>
      </c>
      <c r="E207" s="1">
        <v>5.4000000000000003E-3</v>
      </c>
      <c r="F207" s="1">
        <v>120.44</v>
      </c>
      <c r="G207" s="1">
        <v>22.76</v>
      </c>
      <c r="H207" s="1">
        <v>22.76</v>
      </c>
      <c r="I207" s="1">
        <v>51.7</v>
      </c>
      <c r="J207" s="1">
        <v>22.77</v>
      </c>
      <c r="K207" s="9">
        <f t="shared" si="33"/>
        <v>119.99</v>
      </c>
      <c r="L207" s="20">
        <f t="shared" si="39"/>
        <v>0.99626369976751905</v>
      </c>
      <c r="M207" s="14" t="str">
        <f t="shared" si="40"/>
        <v/>
      </c>
      <c r="N207" s="7">
        <f t="shared" si="34"/>
        <v>17639.132981839484</v>
      </c>
      <c r="O207" s="7">
        <f t="shared" si="35"/>
        <v>3333.3333333333335</v>
      </c>
      <c r="P207" s="7">
        <f t="shared" si="36"/>
        <v>3333.3333333333335</v>
      </c>
      <c r="Q207" s="1">
        <f t="shared" si="37"/>
        <v>7571.7633274751033</v>
      </c>
      <c r="R207" s="1">
        <f t="shared" si="38"/>
        <v>3334.797891036907</v>
      </c>
      <c r="S207" s="14">
        <f t="shared" si="41"/>
        <v>17573.227885178676</v>
      </c>
      <c r="T207" s="10">
        <f t="shared" si="42"/>
        <v>3.7363002324808979E-3</v>
      </c>
      <c r="U207" s="14" t="str">
        <f t="shared" si="43"/>
        <v/>
      </c>
    </row>
    <row r="208" spans="1:21" s="1" customFormat="1" hidden="1" x14ac:dyDescent="0.25">
      <c r="A208" s="1" t="s">
        <v>348</v>
      </c>
      <c r="B208" s="1" t="s">
        <v>349</v>
      </c>
      <c r="C208" s="1" t="s">
        <v>350</v>
      </c>
      <c r="D208" s="6">
        <v>0.75980000000000003</v>
      </c>
      <c r="E208" s="1">
        <v>16.47</v>
      </c>
      <c r="F208" s="1">
        <v>3595.06</v>
      </c>
      <c r="G208" s="1">
        <v>574.45000000000005</v>
      </c>
      <c r="H208" s="1">
        <v>575.28</v>
      </c>
      <c r="I208" s="1">
        <v>1929.33</v>
      </c>
      <c r="J208" s="1">
        <v>575.16</v>
      </c>
      <c r="K208" s="9">
        <f t="shared" si="33"/>
        <v>3654.22</v>
      </c>
      <c r="L208" s="20">
        <f t="shared" si="39"/>
        <v>1.0164559145049039</v>
      </c>
      <c r="M208" s="14" t="str">
        <f t="shared" si="40"/>
        <v/>
      </c>
      <c r="N208" s="7">
        <f t="shared" si="34"/>
        <v>20865.361176566184</v>
      </c>
      <c r="O208" s="7">
        <f t="shared" si="35"/>
        <v>3334.0491474073992</v>
      </c>
      <c r="P208" s="7">
        <f t="shared" si="36"/>
        <v>3338.8663826625966</v>
      </c>
      <c r="Q208" s="1">
        <f t="shared" si="37"/>
        <v>11197.634331216846</v>
      </c>
      <c r="R208" s="1">
        <f t="shared" si="38"/>
        <v>3338.1699149148571</v>
      </c>
      <c r="S208" s="14">
        <f t="shared" si="41"/>
        <v>21208.719776201702</v>
      </c>
      <c r="T208" s="10">
        <f t="shared" si="42"/>
        <v>-1.6455914504904072E-2</v>
      </c>
      <c r="U208" s="14" t="str">
        <f t="shared" si="43"/>
        <v/>
      </c>
    </row>
    <row r="209" spans="1:21" s="1" customFormat="1" hidden="1" x14ac:dyDescent="0.25">
      <c r="A209" s="1" t="s">
        <v>348</v>
      </c>
      <c r="B209" s="1" t="s">
        <v>351</v>
      </c>
      <c r="C209" s="1" t="s">
        <v>352</v>
      </c>
      <c r="D209" s="6">
        <v>0.81889999999999996</v>
      </c>
      <c r="E209" s="1">
        <v>1.0699999999999999E-2</v>
      </c>
      <c r="F209" s="1">
        <v>140.41999999999999</v>
      </c>
      <c r="G209" s="1">
        <v>27.76</v>
      </c>
      <c r="H209" s="1">
        <v>27.59</v>
      </c>
      <c r="I209" s="1">
        <v>57.67</v>
      </c>
      <c r="J209" s="1">
        <v>27.8</v>
      </c>
      <c r="K209" s="9">
        <f t="shared" si="33"/>
        <v>140.82000000000002</v>
      </c>
      <c r="L209" s="20">
        <f t="shared" si="39"/>
        <v>1.0028485970659453</v>
      </c>
      <c r="M209" s="14" t="str">
        <f t="shared" si="40"/>
        <v/>
      </c>
      <c r="N209" s="7">
        <f t="shared" si="34"/>
        <v>16926.22950819672</v>
      </c>
      <c r="O209" s="7">
        <f t="shared" si="35"/>
        <v>3346.1909353905498</v>
      </c>
      <c r="P209" s="7">
        <f t="shared" si="36"/>
        <v>3325.6991321118612</v>
      </c>
      <c r="Q209" s="1">
        <f t="shared" si="37"/>
        <v>6951.5429122468659</v>
      </c>
      <c r="R209" s="1">
        <f t="shared" si="38"/>
        <v>3351.0125361620057</v>
      </c>
      <c r="S209" s="14">
        <f t="shared" si="41"/>
        <v>16974.44551591128</v>
      </c>
      <c r="T209" s="10">
        <f t="shared" si="42"/>
        <v>-2.848597065944947E-3</v>
      </c>
      <c r="U209" s="14" t="str">
        <f t="shared" si="43"/>
        <v/>
      </c>
    </row>
    <row r="210" spans="1:21" s="1" customFormat="1" hidden="1" x14ac:dyDescent="0.25">
      <c r="A210" s="1" t="s">
        <v>353</v>
      </c>
      <c r="B210" s="1" t="s">
        <v>354</v>
      </c>
      <c r="C210" s="1" t="s">
        <v>355</v>
      </c>
      <c r="D210" s="6">
        <v>0.53069999999999995</v>
      </c>
      <c r="E210" s="1">
        <v>3.7100000000000001E-2</v>
      </c>
      <c r="F210" s="1">
        <v>47.83</v>
      </c>
      <c r="G210" s="1">
        <v>14.8</v>
      </c>
      <c r="H210" s="1">
        <v>14.47</v>
      </c>
      <c r="I210" s="1">
        <v>0</v>
      </c>
      <c r="J210" s="1">
        <v>14.23</v>
      </c>
      <c r="K210" s="9">
        <f t="shared" si="33"/>
        <v>43.5</v>
      </c>
      <c r="L210" s="20">
        <f t="shared" si="39"/>
        <v>0.90947104327827721</v>
      </c>
      <c r="M210" s="14" t="str">
        <f t="shared" si="40"/>
        <v/>
      </c>
      <c r="N210" s="7">
        <f t="shared" si="34"/>
        <v>8423.7407537865456</v>
      </c>
      <c r="O210" s="7">
        <f t="shared" si="35"/>
        <v>2606.5516026769992</v>
      </c>
      <c r="P210" s="7">
        <f t="shared" si="36"/>
        <v>2548.4325466713635</v>
      </c>
      <c r="Q210" s="1">
        <f t="shared" si="37"/>
        <v>0</v>
      </c>
      <c r="R210" s="1">
        <f t="shared" si="38"/>
        <v>2506.1641423036281</v>
      </c>
      <c r="S210" s="14">
        <f t="shared" si="41"/>
        <v>7661.1482916519908</v>
      </c>
      <c r="T210" s="10">
        <f t="shared" si="42"/>
        <v>9.05289567217228E-2</v>
      </c>
      <c r="U210" s="14" t="str">
        <f t="shared" si="43"/>
        <v/>
      </c>
    </row>
    <row r="211" spans="1:21" s="1" customFormat="1" hidden="1" x14ac:dyDescent="0.25">
      <c r="A211" s="1" t="s">
        <v>356</v>
      </c>
      <c r="B211" s="1" t="s">
        <v>357</v>
      </c>
      <c r="C211" s="1" t="s">
        <v>358</v>
      </c>
      <c r="D211" s="6">
        <v>3.4599999999999999E-2</v>
      </c>
      <c r="E211" s="1">
        <v>0.10829999999999999</v>
      </c>
      <c r="F211" s="1">
        <v>145.28</v>
      </c>
      <c r="G211" s="1">
        <v>10.48</v>
      </c>
      <c r="H211" s="1">
        <v>10.44</v>
      </c>
      <c r="I211" s="1">
        <v>122.55</v>
      </c>
      <c r="J211" s="1">
        <v>10.48</v>
      </c>
      <c r="K211" s="9">
        <f t="shared" si="33"/>
        <v>153.94999999999999</v>
      </c>
      <c r="L211" s="20">
        <f t="shared" si="39"/>
        <v>1.0596778634361232</v>
      </c>
      <c r="M211" s="14" t="str">
        <f t="shared" si="40"/>
        <v/>
      </c>
      <c r="N211" s="7">
        <f t="shared" si="34"/>
        <v>101665.50034989504</v>
      </c>
      <c r="O211" s="7">
        <f t="shared" si="35"/>
        <v>7333.7998600419878</v>
      </c>
      <c r="P211" s="7">
        <f t="shared" si="36"/>
        <v>7305.8082575227427</v>
      </c>
      <c r="Q211" s="1">
        <f t="shared" si="37"/>
        <v>85759.272218334503</v>
      </c>
      <c r="R211" s="1">
        <f t="shared" si="38"/>
        <v>7333.7998600419878</v>
      </c>
      <c r="S211" s="14">
        <f t="shared" si="41"/>
        <v>107732.68019594121</v>
      </c>
      <c r="T211" s="10">
        <f t="shared" si="42"/>
        <v>-5.9677863436123205E-2</v>
      </c>
      <c r="U211" s="14" t="str">
        <f t="shared" si="43"/>
        <v/>
      </c>
    </row>
    <row r="212" spans="1:21" s="1" customFormat="1" hidden="1" x14ac:dyDescent="0.25">
      <c r="A212" s="1" t="s">
        <v>359</v>
      </c>
      <c r="B212" s="1" t="s">
        <v>360</v>
      </c>
      <c r="C212" s="1" t="s">
        <v>361</v>
      </c>
      <c r="D212" s="6">
        <v>1.37E-2</v>
      </c>
      <c r="E212" s="1">
        <v>7.3099999999999998E-2</v>
      </c>
      <c r="F212" s="19">
        <v>22.23</v>
      </c>
      <c r="G212" s="1">
        <v>2.88</v>
      </c>
      <c r="H212" s="1">
        <v>2.9</v>
      </c>
      <c r="I212" s="1">
        <v>12.7</v>
      </c>
      <c r="J212" s="1">
        <v>2.88</v>
      </c>
      <c r="K212" s="9">
        <f t="shared" si="33"/>
        <v>21.359999999999996</v>
      </c>
      <c r="L212" s="20">
        <f t="shared" si="39"/>
        <v>0.96086369770580271</v>
      </c>
      <c r="M212" s="14" t="str">
        <f t="shared" si="40"/>
        <v/>
      </c>
      <c r="N212" s="7">
        <f t="shared" si="34"/>
        <v>25610.599078341016</v>
      </c>
      <c r="O212" s="7">
        <f t="shared" si="35"/>
        <v>3317.9723502304141</v>
      </c>
      <c r="P212" s="7">
        <f t="shared" si="36"/>
        <v>3341.013824884792</v>
      </c>
      <c r="Q212" s="1">
        <f t="shared" si="37"/>
        <v>14631.336405529953</v>
      </c>
      <c r="R212" s="1">
        <f t="shared" si="38"/>
        <v>3317.9723502304141</v>
      </c>
      <c r="S212" s="14">
        <f t="shared" si="41"/>
        <v>24608.294930875574</v>
      </c>
      <c r="T212" s="10">
        <f t="shared" si="42"/>
        <v>3.9136302294197192E-2</v>
      </c>
      <c r="U212" s="14" t="str">
        <f t="shared" si="43"/>
        <v/>
      </c>
    </row>
    <row r="213" spans="1:21" s="1" customFormat="1" hidden="1" x14ac:dyDescent="0.25">
      <c r="A213" s="1" t="s">
        <v>359</v>
      </c>
      <c r="B213" s="1" t="s">
        <v>360</v>
      </c>
      <c r="C213" s="1" t="s">
        <v>362</v>
      </c>
      <c r="D213" s="6">
        <v>1.7100000000000001E-2</v>
      </c>
      <c r="E213" s="1">
        <v>7.8700000000000006E-2</v>
      </c>
      <c r="F213" s="1">
        <v>18.600000000000001</v>
      </c>
      <c r="G213" s="1">
        <v>3.57</v>
      </c>
      <c r="H213" s="1">
        <v>3.6</v>
      </c>
      <c r="I213" s="1">
        <v>8.5500000000000007</v>
      </c>
      <c r="J213" s="1">
        <v>3.44</v>
      </c>
      <c r="K213" s="9">
        <f t="shared" si="33"/>
        <v>19.16</v>
      </c>
      <c r="L213" s="20">
        <f t="shared" si="39"/>
        <v>1.0301075268817204</v>
      </c>
      <c r="M213" s="14" t="str">
        <f t="shared" si="40"/>
        <v/>
      </c>
      <c r="N213" s="7">
        <f t="shared" si="34"/>
        <v>19415.44885177453</v>
      </c>
      <c r="O213" s="7">
        <f t="shared" si="35"/>
        <v>3726.5135699373686</v>
      </c>
      <c r="P213" s="7">
        <f t="shared" si="36"/>
        <v>3757.8288100208765</v>
      </c>
      <c r="Q213" s="1">
        <f t="shared" si="37"/>
        <v>8924.8434237995825</v>
      </c>
      <c r="R213" s="1">
        <f t="shared" si="38"/>
        <v>3590.814196242171</v>
      </c>
      <c r="S213" s="14">
        <f t="shared" si="41"/>
        <v>20000</v>
      </c>
      <c r="T213" s="10">
        <f t="shared" si="42"/>
        <v>-3.0107526881720425E-2</v>
      </c>
      <c r="U213" s="14" t="str">
        <f t="shared" si="43"/>
        <v/>
      </c>
    </row>
    <row r="214" spans="1:21" s="1" customFormat="1" hidden="1" x14ac:dyDescent="0.25">
      <c r="A214" s="1" t="s">
        <v>359</v>
      </c>
      <c r="B214" s="1" t="s">
        <v>360</v>
      </c>
      <c r="C214" s="1" t="s">
        <v>363</v>
      </c>
      <c r="D214" s="6">
        <v>1.49E-2</v>
      </c>
      <c r="E214" s="1">
        <v>5.5199999999999999E-2</v>
      </c>
      <c r="F214" s="1">
        <v>155.63999999999999</v>
      </c>
      <c r="G214" s="1">
        <v>7.39</v>
      </c>
      <c r="H214" s="1">
        <v>7.35</v>
      </c>
      <c r="I214" s="1">
        <v>132.6</v>
      </c>
      <c r="J214" s="1">
        <v>7.35</v>
      </c>
      <c r="K214" s="9">
        <f t="shared" si="33"/>
        <v>154.69</v>
      </c>
      <c r="L214" s="20">
        <f t="shared" si="39"/>
        <v>0.99389617065021851</v>
      </c>
      <c r="M214" s="14" t="str">
        <f t="shared" si="40"/>
        <v/>
      </c>
      <c r="N214" s="7">
        <f t="shared" si="34"/>
        <v>222025.67760342368</v>
      </c>
      <c r="O214" s="7">
        <f t="shared" si="35"/>
        <v>10542.082738944366</v>
      </c>
      <c r="P214" s="7">
        <f t="shared" si="36"/>
        <v>10485.021398002853</v>
      </c>
      <c r="Q214" s="1">
        <f t="shared" si="37"/>
        <v>189158.34522111269</v>
      </c>
      <c r="R214" s="1">
        <f t="shared" si="38"/>
        <v>10485.021398002853</v>
      </c>
      <c r="S214" s="14">
        <f t="shared" si="41"/>
        <v>220670.47075606277</v>
      </c>
      <c r="T214" s="10">
        <f t="shared" si="42"/>
        <v>6.1038293497815361E-3</v>
      </c>
      <c r="U214" s="14" t="str">
        <f t="shared" si="43"/>
        <v/>
      </c>
    </row>
    <row r="215" spans="1:21" s="1" customFormat="1" hidden="1" x14ac:dyDescent="0.25">
      <c r="A215" s="1" t="s">
        <v>359</v>
      </c>
      <c r="B215" s="1" t="s">
        <v>360</v>
      </c>
      <c r="C215" s="1" t="s">
        <v>364</v>
      </c>
      <c r="D215" s="6">
        <v>2.2200000000000001E-2</v>
      </c>
      <c r="E215" s="1">
        <v>6.3500000000000001E-2</v>
      </c>
      <c r="F215" s="1">
        <v>35</v>
      </c>
      <c r="G215" s="1">
        <v>3.05</v>
      </c>
      <c r="H215" s="1">
        <v>3.11</v>
      </c>
      <c r="I215" s="1">
        <v>27.07</v>
      </c>
      <c r="J215" s="1">
        <v>3.06</v>
      </c>
      <c r="K215" s="9">
        <f t="shared" si="33"/>
        <v>36.290000000000006</v>
      </c>
      <c r="L215" s="20">
        <f t="shared" si="39"/>
        <v>1.0368571428571431</v>
      </c>
      <c r="M215" s="14" t="str">
        <f t="shared" si="40"/>
        <v/>
      </c>
      <c r="N215" s="7">
        <f t="shared" si="34"/>
        <v>40840.140023337219</v>
      </c>
      <c r="O215" s="7">
        <f t="shared" si="35"/>
        <v>3558.9264877479577</v>
      </c>
      <c r="P215" s="7">
        <f t="shared" si="36"/>
        <v>3628.9381563593934</v>
      </c>
      <c r="Q215" s="1">
        <f t="shared" si="37"/>
        <v>31586.931155192531</v>
      </c>
      <c r="R215" s="1">
        <f t="shared" si="38"/>
        <v>3570.5950991831978</v>
      </c>
      <c r="S215" s="14">
        <f t="shared" si="41"/>
        <v>42345.390898483085</v>
      </c>
      <c r="T215" s="10">
        <f t="shared" si="42"/>
        <v>-3.6857142857143074E-2</v>
      </c>
      <c r="U215" s="14" t="str">
        <f t="shared" si="43"/>
        <v/>
      </c>
    </row>
    <row r="216" spans="1:21" s="1" customFormat="1" hidden="1" x14ac:dyDescent="0.25">
      <c r="A216" s="1" t="s">
        <v>359</v>
      </c>
      <c r="B216" s="1" t="s">
        <v>360</v>
      </c>
      <c r="C216" s="1" t="s">
        <v>365</v>
      </c>
      <c r="D216" s="6">
        <v>2.0299999999999999E-2</v>
      </c>
      <c r="E216" s="1">
        <v>6.8599999999999994E-2</v>
      </c>
      <c r="F216" s="1">
        <v>48.53</v>
      </c>
      <c r="G216" s="1">
        <v>3.57</v>
      </c>
      <c r="H216" s="1">
        <v>3.66</v>
      </c>
      <c r="I216" s="1">
        <v>38.31</v>
      </c>
      <c r="J216" s="1">
        <v>3.52</v>
      </c>
      <c r="K216" s="9">
        <f t="shared" si="33"/>
        <v>49.060000000000009</v>
      </c>
      <c r="L216" s="20">
        <f t="shared" si="39"/>
        <v>1.0109210797444881</v>
      </c>
      <c r="M216" s="14" t="str">
        <f t="shared" si="40"/>
        <v/>
      </c>
      <c r="N216" s="7">
        <f t="shared" si="34"/>
        <v>54589.42632170979</v>
      </c>
      <c r="O216" s="7">
        <f t="shared" si="35"/>
        <v>4015.748031496063</v>
      </c>
      <c r="P216" s="7">
        <f t="shared" si="36"/>
        <v>4116.9853768278972</v>
      </c>
      <c r="Q216" s="1">
        <f t="shared" si="37"/>
        <v>43093.363329583808</v>
      </c>
      <c r="R216" s="1">
        <f t="shared" si="38"/>
        <v>3959.5050618672672</v>
      </c>
      <c r="S216" s="14">
        <f t="shared" si="41"/>
        <v>55185.601799775039</v>
      </c>
      <c r="T216" s="10">
        <f t="shared" si="42"/>
        <v>-1.092107974448806E-2</v>
      </c>
      <c r="U216" s="14" t="str">
        <f t="shared" si="43"/>
        <v/>
      </c>
    </row>
    <row r="217" spans="1:21" s="1" customFormat="1" hidden="1" x14ac:dyDescent="0.25">
      <c r="A217" s="1" t="s">
        <v>366</v>
      </c>
      <c r="B217" s="1" t="s">
        <v>351</v>
      </c>
      <c r="C217" s="1" t="s">
        <v>367</v>
      </c>
      <c r="D217" s="6">
        <v>16.16</v>
      </c>
      <c r="E217" s="1">
        <v>2.4899999999999999E-2</v>
      </c>
      <c r="F217" s="1">
        <v>1042.58</v>
      </c>
      <c r="G217" s="1">
        <v>514.11</v>
      </c>
      <c r="H217" s="1">
        <v>514.09</v>
      </c>
      <c r="I217" s="1">
        <v>0</v>
      </c>
      <c r="J217" s="1">
        <v>0</v>
      </c>
      <c r="K217" s="9">
        <f t="shared" si="33"/>
        <v>1028.2</v>
      </c>
      <c r="L217" s="20">
        <f t="shared" si="39"/>
        <v>0.98620729344510749</v>
      </c>
      <c r="M217" s="14" t="str">
        <f t="shared" si="40"/>
        <v/>
      </c>
      <c r="N217" s="7">
        <f t="shared" si="34"/>
        <v>6441.6832973944847</v>
      </c>
      <c r="O217" s="7">
        <f t="shared" si="35"/>
        <v>3176.4793109626876</v>
      </c>
      <c r="P217" s="7">
        <f t="shared" si="36"/>
        <v>3176.3557389912821</v>
      </c>
      <c r="Q217" s="1">
        <f t="shared" si="37"/>
        <v>0</v>
      </c>
      <c r="R217" s="1">
        <f t="shared" si="38"/>
        <v>0</v>
      </c>
      <c r="S217" s="14">
        <f t="shared" si="41"/>
        <v>6352.8350499539702</v>
      </c>
      <c r="T217" s="10">
        <f t="shared" si="42"/>
        <v>1.3792706554892519E-2</v>
      </c>
      <c r="U217" s="14" t="str">
        <f t="shared" si="43"/>
        <v/>
      </c>
    </row>
    <row r="218" spans="1:21" s="1" customFormat="1" hidden="1" x14ac:dyDescent="0.25">
      <c r="A218" s="1" t="s">
        <v>368</v>
      </c>
      <c r="B218" s="1" t="s">
        <v>369</v>
      </c>
      <c r="C218" s="1" t="s">
        <v>370</v>
      </c>
      <c r="D218" s="6">
        <v>1.1999999999999999E-3</v>
      </c>
      <c r="E218" s="1">
        <v>0.15</v>
      </c>
      <c r="F218" s="1">
        <v>38.090000000000003</v>
      </c>
      <c r="G218" s="1">
        <v>5.2</v>
      </c>
      <c r="H218" s="1">
        <v>5.14</v>
      </c>
      <c r="I218" s="1">
        <v>24.32</v>
      </c>
      <c r="J218" s="1">
        <v>5.13</v>
      </c>
      <c r="K218" s="9">
        <f t="shared" si="33"/>
        <v>39.79</v>
      </c>
      <c r="L218" s="20">
        <f t="shared" si="39"/>
        <v>1.0446311367813073</v>
      </c>
      <c r="M218" s="14" t="str">
        <f t="shared" si="40"/>
        <v/>
      </c>
      <c r="N218" s="7">
        <f t="shared" si="34"/>
        <v>25191.798941798945</v>
      </c>
      <c r="O218" s="7">
        <f t="shared" si="35"/>
        <v>3439.1534391534392</v>
      </c>
      <c r="P218" s="7">
        <f t="shared" si="36"/>
        <v>3399.4708994708994</v>
      </c>
      <c r="Q218" s="1">
        <f t="shared" si="37"/>
        <v>16084.656084656084</v>
      </c>
      <c r="R218" s="1">
        <f t="shared" si="38"/>
        <v>3392.8571428571431</v>
      </c>
      <c r="S218" s="14">
        <f t="shared" si="41"/>
        <v>26316.137566137564</v>
      </c>
      <c r="T218" s="10">
        <f t="shared" si="42"/>
        <v>-4.4631136781307229E-2</v>
      </c>
      <c r="U218" s="14" t="str">
        <f t="shared" si="43"/>
        <v/>
      </c>
    </row>
    <row r="219" spans="1:21" s="1" customFormat="1" hidden="1" x14ac:dyDescent="0.25">
      <c r="A219" s="1" t="s">
        <v>368</v>
      </c>
      <c r="B219" s="1" t="s">
        <v>369</v>
      </c>
      <c r="C219" s="1" t="s">
        <v>371</v>
      </c>
      <c r="D219" s="6">
        <v>1.9E-3</v>
      </c>
      <c r="E219" s="1">
        <v>0.2</v>
      </c>
      <c r="F219" s="1">
        <v>25.66</v>
      </c>
      <c r="G219" s="1">
        <v>6.78</v>
      </c>
      <c r="H219" s="1">
        <v>6.75</v>
      </c>
      <c r="I219" s="1">
        <v>6.56</v>
      </c>
      <c r="J219" s="1">
        <v>6.78</v>
      </c>
      <c r="K219" s="9">
        <f t="shared" si="33"/>
        <v>26.87</v>
      </c>
      <c r="L219" s="20">
        <f t="shared" si="39"/>
        <v>1.0471551052221357</v>
      </c>
      <c r="M219" s="14" t="str">
        <f t="shared" si="40"/>
        <v/>
      </c>
      <c r="N219" s="7">
        <f t="shared" si="34"/>
        <v>12709.262010896482</v>
      </c>
      <c r="O219" s="7">
        <f t="shared" si="35"/>
        <v>3358.0980683506682</v>
      </c>
      <c r="P219" s="7">
        <f t="shared" si="36"/>
        <v>3343.239227340267</v>
      </c>
      <c r="Q219" s="1">
        <f t="shared" si="37"/>
        <v>3249.1332342743922</v>
      </c>
      <c r="R219" s="1">
        <f t="shared" si="38"/>
        <v>3358.0980683506682</v>
      </c>
      <c r="S219" s="14">
        <f t="shared" si="41"/>
        <v>13308.568598315995</v>
      </c>
      <c r="T219" s="10">
        <f t="shared" si="42"/>
        <v>-4.7155105222135472E-2</v>
      </c>
      <c r="U219" s="14" t="str">
        <f t="shared" si="43"/>
        <v/>
      </c>
    </row>
    <row r="220" spans="1:21" s="1" customFormat="1" hidden="1" x14ac:dyDescent="0.25">
      <c r="A220" s="1" t="s">
        <v>372</v>
      </c>
      <c r="B220" s="1" t="s">
        <v>373</v>
      </c>
      <c r="C220" s="1" t="s">
        <v>374</v>
      </c>
      <c r="D220" s="6">
        <v>6.8999999999999999E-3</v>
      </c>
      <c r="E220" s="1">
        <v>4.4699999999999997E-2</v>
      </c>
      <c r="F220" s="1">
        <v>110.84</v>
      </c>
      <c r="G220" s="1">
        <v>10.01</v>
      </c>
      <c r="H220" s="1">
        <v>10</v>
      </c>
      <c r="I220" s="1">
        <v>82.18</v>
      </c>
      <c r="J220" s="1">
        <v>9.99</v>
      </c>
      <c r="K220" s="9">
        <f t="shared" si="33"/>
        <v>112.17999999999999</v>
      </c>
      <c r="L220" s="20">
        <f t="shared" si="39"/>
        <v>1.0120894983760373</v>
      </c>
      <c r="M220" s="14" t="str">
        <f t="shared" si="40"/>
        <v/>
      </c>
      <c r="N220" s="7">
        <f t="shared" si="34"/>
        <v>214806.20155038763</v>
      </c>
      <c r="O220" s="7">
        <f t="shared" si="35"/>
        <v>19399.224806201553</v>
      </c>
      <c r="P220" s="7">
        <f t="shared" si="36"/>
        <v>19379.844961240313</v>
      </c>
      <c r="Q220" s="1">
        <f t="shared" si="37"/>
        <v>159263.56589147291</v>
      </c>
      <c r="R220" s="1">
        <f t="shared" si="38"/>
        <v>19360.465116279072</v>
      </c>
      <c r="S220" s="14">
        <f t="shared" si="41"/>
        <v>217403.10077519386</v>
      </c>
      <c r="T220" s="10">
        <f t="shared" si="42"/>
        <v>-1.2089498376037651E-2</v>
      </c>
      <c r="U220" s="14" t="str">
        <f t="shared" si="43"/>
        <v/>
      </c>
    </row>
    <row r="221" spans="1:21" s="1" customFormat="1" hidden="1" x14ac:dyDescent="0.25">
      <c r="A221" s="1" t="s">
        <v>375</v>
      </c>
      <c r="B221" s="1" t="s">
        <v>376</v>
      </c>
      <c r="C221" s="1" t="s">
        <v>377</v>
      </c>
      <c r="D221" s="6">
        <v>1.3389</v>
      </c>
      <c r="E221" s="1">
        <v>1.5189999999999999</v>
      </c>
      <c r="F221" s="1">
        <v>403.34</v>
      </c>
      <c r="G221" s="1">
        <v>95.72</v>
      </c>
      <c r="H221" s="1">
        <v>95.92</v>
      </c>
      <c r="I221" s="1">
        <v>116.91</v>
      </c>
      <c r="J221" s="1">
        <v>95.19</v>
      </c>
      <c r="K221" s="9">
        <f t="shared" si="33"/>
        <v>403.73999999999995</v>
      </c>
      <c r="L221" s="20">
        <f t="shared" si="39"/>
        <v>1.0009917191451381</v>
      </c>
      <c r="M221" s="14" t="str">
        <f t="shared" si="40"/>
        <v/>
      </c>
      <c r="N221" s="7">
        <f t="shared" si="34"/>
        <v>14113.160012596663</v>
      </c>
      <c r="O221" s="7">
        <f t="shared" si="35"/>
        <v>3349.3124322054655</v>
      </c>
      <c r="P221" s="7">
        <f t="shared" si="36"/>
        <v>3356.3105776969101</v>
      </c>
      <c r="Q221" s="1">
        <f t="shared" si="37"/>
        <v>4090.7659470240387</v>
      </c>
      <c r="R221" s="1">
        <f t="shared" si="38"/>
        <v>3330.7673466531369</v>
      </c>
      <c r="S221" s="14">
        <f t="shared" si="41"/>
        <v>14127.156303579552</v>
      </c>
      <c r="T221" s="10">
        <f t="shared" si="42"/>
        <v>-9.9171914513800519E-4</v>
      </c>
      <c r="U221" s="14" t="str">
        <f t="shared" si="43"/>
        <v/>
      </c>
    </row>
    <row r="222" spans="1:21" s="1" customFormat="1" hidden="1" x14ac:dyDescent="0.25">
      <c r="A222" s="1" t="s">
        <v>375</v>
      </c>
      <c r="B222" s="1" t="s">
        <v>378</v>
      </c>
      <c r="C222" s="1" t="s">
        <v>379</v>
      </c>
      <c r="D222" s="6">
        <v>0.81599999999999995</v>
      </c>
      <c r="E222" s="1">
        <v>1.78E-2</v>
      </c>
      <c r="F222" s="1">
        <v>1176.9286</v>
      </c>
      <c r="G222" s="1">
        <v>33.119300000000003</v>
      </c>
      <c r="H222" s="1">
        <v>33.110500000000002</v>
      </c>
      <c r="I222" s="1">
        <v>1075.25</v>
      </c>
      <c r="J222" s="1">
        <v>33.116900000000001</v>
      </c>
      <c r="K222" s="9">
        <f t="shared" si="33"/>
        <v>1174.5967000000001</v>
      </c>
      <c r="L222" s="20">
        <f t="shared" si="39"/>
        <v>0.9980186563568938</v>
      </c>
      <c r="M222" s="14" t="str">
        <f t="shared" si="40"/>
        <v/>
      </c>
      <c r="N222" s="7">
        <f t="shared" si="34"/>
        <v>141152.38666346844</v>
      </c>
      <c r="O222" s="7">
        <f t="shared" si="35"/>
        <v>3972.0916286879351</v>
      </c>
      <c r="P222" s="7">
        <f t="shared" si="36"/>
        <v>3971.0362197169588</v>
      </c>
      <c r="Q222" s="1">
        <f t="shared" si="37"/>
        <v>128957.78364116095</v>
      </c>
      <c r="R222" s="1">
        <f t="shared" si="38"/>
        <v>3971.8037898776684</v>
      </c>
      <c r="S222" s="14">
        <f t="shared" si="41"/>
        <v>140872.71527944351</v>
      </c>
      <c r="T222" s="10">
        <f t="shared" si="42"/>
        <v>1.981343643106179E-3</v>
      </c>
      <c r="U222" s="14" t="str">
        <f t="shared" si="43"/>
        <v/>
      </c>
    </row>
    <row r="223" spans="1:21" s="1" customFormat="1" hidden="1" x14ac:dyDescent="0.25">
      <c r="A223" s="1" t="s">
        <v>375</v>
      </c>
      <c r="B223" s="1" t="s">
        <v>378</v>
      </c>
      <c r="C223" s="1" t="s">
        <v>380</v>
      </c>
      <c r="D223" s="6">
        <v>0.74780000000000002</v>
      </c>
      <c r="E223" s="1">
        <v>1.21E-2</v>
      </c>
      <c r="F223" s="1">
        <v>492.81299999999999</v>
      </c>
      <c r="G223" s="1">
        <v>28.960799999999999</v>
      </c>
      <c r="H223" s="1">
        <v>28.967099999999999</v>
      </c>
      <c r="I223" s="1">
        <v>406.06</v>
      </c>
      <c r="J223" s="1">
        <v>28.9115</v>
      </c>
      <c r="K223" s="9">
        <f t="shared" si="33"/>
        <v>492.89939999999996</v>
      </c>
      <c r="L223" s="20">
        <f t="shared" si="39"/>
        <v>1.0001753200504044</v>
      </c>
      <c r="M223" s="14" t="str">
        <f t="shared" si="40"/>
        <v/>
      </c>
      <c r="N223" s="7">
        <f t="shared" si="34"/>
        <v>64852.348993288593</v>
      </c>
      <c r="O223" s="7">
        <f t="shared" si="35"/>
        <v>3811.1330438215555</v>
      </c>
      <c r="P223" s="7">
        <f t="shared" si="36"/>
        <v>3811.9621002763515</v>
      </c>
      <c r="Q223" s="1">
        <f t="shared" si="37"/>
        <v>53435.978418212922</v>
      </c>
      <c r="R223" s="1">
        <f t="shared" si="38"/>
        <v>3804.6453480721148</v>
      </c>
      <c r="S223" s="14">
        <f t="shared" si="41"/>
        <v>64863.718910382944</v>
      </c>
      <c r="T223" s="10">
        <f t="shared" si="42"/>
        <v>-1.7532005040445968E-4</v>
      </c>
      <c r="U223" s="14" t="str">
        <f t="shared" si="43"/>
        <v/>
      </c>
    </row>
    <row r="224" spans="1:21" s="1" customFormat="1" hidden="1" x14ac:dyDescent="0.25">
      <c r="A224" s="1" t="s">
        <v>375</v>
      </c>
      <c r="B224" s="1" t="s">
        <v>378</v>
      </c>
      <c r="C224" s="1" t="s">
        <v>381</v>
      </c>
      <c r="D224" s="6">
        <v>0.95830000000000004</v>
      </c>
      <c r="E224" s="1">
        <v>2.0899999999999998E-2</v>
      </c>
      <c r="F224" s="1">
        <v>917.89179999999999</v>
      </c>
      <c r="G224" s="1">
        <v>32.646799999999999</v>
      </c>
      <c r="H224" s="1">
        <v>32.656300000000002</v>
      </c>
      <c r="I224" s="1">
        <v>820.15</v>
      </c>
      <c r="J224" s="1">
        <v>32.667200000000001</v>
      </c>
      <c r="K224" s="9">
        <f t="shared" si="33"/>
        <v>918.12029999999993</v>
      </c>
      <c r="L224" s="20">
        <f t="shared" si="39"/>
        <v>1.0002489400166772</v>
      </c>
      <c r="M224" s="14" t="str">
        <f t="shared" si="40"/>
        <v/>
      </c>
      <c r="N224" s="7">
        <f t="shared" si="34"/>
        <v>93738.95016339868</v>
      </c>
      <c r="O224" s="7">
        <f t="shared" si="35"/>
        <v>3334.0277777777774</v>
      </c>
      <c r="P224" s="7">
        <f t="shared" si="36"/>
        <v>3334.9979575163397</v>
      </c>
      <c r="Q224" s="1">
        <f t="shared" si="37"/>
        <v>83757.148692810442</v>
      </c>
      <c r="R224" s="1">
        <f t="shared" si="38"/>
        <v>3336.1111111111109</v>
      </c>
      <c r="S224" s="14">
        <f t="shared" si="41"/>
        <v>93762.285539215663</v>
      </c>
      <c r="T224" s="10">
        <f t="shared" si="42"/>
        <v>-2.4894001667723843E-4</v>
      </c>
      <c r="U224" s="14" t="str">
        <f t="shared" si="43"/>
        <v/>
      </c>
    </row>
    <row r="225" spans="1:21" s="1" customFormat="1" hidden="1" x14ac:dyDescent="0.25">
      <c r="A225" s="1" t="s">
        <v>375</v>
      </c>
      <c r="B225" s="1" t="s">
        <v>382</v>
      </c>
      <c r="C225" s="1" t="s">
        <v>383</v>
      </c>
      <c r="D225" s="6">
        <v>1.3807</v>
      </c>
      <c r="E225" s="1">
        <v>0.97199999999999998</v>
      </c>
      <c r="F225" s="1">
        <v>1055.6400000000001</v>
      </c>
      <c r="G225" s="1">
        <v>79.459999999999994</v>
      </c>
      <c r="H225" s="1">
        <v>78.95</v>
      </c>
      <c r="I225" s="1">
        <v>828.59</v>
      </c>
      <c r="J225" s="1">
        <v>79.13</v>
      </c>
      <c r="K225" s="9">
        <f t="shared" si="33"/>
        <v>1066.1300000000001</v>
      </c>
      <c r="L225" s="20">
        <f t="shared" si="39"/>
        <v>1.0099370997688606</v>
      </c>
      <c r="M225" s="14" t="str">
        <f t="shared" si="40"/>
        <v/>
      </c>
      <c r="N225" s="7">
        <f t="shared" si="34"/>
        <v>44869.299103158082</v>
      </c>
      <c r="O225" s="7">
        <f t="shared" si="35"/>
        <v>3377.3961831087681</v>
      </c>
      <c r="P225" s="7">
        <f t="shared" si="36"/>
        <v>3355.7189611935223</v>
      </c>
      <c r="Q225" s="1">
        <f t="shared" si="37"/>
        <v>35218.684915203812</v>
      </c>
      <c r="R225" s="1">
        <f t="shared" si="38"/>
        <v>3363.369745398903</v>
      </c>
      <c r="S225" s="14">
        <f t="shared" si="41"/>
        <v>45315.169804905003</v>
      </c>
      <c r="T225" s="10">
        <f t="shared" si="42"/>
        <v>-9.9370997688604037E-3</v>
      </c>
      <c r="U225" s="14" t="str">
        <f t="shared" si="43"/>
        <v/>
      </c>
    </row>
    <row r="226" spans="1:21" s="1" customFormat="1" hidden="1" x14ac:dyDescent="0.25">
      <c r="A226" s="1" t="s">
        <v>384</v>
      </c>
      <c r="B226" s="1" t="s">
        <v>385</v>
      </c>
      <c r="C226" s="1" t="s">
        <v>386</v>
      </c>
      <c r="D226" s="6">
        <v>5.57E-2</v>
      </c>
      <c r="E226" s="1">
        <v>2.2110000000000001E-2</v>
      </c>
      <c r="F226" s="19">
        <v>25.03</v>
      </c>
      <c r="G226" s="1">
        <v>8.49</v>
      </c>
      <c r="H226" s="1">
        <v>8.52</v>
      </c>
      <c r="I226" s="1">
        <v>0</v>
      </c>
      <c r="J226" s="1">
        <v>8.5</v>
      </c>
      <c r="K226" s="9">
        <f t="shared" si="33"/>
        <v>25.509999999999998</v>
      </c>
      <c r="L226" s="20">
        <f t="shared" si="39"/>
        <v>1.019176987614862</v>
      </c>
      <c r="M226" s="14" t="str">
        <f t="shared" si="40"/>
        <v/>
      </c>
      <c r="N226" s="7">
        <f t="shared" si="34"/>
        <v>32168.101786402774</v>
      </c>
      <c r="O226" s="7">
        <f t="shared" si="35"/>
        <v>10911.193933941653</v>
      </c>
      <c r="P226" s="7">
        <f t="shared" si="36"/>
        <v>10949.749389538618</v>
      </c>
      <c r="Q226" s="1">
        <f t="shared" si="37"/>
        <v>0</v>
      </c>
      <c r="R226" s="1">
        <f t="shared" si="38"/>
        <v>10924.045752473974</v>
      </c>
      <c r="S226" s="14">
        <f t="shared" si="41"/>
        <v>32784.989075954247</v>
      </c>
      <c r="T226" s="10">
        <f t="shared" si="42"/>
        <v>-1.9176987614862192E-2</v>
      </c>
      <c r="U226" s="14" t="str">
        <f t="shared" si="43"/>
        <v/>
      </c>
    </row>
    <row r="227" spans="1:21" s="1" customFormat="1" hidden="1" x14ac:dyDescent="0.25">
      <c r="A227" s="1" t="s">
        <v>384</v>
      </c>
      <c r="B227" s="63" t="s">
        <v>722</v>
      </c>
      <c r="C227" s="1" t="s">
        <v>387</v>
      </c>
      <c r="D227" s="6">
        <v>2.5899999999999999E-2</v>
      </c>
      <c r="E227" s="1">
        <v>0.27310000000000001</v>
      </c>
      <c r="F227" s="19">
        <v>69.95</v>
      </c>
      <c r="G227" s="1">
        <v>10.130000000000001</v>
      </c>
      <c r="H227" s="1">
        <v>10.29</v>
      </c>
      <c r="I227" s="1">
        <v>35.85</v>
      </c>
      <c r="J227" s="1">
        <v>10.220000000000001</v>
      </c>
      <c r="K227" s="9">
        <f t="shared" si="33"/>
        <v>66.490000000000009</v>
      </c>
      <c r="L227" s="20">
        <f t="shared" si="39"/>
        <v>0.9505360972122946</v>
      </c>
      <c r="M227" s="14" t="str">
        <f t="shared" si="40"/>
        <v/>
      </c>
      <c r="N227" s="7">
        <f t="shared" si="34"/>
        <v>23394.64882943144</v>
      </c>
      <c r="O227" s="7">
        <f t="shared" si="35"/>
        <v>3387.9598662207363</v>
      </c>
      <c r="P227" s="7">
        <f t="shared" si="36"/>
        <v>3441.4715719063543</v>
      </c>
      <c r="Q227" s="1">
        <f t="shared" si="37"/>
        <v>11989.966555183948</v>
      </c>
      <c r="R227" s="1">
        <f t="shared" si="38"/>
        <v>3418.0602006688964</v>
      </c>
      <c r="S227" s="14">
        <f t="shared" si="41"/>
        <v>22237.458193979935</v>
      </c>
      <c r="T227" s="10">
        <f t="shared" si="42"/>
        <v>4.9463902787705495E-2</v>
      </c>
      <c r="U227" s="14" t="str">
        <f t="shared" si="43"/>
        <v/>
      </c>
    </row>
    <row r="228" spans="1:21" s="1" customFormat="1" hidden="1" x14ac:dyDescent="0.25">
      <c r="A228" s="1" t="s">
        <v>384</v>
      </c>
      <c r="B228" s="1" t="s">
        <v>388</v>
      </c>
      <c r="C228" s="1" t="s">
        <v>389</v>
      </c>
      <c r="D228" s="6">
        <v>2.4299999999999999E-2</v>
      </c>
      <c r="E228" s="1">
        <v>0.1782</v>
      </c>
      <c r="F228" s="1">
        <v>80.84</v>
      </c>
      <c r="G228" s="1">
        <v>12.62</v>
      </c>
      <c r="H228" s="1">
        <v>12.66</v>
      </c>
      <c r="I228" s="1">
        <v>43.98</v>
      </c>
      <c r="J228" s="1">
        <v>12.6</v>
      </c>
      <c r="K228" s="9">
        <f t="shared" si="33"/>
        <v>81.859999999999985</v>
      </c>
      <c r="L228" s="20">
        <f t="shared" si="39"/>
        <v>1.0126175160811477</v>
      </c>
      <c r="M228" s="14" t="str">
        <f t="shared" si="40"/>
        <v/>
      </c>
      <c r="N228" s="7">
        <f t="shared" si="34"/>
        <v>39920.98765432099</v>
      </c>
      <c r="O228" s="7">
        <f t="shared" si="35"/>
        <v>6232.0987654320988</v>
      </c>
      <c r="P228" s="7">
        <f t="shared" si="36"/>
        <v>6251.8518518518522</v>
      </c>
      <c r="Q228" s="1">
        <f t="shared" si="37"/>
        <v>21718.518518518518</v>
      </c>
      <c r="R228" s="1">
        <f t="shared" si="38"/>
        <v>6222.2222222222217</v>
      </c>
      <c r="S228" s="14">
        <f t="shared" si="41"/>
        <v>40424.691358024691</v>
      </c>
      <c r="T228" s="10">
        <f t="shared" si="42"/>
        <v>-1.2617516081147872E-2</v>
      </c>
      <c r="U228" s="14" t="str">
        <f t="shared" si="43"/>
        <v/>
      </c>
    </row>
    <row r="229" spans="1:21" s="1" customFormat="1" hidden="1" x14ac:dyDescent="0.25">
      <c r="A229" s="1" t="s">
        <v>384</v>
      </c>
      <c r="B229" s="1" t="s">
        <v>388</v>
      </c>
      <c r="C229" s="1" t="s">
        <v>390</v>
      </c>
      <c r="D229" s="6">
        <v>2.46E-2</v>
      </c>
      <c r="E229" s="1">
        <v>0.19009999999999999</v>
      </c>
      <c r="F229" s="1">
        <v>30.39</v>
      </c>
      <c r="G229" s="1">
        <v>7.16</v>
      </c>
      <c r="H229" s="1">
        <v>7.14</v>
      </c>
      <c r="I229" s="1">
        <v>6.12</v>
      </c>
      <c r="J229" s="1">
        <v>7.14</v>
      </c>
      <c r="K229" s="9">
        <f t="shared" si="33"/>
        <v>27.560000000000002</v>
      </c>
      <c r="L229" s="20">
        <f t="shared" si="39"/>
        <v>0.90687726225732157</v>
      </c>
      <c r="M229" s="14" t="str">
        <f t="shared" si="40"/>
        <v/>
      </c>
      <c r="N229" s="7">
        <f t="shared" si="34"/>
        <v>14154.634373544483</v>
      </c>
      <c r="O229" s="7">
        <f t="shared" si="35"/>
        <v>3334.8858872845831</v>
      </c>
      <c r="P229" s="7">
        <f t="shared" si="36"/>
        <v>3325.5705635770846</v>
      </c>
      <c r="Q229" s="1">
        <f t="shared" si="37"/>
        <v>2850.4890544946438</v>
      </c>
      <c r="R229" s="1">
        <f t="shared" si="38"/>
        <v>3325.5705635770846</v>
      </c>
      <c r="S229" s="14">
        <f t="shared" si="41"/>
        <v>12836.516068933395</v>
      </c>
      <c r="T229" s="10">
        <f t="shared" si="42"/>
        <v>9.3122737742678652E-2</v>
      </c>
      <c r="U229" s="14" t="str">
        <f t="shared" si="43"/>
        <v/>
      </c>
    </row>
    <row r="230" spans="1:21" s="1" customFormat="1" hidden="1" x14ac:dyDescent="0.25">
      <c r="A230" s="1" t="s">
        <v>391</v>
      </c>
      <c r="B230" s="1" t="s">
        <v>392</v>
      </c>
      <c r="C230" s="1" t="s">
        <v>393</v>
      </c>
      <c r="D230" s="6">
        <v>8.3000000000000004E-2</v>
      </c>
      <c r="E230" s="1">
        <v>4.7399999999999998E-2</v>
      </c>
      <c r="F230" s="19">
        <v>283.54000000000002</v>
      </c>
      <c r="G230" s="1">
        <v>6.45</v>
      </c>
      <c r="H230" s="1">
        <v>6.45</v>
      </c>
      <c r="I230" s="1">
        <v>257.83</v>
      </c>
      <c r="J230" s="1">
        <v>6.5</v>
      </c>
      <c r="K230" s="9">
        <f t="shared" si="33"/>
        <v>277.22999999999996</v>
      </c>
      <c r="L230" s="20">
        <f t="shared" si="39"/>
        <v>0.97774564435353017</v>
      </c>
      <c r="M230" s="14" t="str">
        <f t="shared" si="40"/>
        <v/>
      </c>
      <c r="N230" s="7">
        <f t="shared" si="34"/>
        <v>217438.65030674846</v>
      </c>
      <c r="O230" s="7">
        <f t="shared" si="35"/>
        <v>4946.3190184049072</v>
      </c>
      <c r="P230" s="7">
        <f t="shared" si="36"/>
        <v>4946.3190184049072</v>
      </c>
      <c r="Q230" s="1">
        <f t="shared" si="37"/>
        <v>197722.39263803675</v>
      </c>
      <c r="R230" s="1">
        <f t="shared" si="38"/>
        <v>4984.6625766871157</v>
      </c>
      <c r="S230" s="14">
        <f t="shared" si="41"/>
        <v>212599.69325153367</v>
      </c>
      <c r="T230" s="10">
        <f t="shared" si="42"/>
        <v>2.225435564646995E-2</v>
      </c>
      <c r="U230" s="14" t="str">
        <f t="shared" si="43"/>
        <v/>
      </c>
    </row>
    <row r="231" spans="1:21" s="1" customFormat="1" hidden="1" x14ac:dyDescent="0.25">
      <c r="A231" s="1" t="s">
        <v>394</v>
      </c>
      <c r="B231" s="1" t="s">
        <v>395</v>
      </c>
      <c r="C231" s="1" t="s">
        <v>396</v>
      </c>
      <c r="D231" s="6">
        <v>5.5100000000000003E-2</v>
      </c>
      <c r="E231" s="1">
        <v>9.2399999999999996E-2</v>
      </c>
      <c r="F231" s="1">
        <v>35.92</v>
      </c>
      <c r="G231" s="1">
        <v>5</v>
      </c>
      <c r="H231" s="1">
        <v>5.0199999999999996</v>
      </c>
      <c r="I231" s="1">
        <v>20.54</v>
      </c>
      <c r="J231" s="1">
        <v>5.03</v>
      </c>
      <c r="K231" s="9">
        <f t="shared" si="33"/>
        <v>35.589999999999996</v>
      </c>
      <c r="L231" s="20">
        <f t="shared" si="39"/>
        <v>0.99081291759465462</v>
      </c>
      <c r="M231" s="14" t="str">
        <f t="shared" si="40"/>
        <v/>
      </c>
      <c r="N231" s="7">
        <f t="shared" si="34"/>
        <v>24352.542372881358</v>
      </c>
      <c r="O231" s="7">
        <f t="shared" si="35"/>
        <v>3389.8305084745766</v>
      </c>
      <c r="P231" s="7">
        <f t="shared" si="36"/>
        <v>3403.3898305084749</v>
      </c>
      <c r="Q231" s="1">
        <f t="shared" si="37"/>
        <v>13925.423728813559</v>
      </c>
      <c r="R231" s="1">
        <f t="shared" si="38"/>
        <v>3410.1694915254243</v>
      </c>
      <c r="S231" s="14">
        <f t="shared" si="41"/>
        <v>24128.813559322032</v>
      </c>
      <c r="T231" s="10">
        <f t="shared" si="42"/>
        <v>9.1870824053453832E-3</v>
      </c>
      <c r="U231" s="14" t="str">
        <f t="shared" si="43"/>
        <v/>
      </c>
    </row>
    <row r="232" spans="1:21" s="1" customFormat="1" hidden="1" x14ac:dyDescent="0.25">
      <c r="A232" s="1" t="s">
        <v>394</v>
      </c>
      <c r="B232" s="1" t="s">
        <v>395</v>
      </c>
      <c r="C232" s="1" t="s">
        <v>397</v>
      </c>
      <c r="D232" s="6">
        <v>7.1999999999999995E-2</v>
      </c>
      <c r="E232" s="1">
        <v>0.13550000000000001</v>
      </c>
      <c r="F232" s="1">
        <v>24.17</v>
      </c>
      <c r="G232" s="1">
        <v>6.92</v>
      </c>
      <c r="H232" s="1">
        <v>6.97</v>
      </c>
      <c r="I232" s="1">
        <v>3.54</v>
      </c>
      <c r="J232" s="1">
        <v>6.94</v>
      </c>
      <c r="K232" s="9">
        <f t="shared" si="33"/>
        <v>24.37</v>
      </c>
      <c r="L232" s="20">
        <f t="shared" si="39"/>
        <v>1.0082747207281755</v>
      </c>
      <c r="M232" s="14" t="str">
        <f t="shared" si="40"/>
        <v/>
      </c>
      <c r="N232" s="7">
        <f t="shared" si="34"/>
        <v>11648.192771084337</v>
      </c>
      <c r="O232" s="7">
        <f t="shared" si="35"/>
        <v>3334.9397590361441</v>
      </c>
      <c r="P232" s="7">
        <f t="shared" si="36"/>
        <v>3359.0361445783133</v>
      </c>
      <c r="Q232" s="1">
        <f t="shared" si="37"/>
        <v>1706.0240963855422</v>
      </c>
      <c r="R232" s="1">
        <f t="shared" si="38"/>
        <v>3344.5783132530119</v>
      </c>
      <c r="S232" s="14">
        <f t="shared" si="41"/>
        <v>11744.578313253012</v>
      </c>
      <c r="T232" s="10">
        <f t="shared" si="42"/>
        <v>-8.2747207281754394E-3</v>
      </c>
      <c r="U232" s="14" t="str">
        <f t="shared" si="43"/>
        <v/>
      </c>
    </row>
    <row r="233" spans="1:21" s="1" customFormat="1" hidden="1" x14ac:dyDescent="0.25">
      <c r="A233" s="1" t="s">
        <v>398</v>
      </c>
      <c r="B233" s="1" t="s">
        <v>399</v>
      </c>
      <c r="C233" s="1" t="s">
        <v>400</v>
      </c>
      <c r="D233" s="6">
        <v>0.14829999999999999</v>
      </c>
      <c r="E233" s="1">
        <v>0.1421</v>
      </c>
      <c r="F233" s="1">
        <v>69.540000000000006</v>
      </c>
      <c r="G233" s="1">
        <v>19.7</v>
      </c>
      <c r="H233" s="1">
        <v>19.72</v>
      </c>
      <c r="I233" s="1">
        <v>14.89</v>
      </c>
      <c r="J233" s="1">
        <v>19.73</v>
      </c>
      <c r="K233" s="9">
        <f t="shared" si="33"/>
        <v>74.040000000000006</v>
      </c>
      <c r="L233" s="20">
        <f t="shared" si="39"/>
        <v>1.0647109577221743</v>
      </c>
      <c r="M233" s="14" t="str">
        <f t="shared" si="40"/>
        <v/>
      </c>
      <c r="N233" s="7">
        <f t="shared" si="34"/>
        <v>23946.280991735541</v>
      </c>
      <c r="O233" s="7">
        <f t="shared" si="35"/>
        <v>6783.7465564738295</v>
      </c>
      <c r="P233" s="7">
        <f t="shared" si="36"/>
        <v>6790.6336088154258</v>
      </c>
      <c r="Q233" s="1">
        <f t="shared" si="37"/>
        <v>5127.4104683195592</v>
      </c>
      <c r="R233" s="1">
        <f t="shared" si="38"/>
        <v>6794.0771349862262</v>
      </c>
      <c r="S233" s="14">
        <f t="shared" si="41"/>
        <v>25495.867768595039</v>
      </c>
      <c r="T233" s="10">
        <f t="shared" si="42"/>
        <v>-6.4710957722174028E-2</v>
      </c>
      <c r="U233" s="14" t="str">
        <f t="shared" si="43"/>
        <v/>
      </c>
    </row>
    <row r="234" spans="1:21" s="1" customFormat="1" hidden="1" x14ac:dyDescent="0.25">
      <c r="A234" s="1" t="s">
        <v>401</v>
      </c>
      <c r="B234" s="1" t="s">
        <v>402</v>
      </c>
      <c r="C234" s="1" t="s">
        <v>403</v>
      </c>
      <c r="D234" s="6">
        <v>0.1681</v>
      </c>
      <c r="E234" s="1">
        <v>9.8799999999999999E-2</v>
      </c>
      <c r="F234" s="1">
        <v>338.65</v>
      </c>
      <c r="G234" s="1">
        <v>8.89</v>
      </c>
      <c r="H234" s="1">
        <v>8.89</v>
      </c>
      <c r="I234" s="1">
        <v>279.36</v>
      </c>
      <c r="J234" s="1">
        <v>8.8699999999999992</v>
      </c>
      <c r="K234" s="9">
        <f t="shared" si="33"/>
        <v>306.01</v>
      </c>
      <c r="L234" s="20">
        <f t="shared" si="39"/>
        <v>0.90361730400118123</v>
      </c>
      <c r="M234" s="14" t="str">
        <f t="shared" si="40"/>
        <v/>
      </c>
      <c r="N234" s="7">
        <f t="shared" si="34"/>
        <v>126882.72761333831</v>
      </c>
      <c r="O234" s="7">
        <f t="shared" si="35"/>
        <v>3330.8355189209442</v>
      </c>
      <c r="P234" s="7">
        <f t="shared" si="36"/>
        <v>3330.8355189209442</v>
      </c>
      <c r="Q234" s="1">
        <f t="shared" si="37"/>
        <v>104668.41513675533</v>
      </c>
      <c r="R234" s="1">
        <f t="shared" si="38"/>
        <v>3323.3420756837759</v>
      </c>
      <c r="S234" s="14">
        <f t="shared" si="41"/>
        <v>114653.42825028099</v>
      </c>
      <c r="T234" s="10">
        <f t="shared" si="42"/>
        <v>9.6382695998818796E-2</v>
      </c>
      <c r="U234" s="14" t="str">
        <f t="shared" si="43"/>
        <v/>
      </c>
    </row>
    <row r="235" spans="1:21" s="1" customFormat="1" hidden="1" x14ac:dyDescent="0.25">
      <c r="A235" s="1" t="s">
        <v>401</v>
      </c>
      <c r="B235" s="1" t="s">
        <v>404</v>
      </c>
      <c r="C235" s="1" t="s">
        <v>405</v>
      </c>
      <c r="D235" s="6">
        <v>0.1249</v>
      </c>
      <c r="E235" s="1">
        <v>9.1700000000000004E-2</v>
      </c>
      <c r="F235" s="19">
        <v>44.82</v>
      </c>
      <c r="G235" s="1">
        <v>7.2</v>
      </c>
      <c r="H235" s="1">
        <v>7.23</v>
      </c>
      <c r="I235" s="1">
        <v>23.97</v>
      </c>
      <c r="J235" s="1">
        <v>7.21</v>
      </c>
      <c r="K235" s="9">
        <f t="shared" si="33"/>
        <v>45.61</v>
      </c>
      <c r="L235" s="20">
        <f t="shared" si="39"/>
        <v>1.0176260597947344</v>
      </c>
      <c r="M235" s="14" t="str">
        <f t="shared" si="40"/>
        <v/>
      </c>
      <c r="N235" s="7">
        <f t="shared" si="34"/>
        <v>20692.520775623267</v>
      </c>
      <c r="O235" s="7">
        <f t="shared" si="35"/>
        <v>3324.0997229916893</v>
      </c>
      <c r="P235" s="7">
        <f t="shared" si="36"/>
        <v>3337.9501385041549</v>
      </c>
      <c r="Q235" s="1">
        <f t="shared" si="37"/>
        <v>11066.481994459831</v>
      </c>
      <c r="R235" s="1">
        <f t="shared" si="38"/>
        <v>3328.7165281625116</v>
      </c>
      <c r="S235" s="14">
        <f t="shared" si="41"/>
        <v>21057.248384118189</v>
      </c>
      <c r="T235" s="10">
        <f t="shared" si="42"/>
        <v>-1.7626059794734548E-2</v>
      </c>
      <c r="U235" s="14" t="str">
        <f t="shared" si="43"/>
        <v/>
      </c>
    </row>
    <row r="236" spans="1:21" s="1" customFormat="1" hidden="1" x14ac:dyDescent="0.25">
      <c r="A236" s="1" t="s">
        <v>401</v>
      </c>
      <c r="B236" s="1" t="s">
        <v>404</v>
      </c>
      <c r="C236" s="1" t="s">
        <v>406</v>
      </c>
      <c r="D236" s="6">
        <v>0.10979999999999999</v>
      </c>
      <c r="E236" s="1">
        <v>8.4099999999999994E-2</v>
      </c>
      <c r="F236" s="19">
        <v>89.88</v>
      </c>
      <c r="G236" s="1">
        <v>6.49</v>
      </c>
      <c r="H236" s="1">
        <v>6.46</v>
      </c>
      <c r="I236" s="1">
        <v>67.53</v>
      </c>
      <c r="J236" s="1">
        <v>6.44</v>
      </c>
      <c r="K236" s="9">
        <f t="shared" si="33"/>
        <v>86.92</v>
      </c>
      <c r="L236" s="20">
        <f t="shared" si="39"/>
        <v>0.96706720071206065</v>
      </c>
      <c r="M236" s="14" t="str">
        <f t="shared" si="40"/>
        <v/>
      </c>
      <c r="N236" s="7">
        <f t="shared" si="34"/>
        <v>46353.790613718411</v>
      </c>
      <c r="O236" s="7">
        <f t="shared" si="35"/>
        <v>3347.0861268695207</v>
      </c>
      <c r="P236" s="7">
        <f t="shared" si="36"/>
        <v>3331.6142341413097</v>
      </c>
      <c r="Q236" s="1">
        <f t="shared" si="37"/>
        <v>34827.230531201654</v>
      </c>
      <c r="R236" s="1">
        <f t="shared" si="38"/>
        <v>3321.29963898917</v>
      </c>
      <c r="S236" s="14">
        <f t="shared" si="41"/>
        <v>44827.230531201654</v>
      </c>
      <c r="T236" s="10">
        <f t="shared" si="42"/>
        <v>3.2932799287939379E-2</v>
      </c>
      <c r="U236" s="14" t="str">
        <f t="shared" si="43"/>
        <v/>
      </c>
    </row>
    <row r="237" spans="1:21" s="1" customFormat="1" hidden="1" x14ac:dyDescent="0.25">
      <c r="A237" s="1" t="s">
        <v>401</v>
      </c>
      <c r="B237" s="1" t="s">
        <v>404</v>
      </c>
      <c r="C237" s="1" t="s">
        <v>407</v>
      </c>
      <c r="D237" s="6">
        <v>0.18540000000000001</v>
      </c>
      <c r="E237" s="1">
        <v>8.2500000000000004E-2</v>
      </c>
      <c r="F237" s="1">
        <v>489.12</v>
      </c>
      <c r="G237" s="1">
        <v>19.55</v>
      </c>
      <c r="H237" s="1">
        <v>23.53</v>
      </c>
      <c r="I237" s="1">
        <v>399.77</v>
      </c>
      <c r="J237" s="1">
        <v>24.73</v>
      </c>
      <c r="K237" s="9">
        <f t="shared" si="33"/>
        <v>467.58</v>
      </c>
      <c r="L237" s="20">
        <f t="shared" si="39"/>
        <v>0.95596172718351324</v>
      </c>
      <c r="M237" s="14" t="str">
        <f t="shared" si="40"/>
        <v/>
      </c>
      <c r="N237" s="7">
        <f t="shared" si="34"/>
        <v>182575.58790593501</v>
      </c>
      <c r="O237" s="7">
        <f t="shared" si="35"/>
        <v>7297.4990668159762</v>
      </c>
      <c r="P237" s="7">
        <f t="shared" si="36"/>
        <v>8783.1280328480771</v>
      </c>
      <c r="Q237" s="1">
        <f t="shared" si="37"/>
        <v>149223.5908921239</v>
      </c>
      <c r="R237" s="1">
        <f t="shared" si="38"/>
        <v>9231.0563643150417</v>
      </c>
      <c r="S237" s="14">
        <f t="shared" si="41"/>
        <v>174535.27435610298</v>
      </c>
      <c r="T237" s="10">
        <f t="shared" si="42"/>
        <v>4.4038272816486798E-2</v>
      </c>
      <c r="U237" s="14" t="str">
        <f t="shared" si="43"/>
        <v/>
      </c>
    </row>
    <row r="238" spans="1:21" s="1" customFormat="1" hidden="1" x14ac:dyDescent="0.25">
      <c r="A238" s="1" t="s">
        <v>401</v>
      </c>
      <c r="B238" s="1" t="s">
        <v>404</v>
      </c>
      <c r="C238" s="1" t="s">
        <v>408</v>
      </c>
      <c r="D238" s="6">
        <v>9.7600000000000006E-2</v>
      </c>
      <c r="E238" s="1">
        <v>0.1027</v>
      </c>
      <c r="F238" s="19">
        <v>83.65</v>
      </c>
      <c r="G238" s="1">
        <v>6.69</v>
      </c>
      <c r="H238" s="1">
        <v>6.87</v>
      </c>
      <c r="I238" s="1">
        <v>65.3</v>
      </c>
      <c r="J238" s="1">
        <v>6.73</v>
      </c>
      <c r="K238" s="9">
        <f t="shared" si="33"/>
        <v>85.59</v>
      </c>
      <c r="L238" s="20">
        <f t="shared" si="39"/>
        <v>1.0231918708906156</v>
      </c>
      <c r="M238" s="14" t="str">
        <f t="shared" si="40"/>
        <v/>
      </c>
      <c r="N238" s="7">
        <f t="shared" si="34"/>
        <v>41762.356465302051</v>
      </c>
      <c r="O238" s="7">
        <f t="shared" si="35"/>
        <v>3339.990014977534</v>
      </c>
      <c r="P238" s="7">
        <f t="shared" si="36"/>
        <v>3429.8552171742385</v>
      </c>
      <c r="Q238" s="1">
        <f t="shared" si="37"/>
        <v>32601.09835247129</v>
      </c>
      <c r="R238" s="1">
        <f t="shared" si="38"/>
        <v>3359.960059910135</v>
      </c>
      <c r="S238" s="14">
        <f t="shared" si="41"/>
        <v>42730.903644533195</v>
      </c>
      <c r="T238" s="10">
        <f t="shared" si="42"/>
        <v>-2.3191870890615428E-2</v>
      </c>
      <c r="U238" s="14" t="str">
        <f t="shared" si="43"/>
        <v/>
      </c>
    </row>
    <row r="239" spans="1:21" s="1" customFormat="1" hidden="1" x14ac:dyDescent="0.25">
      <c r="A239" s="1" t="s">
        <v>401</v>
      </c>
      <c r="B239" s="1" t="s">
        <v>404</v>
      </c>
      <c r="C239" s="1" t="s">
        <v>409</v>
      </c>
      <c r="D239" s="6">
        <v>0.1179</v>
      </c>
      <c r="E239" s="1">
        <v>9.9900000000000003E-2</v>
      </c>
      <c r="F239" s="1">
        <v>174.02</v>
      </c>
      <c r="G239" s="1">
        <v>7.37</v>
      </c>
      <c r="H239" s="1">
        <v>7.39</v>
      </c>
      <c r="I239" s="1">
        <v>139.58000000000001</v>
      </c>
      <c r="J239" s="1">
        <v>7.38</v>
      </c>
      <c r="K239" s="9">
        <f t="shared" si="33"/>
        <v>161.72</v>
      </c>
      <c r="L239" s="20">
        <f t="shared" si="39"/>
        <v>0.92931846914147798</v>
      </c>
      <c r="M239" s="14" t="str">
        <f t="shared" si="40"/>
        <v/>
      </c>
      <c r="N239" s="7">
        <f t="shared" si="34"/>
        <v>79898.989898989908</v>
      </c>
      <c r="O239" s="7">
        <f t="shared" si="35"/>
        <v>3383.8383838383843</v>
      </c>
      <c r="P239" s="7">
        <f t="shared" si="36"/>
        <v>3393.0211202938472</v>
      </c>
      <c r="Q239" s="1">
        <f t="shared" si="37"/>
        <v>64086.317722681371</v>
      </c>
      <c r="R239" s="1">
        <f t="shared" si="38"/>
        <v>3388.4297520661157</v>
      </c>
      <c r="S239" s="14">
        <f t="shared" si="41"/>
        <v>74251.606978879718</v>
      </c>
      <c r="T239" s="10">
        <f t="shared" si="42"/>
        <v>7.0681530858521968E-2</v>
      </c>
      <c r="U239" s="14" t="str">
        <f t="shared" si="43"/>
        <v/>
      </c>
    </row>
    <row r="240" spans="1:21" s="1" customFormat="1" hidden="1" x14ac:dyDescent="0.25">
      <c r="A240" s="1" t="s">
        <v>401</v>
      </c>
      <c r="B240" s="1" t="s">
        <v>404</v>
      </c>
      <c r="C240" s="1" t="s">
        <v>410</v>
      </c>
      <c r="D240" s="6">
        <v>7.8600000000000003E-2</v>
      </c>
      <c r="E240" s="1">
        <v>3.1699999999999999E-2</v>
      </c>
      <c r="F240" s="1">
        <v>88.09</v>
      </c>
      <c r="G240" s="1">
        <v>4.53</v>
      </c>
      <c r="H240" s="1">
        <v>4.55</v>
      </c>
      <c r="I240" s="1">
        <v>75.349999999999994</v>
      </c>
      <c r="J240" s="1">
        <v>4.59</v>
      </c>
      <c r="K240" s="9">
        <f t="shared" si="33"/>
        <v>89.02</v>
      </c>
      <c r="L240" s="20">
        <f t="shared" si="39"/>
        <v>1.0105573844931319</v>
      </c>
      <c r="M240" s="14" t="str">
        <f t="shared" si="40"/>
        <v/>
      </c>
      <c r="N240" s="7">
        <f t="shared" si="34"/>
        <v>79864.007252946511</v>
      </c>
      <c r="O240" s="7">
        <f t="shared" si="35"/>
        <v>4106.9809610154125</v>
      </c>
      <c r="P240" s="7">
        <f t="shared" si="36"/>
        <v>4125.1133272892102</v>
      </c>
      <c r="Q240" s="1">
        <f t="shared" si="37"/>
        <v>68313.689936536714</v>
      </c>
      <c r="R240" s="1">
        <f t="shared" si="38"/>
        <v>4161.3780598368085</v>
      </c>
      <c r="S240" s="14">
        <f t="shared" si="41"/>
        <v>80707.162284678139</v>
      </c>
      <c r="T240" s="10">
        <f t="shared" si="42"/>
        <v>-1.055738449313187E-2</v>
      </c>
      <c r="U240" s="14" t="str">
        <f t="shared" si="43"/>
        <v/>
      </c>
    </row>
    <row r="241" spans="1:21" s="1" customFormat="1" hidden="1" x14ac:dyDescent="0.25">
      <c r="A241" s="1" t="s">
        <v>401</v>
      </c>
      <c r="B241" s="1" t="s">
        <v>404</v>
      </c>
      <c r="C241" s="1" t="s">
        <v>411</v>
      </c>
      <c r="D241" s="6">
        <v>8.9300000000000004E-2</v>
      </c>
      <c r="E241" s="1">
        <v>8.2799999999999999E-2</v>
      </c>
      <c r="F241" s="1">
        <v>428.19</v>
      </c>
      <c r="G241" s="1">
        <v>5.73</v>
      </c>
      <c r="H241" s="1">
        <v>5.72</v>
      </c>
      <c r="I241" s="1">
        <v>408.13</v>
      </c>
      <c r="J241" s="1">
        <v>5.73</v>
      </c>
      <c r="K241" s="9">
        <f t="shared" si="33"/>
        <v>425.31</v>
      </c>
      <c r="L241" s="20">
        <f t="shared" si="39"/>
        <v>0.99327401387234637</v>
      </c>
      <c r="M241" s="14" t="str">
        <f t="shared" si="40"/>
        <v/>
      </c>
      <c r="N241" s="7">
        <f t="shared" si="34"/>
        <v>248803.0214991284</v>
      </c>
      <c r="O241" s="7">
        <f t="shared" si="35"/>
        <v>3329.4596165020339</v>
      </c>
      <c r="P241" s="7">
        <f t="shared" si="36"/>
        <v>3323.6490412550843</v>
      </c>
      <c r="Q241" s="1">
        <f t="shared" si="37"/>
        <v>237147.00755374783</v>
      </c>
      <c r="R241" s="1">
        <f t="shared" si="38"/>
        <v>3329.4596165020339</v>
      </c>
      <c r="S241" s="14">
        <f t="shared" si="41"/>
        <v>247129.57582800696</v>
      </c>
      <c r="T241" s="10">
        <f t="shared" si="42"/>
        <v>6.7259861276536253E-3</v>
      </c>
      <c r="U241" s="14" t="str">
        <f t="shared" si="43"/>
        <v/>
      </c>
    </row>
    <row r="242" spans="1:21" s="1" customFormat="1" hidden="1" x14ac:dyDescent="0.25">
      <c r="A242" s="1" t="s">
        <v>401</v>
      </c>
      <c r="B242" s="1" t="s">
        <v>404</v>
      </c>
      <c r="C242" s="1" t="s">
        <v>412</v>
      </c>
      <c r="D242" s="6">
        <v>0.1028</v>
      </c>
      <c r="E242" s="1">
        <v>7.3200000000000001E-2</v>
      </c>
      <c r="F242" s="1">
        <v>80.94</v>
      </c>
      <c r="G242" s="1">
        <v>9.4</v>
      </c>
      <c r="H242" s="1">
        <v>9.4</v>
      </c>
      <c r="I242" s="1">
        <v>53.75</v>
      </c>
      <c r="J242" s="1">
        <v>9.3000000000000007</v>
      </c>
      <c r="K242" s="9">
        <f t="shared" si="33"/>
        <v>81.849999999999994</v>
      </c>
      <c r="L242" s="20">
        <f t="shared" si="39"/>
        <v>1.0112428959723252</v>
      </c>
      <c r="M242" s="14" t="str">
        <f t="shared" si="40"/>
        <v/>
      </c>
      <c r="N242" s="7">
        <f t="shared" si="34"/>
        <v>45988.63636363636</v>
      </c>
      <c r="O242" s="7">
        <f t="shared" si="35"/>
        <v>5340.909090909091</v>
      </c>
      <c r="P242" s="7">
        <f t="shared" si="36"/>
        <v>5340.909090909091</v>
      </c>
      <c r="Q242" s="1">
        <f t="shared" si="37"/>
        <v>30539.772727272732</v>
      </c>
      <c r="R242" s="1">
        <f t="shared" si="38"/>
        <v>5284.0909090909099</v>
      </c>
      <c r="S242" s="14">
        <f t="shared" si="41"/>
        <v>46505.681818181823</v>
      </c>
      <c r="T242" s="10">
        <f t="shared" si="42"/>
        <v>-1.1242895972325367E-2</v>
      </c>
      <c r="U242" s="14" t="str">
        <f t="shared" si="43"/>
        <v/>
      </c>
    </row>
    <row r="243" spans="1:21" s="1" customFormat="1" hidden="1" x14ac:dyDescent="0.25">
      <c r="A243" s="1" t="s">
        <v>401</v>
      </c>
      <c r="B243" s="1" t="s">
        <v>404</v>
      </c>
      <c r="C243" s="1" t="s">
        <v>413</v>
      </c>
      <c r="D243" s="6">
        <v>9.8599999999999993E-2</v>
      </c>
      <c r="E243" s="1">
        <v>6.6699999999999995E-2</v>
      </c>
      <c r="F243" s="1">
        <v>35.82</v>
      </c>
      <c r="G243" s="1">
        <v>5.52</v>
      </c>
      <c r="H243" s="1">
        <v>5.52</v>
      </c>
      <c r="I243" s="1">
        <v>18.920000000000002</v>
      </c>
      <c r="J243" s="1">
        <v>5.5</v>
      </c>
      <c r="K243" s="9">
        <f t="shared" si="33"/>
        <v>35.46</v>
      </c>
      <c r="L243" s="20">
        <f t="shared" si="39"/>
        <v>0.98994974874371866</v>
      </c>
      <c r="M243" s="14" t="str">
        <f t="shared" si="40"/>
        <v/>
      </c>
      <c r="N243" s="7">
        <f t="shared" si="34"/>
        <v>21669.691470054444</v>
      </c>
      <c r="O243" s="7">
        <f t="shared" si="35"/>
        <v>3339.3829401088929</v>
      </c>
      <c r="P243" s="7">
        <f t="shared" si="36"/>
        <v>3339.3829401088929</v>
      </c>
      <c r="Q243" s="1">
        <f t="shared" si="37"/>
        <v>11445.856019358744</v>
      </c>
      <c r="R243" s="1">
        <f t="shared" si="38"/>
        <v>3327.2837265577737</v>
      </c>
      <c r="S243" s="14">
        <f t="shared" si="41"/>
        <v>21451.905626134303</v>
      </c>
      <c r="T243" s="10">
        <f t="shared" si="42"/>
        <v>1.0050251256281211E-2</v>
      </c>
      <c r="U243" s="14" t="str">
        <f t="shared" si="43"/>
        <v/>
      </c>
    </row>
    <row r="244" spans="1:21" s="1" customFormat="1" hidden="1" x14ac:dyDescent="0.25">
      <c r="A244" s="1" t="s">
        <v>414</v>
      </c>
      <c r="B244" s="1" t="s">
        <v>311</v>
      </c>
      <c r="C244" s="1" t="s">
        <v>415</v>
      </c>
      <c r="D244" s="6">
        <v>0.122</v>
      </c>
      <c r="E244" s="1">
        <v>5.1700000000000003E-2</v>
      </c>
      <c r="F244" s="1">
        <v>27.8</v>
      </c>
      <c r="G244" s="1">
        <v>5.79</v>
      </c>
      <c r="H244" s="1">
        <v>5.83</v>
      </c>
      <c r="I244" s="1">
        <v>10.3</v>
      </c>
      <c r="J244" s="1">
        <v>5.64</v>
      </c>
      <c r="K244" s="9">
        <f t="shared" si="33"/>
        <v>27.560000000000002</v>
      </c>
      <c r="L244" s="20">
        <f t="shared" si="39"/>
        <v>0.99136690647482018</v>
      </c>
      <c r="M244" s="14" t="str">
        <f t="shared" si="40"/>
        <v/>
      </c>
      <c r="N244" s="7">
        <f t="shared" si="34"/>
        <v>16004.605641911343</v>
      </c>
      <c r="O244" s="7">
        <f t="shared" si="35"/>
        <v>3333.3333333333335</v>
      </c>
      <c r="P244" s="7">
        <f t="shared" si="36"/>
        <v>3356.3615428900407</v>
      </c>
      <c r="Q244" s="1">
        <f t="shared" si="37"/>
        <v>5929.763960852044</v>
      </c>
      <c r="R244" s="1">
        <f t="shared" si="38"/>
        <v>3246.9775474956818</v>
      </c>
      <c r="S244" s="14">
        <f t="shared" si="41"/>
        <v>15866.4363845711</v>
      </c>
      <c r="T244" s="10">
        <f t="shared" si="42"/>
        <v>8.633093525179953E-3</v>
      </c>
      <c r="U244" s="14" t="str">
        <f t="shared" si="43"/>
        <v/>
      </c>
    </row>
    <row r="245" spans="1:21" s="1" customFormat="1" hidden="1" x14ac:dyDescent="0.25">
      <c r="A245" s="1" t="s">
        <v>414</v>
      </c>
      <c r="B245" s="1" t="s">
        <v>311</v>
      </c>
      <c r="C245" s="1" t="s">
        <v>416</v>
      </c>
      <c r="D245" s="6">
        <v>0.17879999999999999</v>
      </c>
      <c r="E245" s="1">
        <v>3.2199999999999999E-2</v>
      </c>
      <c r="F245" s="1">
        <v>22.15</v>
      </c>
      <c r="G245" s="1">
        <v>7.09</v>
      </c>
      <c r="H245" s="1">
        <v>7.06</v>
      </c>
      <c r="I245" s="1">
        <v>0.96</v>
      </c>
      <c r="J245" s="1">
        <v>7.07</v>
      </c>
      <c r="K245" s="9">
        <f t="shared" si="33"/>
        <v>22.18</v>
      </c>
      <c r="L245" s="20">
        <f t="shared" si="39"/>
        <v>1.0013544018058691</v>
      </c>
      <c r="M245" s="14" t="str">
        <f t="shared" si="40"/>
        <v/>
      </c>
      <c r="N245" s="7">
        <f t="shared" si="34"/>
        <v>10497.630331753553</v>
      </c>
      <c r="O245" s="7">
        <f t="shared" si="35"/>
        <v>3360.1895734597156</v>
      </c>
      <c r="P245" s="7">
        <f t="shared" si="36"/>
        <v>3345.9715639810424</v>
      </c>
      <c r="Q245" s="1">
        <f t="shared" si="37"/>
        <v>454.97630331753555</v>
      </c>
      <c r="R245" s="1">
        <f t="shared" si="38"/>
        <v>3350.7109004739341</v>
      </c>
      <c r="S245" s="14">
        <f t="shared" si="41"/>
        <v>10511.848341232228</v>
      </c>
      <c r="T245" s="10">
        <f t="shared" si="42"/>
        <v>-1.3544018058692193E-3</v>
      </c>
      <c r="U245" s="14" t="str">
        <f t="shared" si="43"/>
        <v/>
      </c>
    </row>
    <row r="246" spans="1:21" s="1" customFormat="1" hidden="1" x14ac:dyDescent="0.25">
      <c r="A246" s="1" t="s">
        <v>414</v>
      </c>
      <c r="B246" s="1" t="s">
        <v>311</v>
      </c>
      <c r="C246" s="1" t="s">
        <v>417</v>
      </c>
      <c r="D246" s="6">
        <v>0.24329999999999999</v>
      </c>
      <c r="E246" s="1">
        <v>7.1099999999999997E-2</v>
      </c>
      <c r="F246" s="1">
        <v>87.37</v>
      </c>
      <c r="G246" s="1">
        <v>10.54</v>
      </c>
      <c r="H246" s="1">
        <v>10.53</v>
      </c>
      <c r="I246" s="1">
        <v>56.05</v>
      </c>
      <c r="J246" s="1">
        <v>10.53</v>
      </c>
      <c r="K246" s="9">
        <f t="shared" si="33"/>
        <v>87.65</v>
      </c>
      <c r="L246" s="20">
        <f t="shared" si="39"/>
        <v>1.0032047613597346</v>
      </c>
      <c r="M246" s="14" t="str">
        <f t="shared" si="40"/>
        <v/>
      </c>
      <c r="N246" s="7">
        <f t="shared" si="34"/>
        <v>27789.440203562339</v>
      </c>
      <c r="O246" s="7">
        <f t="shared" si="35"/>
        <v>3352.4173027989818</v>
      </c>
      <c r="P246" s="7">
        <f t="shared" si="36"/>
        <v>3349.2366412213732</v>
      </c>
      <c r="Q246" s="1">
        <f t="shared" si="37"/>
        <v>17827.608142493635</v>
      </c>
      <c r="R246" s="1">
        <f t="shared" si="38"/>
        <v>3349.2366412213732</v>
      </c>
      <c r="S246" s="14">
        <f t="shared" si="41"/>
        <v>27878.498727735365</v>
      </c>
      <c r="T246" s="10">
        <f t="shared" si="42"/>
        <v>-3.2047613597343894E-3</v>
      </c>
      <c r="U246" s="14" t="str">
        <f t="shared" si="43"/>
        <v/>
      </c>
    </row>
    <row r="247" spans="1:21" s="1" customFormat="1" hidden="1" x14ac:dyDescent="0.25">
      <c r="A247" s="1" t="s">
        <v>414</v>
      </c>
      <c r="B247" s="1" t="s">
        <v>311</v>
      </c>
      <c r="C247" s="1" t="s">
        <v>418</v>
      </c>
      <c r="D247" s="6">
        <v>0.15310000000000001</v>
      </c>
      <c r="E247" s="1">
        <v>2.1700000000000001E-2</v>
      </c>
      <c r="F247" s="1">
        <v>81.489999999999995</v>
      </c>
      <c r="G247" s="1">
        <v>5.87</v>
      </c>
      <c r="H247" s="1">
        <v>5.84</v>
      </c>
      <c r="I247" s="1">
        <v>63.17</v>
      </c>
      <c r="J247" s="1">
        <v>5.9</v>
      </c>
      <c r="K247" s="9">
        <f t="shared" si="33"/>
        <v>80.78</v>
      </c>
      <c r="L247" s="20">
        <f t="shared" si="39"/>
        <v>0.99128727451221021</v>
      </c>
      <c r="M247" s="14" t="str">
        <f t="shared" si="40"/>
        <v/>
      </c>
      <c r="N247" s="7">
        <f t="shared" si="34"/>
        <v>46618.993135011435</v>
      </c>
      <c r="O247" s="7">
        <f t="shared" si="35"/>
        <v>3358.1235697940501</v>
      </c>
      <c r="P247" s="7">
        <f t="shared" si="36"/>
        <v>3340.9610983981693</v>
      </c>
      <c r="Q247" s="1">
        <f t="shared" si="37"/>
        <v>36138.443935926771</v>
      </c>
      <c r="R247" s="1">
        <f t="shared" si="38"/>
        <v>3375.2860411899314</v>
      </c>
      <c r="S247" s="14">
        <f t="shared" si="41"/>
        <v>46212.814645308921</v>
      </c>
      <c r="T247" s="10">
        <f t="shared" si="42"/>
        <v>8.7127254877898373E-3</v>
      </c>
      <c r="U247" s="14" t="str">
        <f t="shared" si="43"/>
        <v/>
      </c>
    </row>
    <row r="248" spans="1:21" s="1" customFormat="1" hidden="1" x14ac:dyDescent="0.25">
      <c r="A248" s="1" t="s">
        <v>414</v>
      </c>
      <c r="B248" s="1" t="s">
        <v>311</v>
      </c>
      <c r="C248" s="1" t="s">
        <v>419</v>
      </c>
      <c r="D248" s="6">
        <v>0.2291</v>
      </c>
      <c r="E248" s="1">
        <v>6.2799999999999995E-2</v>
      </c>
      <c r="F248" s="1">
        <v>16.8</v>
      </c>
      <c r="G248" s="1">
        <v>8.43</v>
      </c>
      <c r="H248" s="1">
        <v>8.39</v>
      </c>
      <c r="I248" s="1">
        <v>0</v>
      </c>
      <c r="J248" s="1">
        <v>0</v>
      </c>
      <c r="K248" s="9">
        <f t="shared" si="33"/>
        <v>16.82</v>
      </c>
      <c r="L248" s="20">
        <f t="shared" si="39"/>
        <v>1.0011904761904762</v>
      </c>
      <c r="M248" s="14" t="str">
        <f t="shared" si="40"/>
        <v/>
      </c>
      <c r="N248" s="7">
        <f t="shared" si="34"/>
        <v>5755.3956834532382</v>
      </c>
      <c r="O248" s="7">
        <f t="shared" si="35"/>
        <v>2887.9753340184993</v>
      </c>
      <c r="P248" s="7">
        <f t="shared" si="36"/>
        <v>2874.2720109626584</v>
      </c>
      <c r="Q248" s="1">
        <f t="shared" si="37"/>
        <v>0</v>
      </c>
      <c r="R248" s="1">
        <f t="shared" si="38"/>
        <v>0</v>
      </c>
      <c r="S248" s="14">
        <f t="shared" si="41"/>
        <v>5762.2473449811578</v>
      </c>
      <c r="T248" s="10">
        <f t="shared" si="42"/>
        <v>-1.1904761904760186E-3</v>
      </c>
      <c r="U248" s="14" t="str">
        <f t="shared" si="43"/>
        <v/>
      </c>
    </row>
    <row r="249" spans="1:21" s="1" customFormat="1" hidden="1" x14ac:dyDescent="0.25">
      <c r="A249" s="1" t="s">
        <v>414</v>
      </c>
      <c r="B249" s="1" t="s">
        <v>311</v>
      </c>
      <c r="C249" s="1" t="s">
        <v>420</v>
      </c>
      <c r="D249" s="6">
        <v>0.2208</v>
      </c>
      <c r="E249" s="1">
        <v>3.9800000000000002E-2</v>
      </c>
      <c r="F249" s="1">
        <v>10.15</v>
      </c>
      <c r="G249" s="1">
        <v>5.0599999999999996</v>
      </c>
      <c r="H249" s="1">
        <v>4.99</v>
      </c>
      <c r="I249" s="1">
        <v>0</v>
      </c>
      <c r="J249" s="1">
        <v>0</v>
      </c>
      <c r="K249" s="9">
        <f t="shared" si="33"/>
        <v>10.050000000000001</v>
      </c>
      <c r="L249" s="20">
        <f t="shared" si="39"/>
        <v>0.99014778325123154</v>
      </c>
      <c r="M249" s="14" t="str">
        <f t="shared" si="40"/>
        <v/>
      </c>
      <c r="N249" s="7">
        <f t="shared" si="34"/>
        <v>3894.8580199539529</v>
      </c>
      <c r="O249" s="7">
        <f t="shared" si="35"/>
        <v>1941.6730621642362</v>
      </c>
      <c r="P249" s="7">
        <f t="shared" si="36"/>
        <v>1914.8119723714506</v>
      </c>
      <c r="Q249" s="1">
        <f t="shared" si="37"/>
        <v>0</v>
      </c>
      <c r="R249" s="1">
        <f t="shared" si="38"/>
        <v>0</v>
      </c>
      <c r="S249" s="14">
        <f t="shared" si="41"/>
        <v>3856.4850345356867</v>
      </c>
      <c r="T249" s="10">
        <f t="shared" si="42"/>
        <v>9.8522167487686222E-3</v>
      </c>
      <c r="U249" s="14" t="str">
        <f t="shared" si="43"/>
        <v/>
      </c>
    </row>
    <row r="250" spans="1:21" s="1" customFormat="1" hidden="1" x14ac:dyDescent="0.25">
      <c r="A250" s="1" t="s">
        <v>414</v>
      </c>
      <c r="B250" s="1" t="s">
        <v>421</v>
      </c>
      <c r="C250" s="1" t="s">
        <v>422</v>
      </c>
      <c r="D250" s="6">
        <v>8.1600000000000006E-3</v>
      </c>
      <c r="E250" s="1">
        <v>4.4699999999999997E-2</v>
      </c>
      <c r="F250" s="1">
        <v>333.74</v>
      </c>
      <c r="G250" s="1">
        <v>7</v>
      </c>
      <c r="H250" s="1">
        <v>7.11</v>
      </c>
      <c r="I250" s="1">
        <v>294.64999999999998</v>
      </c>
      <c r="J250" s="1">
        <v>7.09</v>
      </c>
      <c r="K250" s="9">
        <f t="shared" si="33"/>
        <v>315.84999999999997</v>
      </c>
      <c r="L250" s="20">
        <f t="shared" si="39"/>
        <v>0.94639539761490965</v>
      </c>
      <c r="M250" s="14" t="str">
        <f t="shared" si="40"/>
        <v/>
      </c>
      <c r="N250" s="7">
        <f t="shared" si="34"/>
        <v>631365.87211502087</v>
      </c>
      <c r="O250" s="7">
        <f t="shared" si="35"/>
        <v>13242.527430949678</v>
      </c>
      <c r="P250" s="7">
        <f t="shared" si="36"/>
        <v>13450.624290578889</v>
      </c>
      <c r="Q250" s="1">
        <f t="shared" si="37"/>
        <v>557415.8153613318</v>
      </c>
      <c r="R250" s="1">
        <f t="shared" si="38"/>
        <v>13412.788497919033</v>
      </c>
      <c r="S250" s="14">
        <f t="shared" si="41"/>
        <v>597521.7555807794</v>
      </c>
      <c r="T250" s="10">
        <f t="shared" si="42"/>
        <v>5.3604602385090315E-2</v>
      </c>
      <c r="U250" s="14" t="str">
        <f t="shared" si="43"/>
        <v/>
      </c>
    </row>
    <row r="251" spans="1:21" s="1" customFormat="1" hidden="1" x14ac:dyDescent="0.25">
      <c r="A251" s="1" t="s">
        <v>423</v>
      </c>
      <c r="B251" s="1" t="s">
        <v>424</v>
      </c>
      <c r="C251" s="1" t="s">
        <v>425</v>
      </c>
      <c r="D251" s="6">
        <v>0.01</v>
      </c>
      <c r="E251" s="1">
        <v>7.5499999999999998E-2</v>
      </c>
      <c r="F251" s="1">
        <v>19.88</v>
      </c>
      <c r="G251" s="1">
        <v>2.84</v>
      </c>
      <c r="H251" s="1">
        <v>2.88</v>
      </c>
      <c r="I251" s="1">
        <v>10.029999999999999</v>
      </c>
      <c r="J251" s="1">
        <v>2.9</v>
      </c>
      <c r="K251" s="9">
        <f t="shared" si="33"/>
        <v>18.649999999999999</v>
      </c>
      <c r="L251" s="20">
        <f t="shared" si="39"/>
        <v>0.93812877263581484</v>
      </c>
      <c r="M251" s="14" t="str">
        <f t="shared" si="40"/>
        <v/>
      </c>
      <c r="N251" s="7">
        <f t="shared" si="34"/>
        <v>23251.461988304094</v>
      </c>
      <c r="O251" s="7">
        <f t="shared" si="35"/>
        <v>3321.6374269005846</v>
      </c>
      <c r="P251" s="7">
        <f t="shared" si="36"/>
        <v>3368.4210526315787</v>
      </c>
      <c r="Q251" s="1">
        <f t="shared" si="37"/>
        <v>11730.994152046784</v>
      </c>
      <c r="R251" s="1">
        <f t="shared" si="38"/>
        <v>3391.8128654970765</v>
      </c>
      <c r="S251" s="14">
        <f t="shared" si="41"/>
        <v>21812.865497076022</v>
      </c>
      <c r="T251" s="10">
        <f t="shared" si="42"/>
        <v>6.1871227364185204E-2</v>
      </c>
      <c r="U251" s="14" t="str">
        <f t="shared" si="43"/>
        <v/>
      </c>
    </row>
    <row r="252" spans="1:21" s="1" customFormat="1" hidden="1" x14ac:dyDescent="0.25">
      <c r="A252" s="1" t="s">
        <v>423</v>
      </c>
      <c r="B252" s="1" t="s">
        <v>424</v>
      </c>
      <c r="C252" s="1" t="s">
        <v>426</v>
      </c>
      <c r="D252" s="6">
        <v>1.6E-2</v>
      </c>
      <c r="E252" s="1">
        <v>6.9099999999999995E-2</v>
      </c>
      <c r="F252" s="1">
        <v>44.03</v>
      </c>
      <c r="G252" s="1">
        <v>3.53</v>
      </c>
      <c r="H252" s="1">
        <v>3.61</v>
      </c>
      <c r="I252" s="1">
        <v>29.71</v>
      </c>
      <c r="J252" s="1">
        <v>3.58</v>
      </c>
      <c r="K252" s="9">
        <f t="shared" si="33"/>
        <v>40.43</v>
      </c>
      <c r="L252" s="20">
        <f t="shared" si="39"/>
        <v>0.91823756529638878</v>
      </c>
      <c r="M252" s="14" t="str">
        <f t="shared" si="40"/>
        <v/>
      </c>
      <c r="N252" s="7">
        <f t="shared" si="34"/>
        <v>51739.130434782615</v>
      </c>
      <c r="O252" s="7">
        <f t="shared" si="35"/>
        <v>4148.0611045828437</v>
      </c>
      <c r="P252" s="7">
        <f t="shared" si="36"/>
        <v>4242.0681551116331</v>
      </c>
      <c r="Q252" s="1">
        <f t="shared" si="37"/>
        <v>34911.868390129261</v>
      </c>
      <c r="R252" s="1">
        <f t="shared" si="38"/>
        <v>4206.8155111633378</v>
      </c>
      <c r="S252" s="14">
        <f t="shared" si="41"/>
        <v>47508.813160987076</v>
      </c>
      <c r="T252" s="10">
        <f t="shared" si="42"/>
        <v>8.1762434703611248E-2</v>
      </c>
      <c r="U252" s="14" t="str">
        <f t="shared" si="43"/>
        <v/>
      </c>
    </row>
    <row r="253" spans="1:21" s="1" customFormat="1" hidden="1" x14ac:dyDescent="0.25">
      <c r="A253" s="1" t="s">
        <v>423</v>
      </c>
      <c r="B253" s="1" t="s">
        <v>427</v>
      </c>
      <c r="C253" s="1" t="s">
        <v>428</v>
      </c>
      <c r="D253" s="6">
        <v>2.07E-2</v>
      </c>
      <c r="E253" s="1">
        <v>7.0300000000000001E-2</v>
      </c>
      <c r="F253" s="1">
        <v>168.31</v>
      </c>
      <c r="G253" s="1">
        <v>6.12</v>
      </c>
      <c r="H253" s="1">
        <v>6.2</v>
      </c>
      <c r="I253" s="1">
        <v>148.61000000000001</v>
      </c>
      <c r="J253" s="1">
        <v>6.18</v>
      </c>
      <c r="K253" s="9">
        <f t="shared" si="33"/>
        <v>167.11</v>
      </c>
      <c r="L253" s="20">
        <f t="shared" si="39"/>
        <v>0.99287029885330647</v>
      </c>
      <c r="M253" s="14" t="str">
        <f t="shared" si="40"/>
        <v/>
      </c>
      <c r="N253" s="7">
        <f t="shared" si="34"/>
        <v>184956.04395604396</v>
      </c>
      <c r="O253" s="7">
        <f t="shared" si="35"/>
        <v>6725.2747252747258</v>
      </c>
      <c r="P253" s="7">
        <f t="shared" si="36"/>
        <v>6813.1868131868132</v>
      </c>
      <c r="Q253" s="1">
        <f t="shared" si="37"/>
        <v>163307.69230769234</v>
      </c>
      <c r="R253" s="1">
        <f t="shared" si="38"/>
        <v>6791.2087912087909</v>
      </c>
      <c r="S253" s="14">
        <f t="shared" si="41"/>
        <v>183637.36263736268</v>
      </c>
      <c r="T253" s="10">
        <f t="shared" si="42"/>
        <v>7.1297011466933905E-3</v>
      </c>
      <c r="U253" s="14" t="str">
        <f t="shared" si="43"/>
        <v/>
      </c>
    </row>
    <row r="254" spans="1:21" s="1" customFormat="1" hidden="1" x14ac:dyDescent="0.25">
      <c r="A254" s="1" t="s">
        <v>423</v>
      </c>
      <c r="B254" s="1" t="s">
        <v>427</v>
      </c>
      <c r="C254" s="1" t="s">
        <v>429</v>
      </c>
      <c r="D254" s="6">
        <v>2.07E-2</v>
      </c>
      <c r="E254" s="1">
        <v>2.1100000000000001E-2</v>
      </c>
      <c r="F254" s="1">
        <v>166.81</v>
      </c>
      <c r="G254" s="1">
        <v>12.94</v>
      </c>
      <c r="H254" s="1">
        <v>12.93</v>
      </c>
      <c r="I254" s="1">
        <v>129.47999999999999</v>
      </c>
      <c r="J254" s="1">
        <v>12.91</v>
      </c>
      <c r="K254" s="9">
        <f t="shared" si="33"/>
        <v>168.26</v>
      </c>
      <c r="L254" s="20">
        <f t="shared" si="39"/>
        <v>1.008692524428991</v>
      </c>
      <c r="M254" s="14" t="str">
        <f t="shared" si="40"/>
        <v/>
      </c>
      <c r="N254" s="7">
        <f t="shared" si="34"/>
        <v>399066.98564593296</v>
      </c>
      <c r="O254" s="7">
        <f t="shared" si="35"/>
        <v>30956.937799043062</v>
      </c>
      <c r="P254" s="7">
        <f t="shared" si="36"/>
        <v>30933.014354066985</v>
      </c>
      <c r="Q254" s="1">
        <f t="shared" si="37"/>
        <v>309760.76555023919</v>
      </c>
      <c r="R254" s="1">
        <f t="shared" si="38"/>
        <v>30885.167464114827</v>
      </c>
      <c r="S254" s="14">
        <f t="shared" si="41"/>
        <v>402535.88516746409</v>
      </c>
      <c r="T254" s="10">
        <f t="shared" si="42"/>
        <v>-8.6925244289911413E-3</v>
      </c>
      <c r="U254" s="14" t="str">
        <f t="shared" si="43"/>
        <v/>
      </c>
    </row>
    <row r="255" spans="1:21" s="1" customFormat="1" hidden="1" x14ac:dyDescent="0.25">
      <c r="A255" s="1" t="s">
        <v>423</v>
      </c>
      <c r="B255" s="1" t="s">
        <v>427</v>
      </c>
      <c r="C255" s="1" t="s">
        <v>430</v>
      </c>
      <c r="D255" s="6">
        <v>1.4800000000000001E-2</v>
      </c>
      <c r="E255" s="1">
        <v>4.1399999999999999E-2</v>
      </c>
      <c r="F255" s="1">
        <v>515.63</v>
      </c>
      <c r="G255" s="1">
        <v>19.48</v>
      </c>
      <c r="H255" s="1">
        <v>19.52</v>
      </c>
      <c r="I255" s="1">
        <v>455.7</v>
      </c>
      <c r="J255" s="1">
        <v>19.52</v>
      </c>
      <c r="K255" s="9">
        <f t="shared" si="33"/>
        <v>514.22</v>
      </c>
      <c r="L255" s="20">
        <f t="shared" si="39"/>
        <v>0.99726548106200186</v>
      </c>
      <c r="M255" s="14" t="str">
        <f t="shared" si="40"/>
        <v/>
      </c>
      <c r="N255" s="7">
        <f t="shared" si="34"/>
        <v>917491.10320284695</v>
      </c>
      <c r="O255" s="7">
        <f t="shared" si="35"/>
        <v>34661.921708185051</v>
      </c>
      <c r="P255" s="7">
        <f t="shared" si="36"/>
        <v>34733.096085409248</v>
      </c>
      <c r="Q255" s="1">
        <f t="shared" si="37"/>
        <v>810854.09252669034</v>
      </c>
      <c r="R255" s="1">
        <f t="shared" si="38"/>
        <v>34733.096085409248</v>
      </c>
      <c r="S255" s="14">
        <f t="shared" si="41"/>
        <v>914982.2064056939</v>
      </c>
      <c r="T255" s="10">
        <f t="shared" si="42"/>
        <v>2.7345189379982056E-3</v>
      </c>
      <c r="U255" s="14" t="str">
        <f t="shared" si="43"/>
        <v/>
      </c>
    </row>
    <row r="256" spans="1:21" s="1" customFormat="1" hidden="1" x14ac:dyDescent="0.25">
      <c r="A256" s="1" t="s">
        <v>423</v>
      </c>
      <c r="B256" s="1" t="s">
        <v>427</v>
      </c>
      <c r="C256" s="1" t="s">
        <v>431</v>
      </c>
      <c r="D256" s="6">
        <v>1.4500000000000001E-2</v>
      </c>
      <c r="E256" s="1">
        <v>3.7600000000000001E-2</v>
      </c>
      <c r="F256" s="1">
        <v>243.71</v>
      </c>
      <c r="G256" s="1">
        <v>9.49</v>
      </c>
      <c r="H256" s="1">
        <v>9.51</v>
      </c>
      <c r="I256" s="1">
        <v>215.69</v>
      </c>
      <c r="J256" s="1">
        <v>9.4499999999999993</v>
      </c>
      <c r="K256" s="9">
        <f t="shared" si="33"/>
        <v>244.14</v>
      </c>
      <c r="L256" s="20">
        <f t="shared" ref="L256:L319" si="44">K256/F256</f>
        <v>1.0017643921053712</v>
      </c>
      <c r="M256" s="14" t="str">
        <f t="shared" ref="M256:M319" si="45">IF(ABS(L256-1)&gt;0.1,1,"")</f>
        <v/>
      </c>
      <c r="N256" s="7">
        <f t="shared" si="34"/>
        <v>467773.51247600775</v>
      </c>
      <c r="O256" s="7">
        <f t="shared" si="35"/>
        <v>18214.971209213054</v>
      </c>
      <c r="P256" s="7">
        <f t="shared" si="36"/>
        <v>18253.358925143955</v>
      </c>
      <c r="Q256" s="1">
        <f t="shared" si="37"/>
        <v>413992.32245681377</v>
      </c>
      <c r="R256" s="1">
        <f t="shared" si="38"/>
        <v>18138.195777351244</v>
      </c>
      <c r="S256" s="14">
        <f t="shared" ref="S256:S319" si="46">SUM(O256:R256)</f>
        <v>468598.84836852201</v>
      </c>
      <c r="T256" s="10">
        <f t="shared" ref="T256:T319" si="47">(N256-S256)/N256</f>
        <v>-1.7643921053708642E-3</v>
      </c>
      <c r="U256" s="14" t="str">
        <f t="shared" ref="U256:U319" si="48">IF(T256&gt;0.1,1,IF(T256&lt;-0.1,-1,""))</f>
        <v/>
      </c>
    </row>
    <row r="257" spans="1:21" s="1" customFormat="1" hidden="1" x14ac:dyDescent="0.25">
      <c r="A257" s="1" t="s">
        <v>423</v>
      </c>
      <c r="B257" s="1" t="s">
        <v>427</v>
      </c>
      <c r="C257" s="1" t="s">
        <v>432</v>
      </c>
      <c r="D257" s="6">
        <v>1.66E-2</v>
      </c>
      <c r="E257" s="1">
        <v>5.6800000000000003E-2</v>
      </c>
      <c r="F257" s="1">
        <v>72.760000000000005</v>
      </c>
      <c r="G257" s="1">
        <v>2.5</v>
      </c>
      <c r="H257" s="1">
        <v>2.5299999999999998</v>
      </c>
      <c r="I257" s="1">
        <v>65.959999999999994</v>
      </c>
      <c r="J257" s="1">
        <v>2.4900000000000002</v>
      </c>
      <c r="K257" s="9">
        <f t="shared" si="33"/>
        <v>73.47999999999999</v>
      </c>
      <c r="L257" s="20">
        <f t="shared" si="44"/>
        <v>1.009895547003848</v>
      </c>
      <c r="M257" s="14" t="str">
        <f t="shared" si="45"/>
        <v/>
      </c>
      <c r="N257" s="7">
        <f t="shared" si="34"/>
        <v>99128.065395095371</v>
      </c>
      <c r="O257" s="7">
        <f t="shared" si="35"/>
        <v>3405.9945504087191</v>
      </c>
      <c r="P257" s="7">
        <f t="shared" si="36"/>
        <v>3446.8664850136238</v>
      </c>
      <c r="Q257" s="1">
        <f t="shared" si="37"/>
        <v>89863.760217983639</v>
      </c>
      <c r="R257" s="1">
        <f t="shared" si="38"/>
        <v>3392.370572207084</v>
      </c>
      <c r="S257" s="14">
        <f t="shared" si="46"/>
        <v>100108.99182561308</v>
      </c>
      <c r="T257" s="10">
        <f t="shared" si="47"/>
        <v>-9.8955470038482127E-3</v>
      </c>
      <c r="U257" s="14" t="str">
        <f t="shared" si="48"/>
        <v/>
      </c>
    </row>
    <row r="258" spans="1:21" s="1" customFormat="1" hidden="1" x14ac:dyDescent="0.25">
      <c r="A258" s="1" t="s">
        <v>433</v>
      </c>
      <c r="B258" s="1" t="s">
        <v>434</v>
      </c>
      <c r="C258" s="1" t="s">
        <v>435</v>
      </c>
      <c r="D258" s="6">
        <v>3.6551</v>
      </c>
      <c r="E258" s="1">
        <v>7.9299999999999995E-2</v>
      </c>
      <c r="F258" s="1">
        <v>190.06</v>
      </c>
      <c r="G258" s="1">
        <v>91.59</v>
      </c>
      <c r="H258" s="1">
        <v>91.52</v>
      </c>
      <c r="I258" s="1">
        <v>0</v>
      </c>
      <c r="J258" s="1">
        <v>0</v>
      </c>
      <c r="K258" s="9">
        <f t="shared" ref="K258:K321" si="49">SUM(G258:J258)</f>
        <v>183.11</v>
      </c>
      <c r="L258" s="20">
        <f t="shared" si="44"/>
        <v>0.9634326002315059</v>
      </c>
      <c r="M258" s="14" t="str">
        <f t="shared" si="45"/>
        <v/>
      </c>
      <c r="N258" s="7">
        <f t="shared" ref="N258:N321" si="50">(F258/(D258+E258))*100</f>
        <v>5089.4387317909168</v>
      </c>
      <c r="O258" s="7">
        <f t="shared" ref="O258:O321" si="51">(G258/(D258+E258))*100</f>
        <v>2452.6028277634964</v>
      </c>
      <c r="P258" s="7">
        <f t="shared" ref="P258:P321" si="52">(H258/(D258+E258))*100</f>
        <v>2450.7283633247644</v>
      </c>
      <c r="Q258" s="1">
        <f t="shared" ref="Q258:Q321" si="53">(I258/(D258+E258))*100</f>
        <v>0</v>
      </c>
      <c r="R258" s="1">
        <f t="shared" ref="R258:R321" si="54">(J258/(D258+E258))*100</f>
        <v>0</v>
      </c>
      <c r="S258" s="14">
        <f t="shared" si="46"/>
        <v>4903.3311910882603</v>
      </c>
      <c r="T258" s="10">
        <f t="shared" si="47"/>
        <v>3.6567399768494178E-2</v>
      </c>
      <c r="U258" s="14" t="str">
        <f t="shared" si="48"/>
        <v/>
      </c>
    </row>
    <row r="259" spans="1:21" s="1" customFormat="1" hidden="1" x14ac:dyDescent="0.25">
      <c r="A259" s="1" t="s">
        <v>433</v>
      </c>
      <c r="B259" s="1" t="s">
        <v>436</v>
      </c>
      <c r="C259" s="1" t="s">
        <v>437</v>
      </c>
      <c r="D259" s="6">
        <v>4.7073999999999998</v>
      </c>
      <c r="E259" s="1">
        <v>2.07E-2</v>
      </c>
      <c r="F259" s="1">
        <v>126.14</v>
      </c>
      <c r="G259" s="1">
        <v>65.38</v>
      </c>
      <c r="H259" s="1">
        <v>61.81</v>
      </c>
      <c r="I259" s="1">
        <v>0</v>
      </c>
      <c r="J259" s="1">
        <v>0</v>
      </c>
      <c r="K259" s="9">
        <f t="shared" si="49"/>
        <v>127.19</v>
      </c>
      <c r="L259" s="20">
        <f t="shared" si="44"/>
        <v>1.0083240843507213</v>
      </c>
      <c r="M259" s="14" t="str">
        <f t="shared" si="45"/>
        <v/>
      </c>
      <c r="N259" s="7">
        <f t="shared" si="50"/>
        <v>2667.8792749730337</v>
      </c>
      <c r="O259" s="7">
        <f t="shared" si="51"/>
        <v>1382.7964721558344</v>
      </c>
      <c r="P259" s="7">
        <f t="shared" si="52"/>
        <v>1307.2904549396164</v>
      </c>
      <c r="Q259" s="1">
        <f t="shared" si="53"/>
        <v>0</v>
      </c>
      <c r="R259" s="1">
        <f t="shared" si="54"/>
        <v>0</v>
      </c>
      <c r="S259" s="14">
        <f t="shared" si="46"/>
        <v>2690.0869270954508</v>
      </c>
      <c r="T259" s="10">
        <f t="shared" si="47"/>
        <v>-8.3240843507214543E-3</v>
      </c>
      <c r="U259" s="14" t="str">
        <f t="shared" si="48"/>
        <v/>
      </c>
    </row>
    <row r="260" spans="1:21" s="1" customFormat="1" hidden="1" x14ac:dyDescent="0.25">
      <c r="A260" s="1" t="s">
        <v>433</v>
      </c>
      <c r="B260" s="1" t="s">
        <v>438</v>
      </c>
      <c r="C260" s="1" t="s">
        <v>439</v>
      </c>
      <c r="D260" s="6">
        <v>3.7339000000000002</v>
      </c>
      <c r="E260" s="1">
        <v>3.0200000000000001E-2</v>
      </c>
      <c r="F260" s="1">
        <v>103.53</v>
      </c>
      <c r="G260" s="1">
        <v>51.03</v>
      </c>
      <c r="H260" s="1">
        <v>53.63</v>
      </c>
      <c r="I260" s="1">
        <v>0</v>
      </c>
      <c r="J260" s="1">
        <v>0</v>
      </c>
      <c r="K260" s="9">
        <f t="shared" si="49"/>
        <v>104.66</v>
      </c>
      <c r="L260" s="20">
        <f t="shared" si="44"/>
        <v>1.010914710711871</v>
      </c>
      <c r="M260" s="14" t="str">
        <f t="shared" si="45"/>
        <v/>
      </c>
      <c r="N260" s="7">
        <f t="shared" si="50"/>
        <v>2750.4582768789351</v>
      </c>
      <c r="O260" s="7">
        <f t="shared" si="51"/>
        <v>1355.7025583804893</v>
      </c>
      <c r="P260" s="7">
        <f t="shared" si="52"/>
        <v>1424.7761749156507</v>
      </c>
      <c r="Q260" s="1">
        <f t="shared" si="53"/>
        <v>0</v>
      </c>
      <c r="R260" s="1">
        <f t="shared" si="54"/>
        <v>0</v>
      </c>
      <c r="S260" s="14">
        <f t="shared" si="46"/>
        <v>2780.47873329614</v>
      </c>
      <c r="T260" s="10">
        <f t="shared" si="47"/>
        <v>-1.0914710711871074E-2</v>
      </c>
      <c r="U260" s="14" t="str">
        <f t="shared" si="48"/>
        <v/>
      </c>
    </row>
    <row r="261" spans="1:21" s="1" customFormat="1" hidden="1" x14ac:dyDescent="0.25">
      <c r="A261" s="1" t="s">
        <v>433</v>
      </c>
      <c r="B261" s="1" t="s">
        <v>438</v>
      </c>
      <c r="C261" s="1" t="s">
        <v>440</v>
      </c>
      <c r="D261" s="6">
        <v>2.7492000000000001</v>
      </c>
      <c r="E261" s="1">
        <v>2.1459999999999999</v>
      </c>
      <c r="F261" s="1">
        <v>214.26</v>
      </c>
      <c r="G261" s="1">
        <v>102.7</v>
      </c>
      <c r="H261" s="1">
        <v>102.69</v>
      </c>
      <c r="I261" s="1">
        <v>0</v>
      </c>
      <c r="J261" s="1">
        <v>0</v>
      </c>
      <c r="K261" s="9">
        <f t="shared" si="49"/>
        <v>205.39</v>
      </c>
      <c r="L261" s="20">
        <f t="shared" si="44"/>
        <v>0.95860169887053115</v>
      </c>
      <c r="M261" s="14" t="str">
        <f t="shared" si="45"/>
        <v/>
      </c>
      <c r="N261" s="7">
        <f t="shared" si="50"/>
        <v>4376.94067658114</v>
      </c>
      <c r="O261" s="7">
        <f t="shared" si="51"/>
        <v>2097.9735250857984</v>
      </c>
      <c r="P261" s="7">
        <f t="shared" si="52"/>
        <v>2097.769243340415</v>
      </c>
      <c r="Q261" s="1">
        <f t="shared" si="53"/>
        <v>0</v>
      </c>
      <c r="R261" s="1">
        <f t="shared" si="54"/>
        <v>0</v>
      </c>
      <c r="S261" s="14">
        <f t="shared" si="46"/>
        <v>4195.7427684262129</v>
      </c>
      <c r="T261" s="10">
        <f t="shared" si="47"/>
        <v>4.139830112946883E-2</v>
      </c>
      <c r="U261" s="14" t="str">
        <f t="shared" si="48"/>
        <v/>
      </c>
    </row>
    <row r="262" spans="1:21" s="1" customFormat="1" hidden="1" x14ac:dyDescent="0.25">
      <c r="A262" s="1" t="s">
        <v>441</v>
      </c>
      <c r="B262" s="1" t="s">
        <v>442</v>
      </c>
      <c r="C262" s="1" t="s">
        <v>443</v>
      </c>
      <c r="D262" s="6">
        <v>1.61E-2</v>
      </c>
      <c r="E262" s="1">
        <v>6.1100000000000002E-2</v>
      </c>
      <c r="F262" s="1">
        <v>38.270000000000003</v>
      </c>
      <c r="G262" s="1">
        <v>2.59</v>
      </c>
      <c r="H262" s="1">
        <v>2.56</v>
      </c>
      <c r="I262" s="1">
        <v>31.51</v>
      </c>
      <c r="J262" s="1">
        <v>2.58</v>
      </c>
      <c r="K262" s="9">
        <f t="shared" si="49"/>
        <v>39.24</v>
      </c>
      <c r="L262" s="20">
        <f t="shared" si="44"/>
        <v>1.0253462241964986</v>
      </c>
      <c r="M262" s="14" t="str">
        <f t="shared" si="45"/>
        <v/>
      </c>
      <c r="N262" s="7">
        <f t="shared" si="50"/>
        <v>49572.538860103632</v>
      </c>
      <c r="O262" s="7">
        <f t="shared" si="51"/>
        <v>3354.9222797927455</v>
      </c>
      <c r="P262" s="7">
        <f t="shared" si="52"/>
        <v>3316.0621761658026</v>
      </c>
      <c r="Q262" s="1">
        <f t="shared" si="53"/>
        <v>40816.062176165804</v>
      </c>
      <c r="R262" s="1">
        <f t="shared" si="54"/>
        <v>3341.968911917098</v>
      </c>
      <c r="S262" s="14">
        <f t="shared" si="46"/>
        <v>50829.015544041453</v>
      </c>
      <c r="T262" s="10">
        <f t="shared" si="47"/>
        <v>-2.5346224196498499E-2</v>
      </c>
      <c r="U262" s="14" t="str">
        <f t="shared" si="48"/>
        <v/>
      </c>
    </row>
    <row r="263" spans="1:21" s="1" customFormat="1" hidden="1" x14ac:dyDescent="0.25">
      <c r="A263" s="1" t="s">
        <v>441</v>
      </c>
      <c r="B263" s="1" t="s">
        <v>442</v>
      </c>
      <c r="C263" s="1" t="s">
        <v>444</v>
      </c>
      <c r="D263" s="6">
        <v>2.1999999999999999E-2</v>
      </c>
      <c r="E263" s="1">
        <v>8.4199999999999997E-2</v>
      </c>
      <c r="F263" s="19">
        <v>40.619999999999997</v>
      </c>
      <c r="G263" s="1">
        <v>3.55</v>
      </c>
      <c r="H263" s="1">
        <v>3.57</v>
      </c>
      <c r="I263" s="1">
        <v>31.17</v>
      </c>
      <c r="J263" s="1">
        <v>3.55</v>
      </c>
      <c r="K263" s="9">
        <f t="shared" si="49"/>
        <v>41.839999999999996</v>
      </c>
      <c r="L263" s="20">
        <f t="shared" si="44"/>
        <v>1.0300344657804037</v>
      </c>
      <c r="M263" s="14" t="str">
        <f t="shared" si="45"/>
        <v/>
      </c>
      <c r="N263" s="7">
        <f t="shared" si="50"/>
        <v>38248.587570621472</v>
      </c>
      <c r="O263" s="7">
        <f t="shared" si="51"/>
        <v>3342.7495291902078</v>
      </c>
      <c r="P263" s="7">
        <f t="shared" si="52"/>
        <v>3361.5819209039551</v>
      </c>
      <c r="Q263" s="1">
        <f t="shared" si="53"/>
        <v>29350.282485875709</v>
      </c>
      <c r="R263" s="1">
        <f t="shared" si="54"/>
        <v>3342.7495291902078</v>
      </c>
      <c r="S263" s="14">
        <f t="shared" si="46"/>
        <v>39397.363465160081</v>
      </c>
      <c r="T263" s="10">
        <f t="shared" si="47"/>
        <v>-3.0034465780403797E-2</v>
      </c>
      <c r="U263" s="14" t="str">
        <f t="shared" si="48"/>
        <v/>
      </c>
    </row>
    <row r="264" spans="1:21" s="1" customFormat="1" hidden="1" x14ac:dyDescent="0.25">
      <c r="A264" s="1" t="s">
        <v>441</v>
      </c>
      <c r="B264" s="1" t="s">
        <v>442</v>
      </c>
      <c r="C264" s="1" t="s">
        <v>445</v>
      </c>
      <c r="D264" s="6">
        <v>1.24E-2</v>
      </c>
      <c r="E264" s="1">
        <v>7.8399999999999997E-2</v>
      </c>
      <c r="F264" s="19">
        <v>59.11</v>
      </c>
      <c r="G264" s="1">
        <v>3.19</v>
      </c>
      <c r="H264" s="1">
        <v>3.18</v>
      </c>
      <c r="I264" s="1">
        <v>50.61</v>
      </c>
      <c r="J264" s="1">
        <v>3.2</v>
      </c>
      <c r="K264" s="9">
        <f t="shared" si="49"/>
        <v>60.18</v>
      </c>
      <c r="L264" s="20">
        <f t="shared" si="44"/>
        <v>1.0181018440196243</v>
      </c>
      <c r="M264" s="14" t="str">
        <f t="shared" si="45"/>
        <v/>
      </c>
      <c r="N264" s="7">
        <f t="shared" si="50"/>
        <v>65099.118942731286</v>
      </c>
      <c r="O264" s="7">
        <f t="shared" si="51"/>
        <v>3513.2158590308372</v>
      </c>
      <c r="P264" s="7">
        <f t="shared" si="52"/>
        <v>3502.2026431718068</v>
      </c>
      <c r="Q264" s="1">
        <f t="shared" si="53"/>
        <v>55737.885462555074</v>
      </c>
      <c r="R264" s="1">
        <f t="shared" si="54"/>
        <v>3524.2290748898681</v>
      </c>
      <c r="S264" s="14">
        <f t="shared" si="46"/>
        <v>66277.533039647591</v>
      </c>
      <c r="T264" s="10">
        <f t="shared" si="47"/>
        <v>-1.8101844019624516E-2</v>
      </c>
      <c r="U264" s="14" t="str">
        <f t="shared" si="48"/>
        <v/>
      </c>
    </row>
    <row r="265" spans="1:21" s="1" customFormat="1" hidden="1" x14ac:dyDescent="0.25">
      <c r="A265" s="1" t="s">
        <v>441</v>
      </c>
      <c r="B265" s="1" t="s">
        <v>446</v>
      </c>
      <c r="C265" s="1" t="s">
        <v>447</v>
      </c>
      <c r="D265" s="6">
        <v>1.44E-2</v>
      </c>
      <c r="E265" s="1">
        <v>6.0100000000000001E-2</v>
      </c>
      <c r="F265" s="1">
        <v>13.12</v>
      </c>
      <c r="G265" s="1">
        <v>2.48</v>
      </c>
      <c r="H265" s="1">
        <v>2.5</v>
      </c>
      <c r="I265" s="1">
        <v>6.56</v>
      </c>
      <c r="J265" s="1">
        <v>2.4900000000000002</v>
      </c>
      <c r="K265" s="9">
        <f t="shared" si="49"/>
        <v>14.03</v>
      </c>
      <c r="L265" s="20">
        <f t="shared" si="44"/>
        <v>1.069359756097561</v>
      </c>
      <c r="M265" s="14" t="str">
        <f t="shared" si="45"/>
        <v/>
      </c>
      <c r="N265" s="7">
        <f t="shared" si="50"/>
        <v>17610.738255033557</v>
      </c>
      <c r="O265" s="7">
        <f t="shared" si="51"/>
        <v>3328.8590604026845</v>
      </c>
      <c r="P265" s="7">
        <f t="shared" si="52"/>
        <v>3355.7046979865772</v>
      </c>
      <c r="Q265" s="1">
        <f t="shared" si="53"/>
        <v>8805.3691275167785</v>
      </c>
      <c r="R265" s="1">
        <f t="shared" si="54"/>
        <v>3342.2818791946311</v>
      </c>
      <c r="S265" s="14">
        <f t="shared" si="46"/>
        <v>18832.214765100671</v>
      </c>
      <c r="T265" s="10">
        <f t="shared" si="47"/>
        <v>-6.9359756097560968E-2</v>
      </c>
      <c r="U265" s="14" t="str">
        <f t="shared" si="48"/>
        <v/>
      </c>
    </row>
    <row r="266" spans="1:21" s="1" customFormat="1" hidden="1" x14ac:dyDescent="0.25">
      <c r="A266" s="1" t="s">
        <v>441</v>
      </c>
      <c r="B266" s="1" t="s">
        <v>218</v>
      </c>
      <c r="C266" s="1" t="s">
        <v>448</v>
      </c>
      <c r="D266" s="6">
        <v>1.14E-2</v>
      </c>
      <c r="E266" s="1">
        <v>4.5199999999999997E-2</v>
      </c>
      <c r="F266" s="1">
        <v>27.26</v>
      </c>
      <c r="G266" s="1">
        <v>1.98</v>
      </c>
      <c r="H266" s="1">
        <v>1.98</v>
      </c>
      <c r="I266" s="1">
        <v>21.26</v>
      </c>
      <c r="J266" s="1">
        <v>2</v>
      </c>
      <c r="K266" s="9">
        <f t="shared" si="49"/>
        <v>27.220000000000002</v>
      </c>
      <c r="L266" s="20">
        <f t="shared" si="44"/>
        <v>0.99853264856933244</v>
      </c>
      <c r="M266" s="14" t="str">
        <f t="shared" si="45"/>
        <v/>
      </c>
      <c r="N266" s="7">
        <f t="shared" si="50"/>
        <v>48162.544169611312</v>
      </c>
      <c r="O266" s="7">
        <f t="shared" si="51"/>
        <v>3498.2332155477034</v>
      </c>
      <c r="P266" s="7">
        <f t="shared" si="52"/>
        <v>3498.2332155477034</v>
      </c>
      <c r="Q266" s="1">
        <f t="shared" si="53"/>
        <v>37561.837455830391</v>
      </c>
      <c r="R266" s="1">
        <f t="shared" si="54"/>
        <v>3533.5689045936397</v>
      </c>
      <c r="S266" s="14">
        <f t="shared" si="46"/>
        <v>48091.872791519439</v>
      </c>
      <c r="T266" s="10">
        <f t="shared" si="47"/>
        <v>1.4673514306676411E-3</v>
      </c>
      <c r="U266" s="14" t="str">
        <f t="shared" si="48"/>
        <v/>
      </c>
    </row>
    <row r="267" spans="1:21" s="1" customFormat="1" hidden="1" x14ac:dyDescent="0.25">
      <c r="A267" s="1" t="s">
        <v>441</v>
      </c>
      <c r="B267" s="1" t="s">
        <v>449</v>
      </c>
      <c r="C267" s="1" t="s">
        <v>450</v>
      </c>
      <c r="D267" s="6">
        <v>1.03E-2</v>
      </c>
      <c r="E267" s="1">
        <v>3.3300000000000003E-2</v>
      </c>
      <c r="F267" s="1">
        <v>219.79</v>
      </c>
      <c r="G267" s="1">
        <v>4.04</v>
      </c>
      <c r="H267" s="1">
        <v>4.05</v>
      </c>
      <c r="I267" s="1">
        <v>207.62</v>
      </c>
      <c r="J267" s="1">
        <v>4.05</v>
      </c>
      <c r="K267" s="9">
        <f t="shared" si="49"/>
        <v>219.76000000000002</v>
      </c>
      <c r="L267" s="20">
        <f t="shared" si="44"/>
        <v>0.99986350607397978</v>
      </c>
      <c r="M267" s="14" t="str">
        <f t="shared" si="45"/>
        <v/>
      </c>
      <c r="N267" s="7">
        <f t="shared" si="50"/>
        <v>504105.504587156</v>
      </c>
      <c r="O267" s="7">
        <f t="shared" si="51"/>
        <v>9266.0550458715588</v>
      </c>
      <c r="P267" s="7">
        <f t="shared" si="52"/>
        <v>9288.9908256880735</v>
      </c>
      <c r="Q267" s="1">
        <f t="shared" si="53"/>
        <v>476192.66055045871</v>
      </c>
      <c r="R267" s="1">
        <f t="shared" si="54"/>
        <v>9288.9908256880735</v>
      </c>
      <c r="S267" s="14">
        <f t="shared" si="46"/>
        <v>504036.69724770641</v>
      </c>
      <c r="T267" s="10">
        <f t="shared" si="47"/>
        <v>1.3649392602038424E-4</v>
      </c>
      <c r="U267" s="14" t="str">
        <f t="shared" si="48"/>
        <v/>
      </c>
    </row>
    <row r="268" spans="1:21" s="1" customFormat="1" hidden="1" x14ac:dyDescent="0.25">
      <c r="A268" s="1" t="s">
        <v>441</v>
      </c>
      <c r="B268" s="1" t="s">
        <v>451</v>
      </c>
      <c r="C268" s="1" t="s">
        <v>452</v>
      </c>
      <c r="D268" s="6">
        <v>8.8999999999999999E-3</v>
      </c>
      <c r="E268" s="1">
        <v>5.4100000000000002E-2</v>
      </c>
      <c r="F268" s="1">
        <v>13.68</v>
      </c>
      <c r="G268" s="1">
        <v>2.09</v>
      </c>
      <c r="H268" s="1">
        <v>2.11</v>
      </c>
      <c r="I268" s="1">
        <v>7.66</v>
      </c>
      <c r="J268" s="1">
        <v>2.09</v>
      </c>
      <c r="K268" s="9">
        <f t="shared" si="49"/>
        <v>13.95</v>
      </c>
      <c r="L268" s="20">
        <f t="shared" si="44"/>
        <v>1.0197368421052631</v>
      </c>
      <c r="M268" s="14" t="str">
        <f t="shared" si="45"/>
        <v/>
      </c>
      <c r="N268" s="7">
        <f t="shared" si="50"/>
        <v>21714.285714285714</v>
      </c>
      <c r="O268" s="7">
        <f t="shared" si="51"/>
        <v>3317.4603174603171</v>
      </c>
      <c r="P268" s="7">
        <f t="shared" si="52"/>
        <v>3349.2063492063485</v>
      </c>
      <c r="Q268" s="1">
        <f t="shared" si="53"/>
        <v>12158.730158730159</v>
      </c>
      <c r="R268" s="1">
        <f t="shared" si="54"/>
        <v>3317.4603174603171</v>
      </c>
      <c r="S268" s="14">
        <f t="shared" si="46"/>
        <v>22142.857142857145</v>
      </c>
      <c r="T268" s="10">
        <f t="shared" si="47"/>
        <v>-1.9736842105263278E-2</v>
      </c>
      <c r="U268" s="14" t="str">
        <f t="shared" si="48"/>
        <v/>
      </c>
    </row>
    <row r="269" spans="1:21" s="1" customFormat="1" hidden="1" x14ac:dyDescent="0.25">
      <c r="A269" s="1" t="s">
        <v>441</v>
      </c>
      <c r="B269" s="1" t="s">
        <v>453</v>
      </c>
      <c r="C269" s="1" t="s">
        <v>454</v>
      </c>
      <c r="D269" s="6">
        <v>1.5100000000000001E-2</v>
      </c>
      <c r="E269" s="1">
        <v>7.2099999999999997E-2</v>
      </c>
      <c r="F269" s="1">
        <v>285.18</v>
      </c>
      <c r="G269" s="1">
        <v>3.92</v>
      </c>
      <c r="H269" s="1">
        <v>3.94</v>
      </c>
      <c r="I269" s="1">
        <v>272.12</v>
      </c>
      <c r="J269" s="1">
        <v>3.93</v>
      </c>
      <c r="K269" s="9">
        <f t="shared" si="49"/>
        <v>283.91000000000003</v>
      </c>
      <c r="L269" s="20">
        <f t="shared" si="44"/>
        <v>0.99554667227715832</v>
      </c>
      <c r="M269" s="14" t="str">
        <f t="shared" si="45"/>
        <v/>
      </c>
      <c r="N269" s="7">
        <f t="shared" si="50"/>
        <v>327041.28440366971</v>
      </c>
      <c r="O269" s="7">
        <f t="shared" si="51"/>
        <v>4495.4128440366976</v>
      </c>
      <c r="P269" s="7">
        <f t="shared" si="52"/>
        <v>4518.3486238532114</v>
      </c>
      <c r="Q269" s="1">
        <f t="shared" si="53"/>
        <v>312064.22018348624</v>
      </c>
      <c r="R269" s="1">
        <f t="shared" si="54"/>
        <v>4506.880733944954</v>
      </c>
      <c r="S269" s="14">
        <f t="shared" si="46"/>
        <v>325584.86238532106</v>
      </c>
      <c r="T269" s="10">
        <f t="shared" si="47"/>
        <v>4.4533277228417847E-3</v>
      </c>
      <c r="U269" s="14" t="str">
        <f t="shared" si="48"/>
        <v/>
      </c>
    </row>
    <row r="270" spans="1:21" s="1" customFormat="1" hidden="1" x14ac:dyDescent="0.25">
      <c r="A270" s="1" t="s">
        <v>441</v>
      </c>
      <c r="B270" s="1" t="s">
        <v>453</v>
      </c>
      <c r="C270" s="1" t="s">
        <v>455</v>
      </c>
      <c r="D270" s="6">
        <v>7.7000000000000002E-3</v>
      </c>
      <c r="E270" s="1">
        <v>9.11E-2</v>
      </c>
      <c r="F270" s="1">
        <v>282.72000000000003</v>
      </c>
      <c r="G270" s="1">
        <v>4.66</v>
      </c>
      <c r="H270" s="1">
        <v>4.63</v>
      </c>
      <c r="I270" s="1">
        <v>267.51</v>
      </c>
      <c r="J270" s="1">
        <v>4.6900000000000004</v>
      </c>
      <c r="K270" s="9">
        <f t="shared" si="49"/>
        <v>281.49</v>
      </c>
      <c r="L270" s="20">
        <f t="shared" si="44"/>
        <v>0.99564940577249572</v>
      </c>
      <c r="M270" s="14" t="str">
        <f t="shared" si="45"/>
        <v/>
      </c>
      <c r="N270" s="7">
        <f t="shared" si="50"/>
        <v>286153.84615384619</v>
      </c>
      <c r="O270" s="7">
        <f t="shared" si="51"/>
        <v>4716.5991902834012</v>
      </c>
      <c r="P270" s="7">
        <f t="shared" si="52"/>
        <v>4686.2348178137654</v>
      </c>
      <c r="Q270" s="1">
        <f t="shared" si="53"/>
        <v>270759.1093117409</v>
      </c>
      <c r="R270" s="1">
        <f t="shared" si="54"/>
        <v>4746.963562753037</v>
      </c>
      <c r="S270" s="14">
        <f t="shared" si="46"/>
        <v>284908.90688259114</v>
      </c>
      <c r="T270" s="10">
        <f t="shared" si="47"/>
        <v>4.3505942275041962E-3</v>
      </c>
      <c r="U270" s="14" t="str">
        <f t="shared" si="48"/>
        <v/>
      </c>
    </row>
    <row r="271" spans="1:21" s="1" customFormat="1" hidden="1" x14ac:dyDescent="0.25">
      <c r="A271" s="1" t="s">
        <v>441</v>
      </c>
      <c r="B271" s="1" t="s">
        <v>453</v>
      </c>
      <c r="C271" s="1" t="s">
        <v>456</v>
      </c>
      <c r="D271" s="6">
        <v>6.1999999999999998E-3</v>
      </c>
      <c r="E271" s="1">
        <v>6.59E-2</v>
      </c>
      <c r="F271" s="1">
        <v>68.19</v>
      </c>
      <c r="G271" s="1">
        <v>2.4</v>
      </c>
      <c r="H271" s="1">
        <v>2.39</v>
      </c>
      <c r="I271" s="1">
        <v>61.69</v>
      </c>
      <c r="J271" s="1">
        <v>2.39</v>
      </c>
      <c r="K271" s="9">
        <f t="shared" si="49"/>
        <v>68.87</v>
      </c>
      <c r="L271" s="20">
        <f t="shared" si="44"/>
        <v>1.0099721366769323</v>
      </c>
      <c r="M271" s="14" t="str">
        <f t="shared" si="45"/>
        <v/>
      </c>
      <c r="N271" s="7">
        <f t="shared" si="50"/>
        <v>94576.976421636617</v>
      </c>
      <c r="O271" s="7">
        <f t="shared" si="51"/>
        <v>3328.7101248266295</v>
      </c>
      <c r="P271" s="7">
        <f t="shared" si="52"/>
        <v>3314.8404993065192</v>
      </c>
      <c r="Q271" s="1">
        <f t="shared" si="53"/>
        <v>85561.719833564493</v>
      </c>
      <c r="R271" s="1">
        <f t="shared" si="54"/>
        <v>3314.8404993065192</v>
      </c>
      <c r="S271" s="14">
        <f t="shared" si="46"/>
        <v>95520.110957004159</v>
      </c>
      <c r="T271" s="10">
        <f t="shared" si="47"/>
        <v>-9.9721366769320724E-3</v>
      </c>
      <c r="U271" s="14" t="str">
        <f t="shared" si="48"/>
        <v/>
      </c>
    </row>
    <row r="272" spans="1:21" s="1" customFormat="1" hidden="1" x14ac:dyDescent="0.25">
      <c r="A272" s="1" t="s">
        <v>441</v>
      </c>
      <c r="B272" s="1" t="s">
        <v>453</v>
      </c>
      <c r="C272" s="1" t="s">
        <v>457</v>
      </c>
      <c r="D272" s="6">
        <v>3.5999999999999999E-3</v>
      </c>
      <c r="E272" s="1">
        <v>6.1400000000000003E-2</v>
      </c>
      <c r="F272" s="1">
        <v>49.73</v>
      </c>
      <c r="G272" s="1">
        <v>2.4300000000000002</v>
      </c>
      <c r="H272" s="1">
        <v>2.44</v>
      </c>
      <c r="I272" s="1">
        <v>42.86</v>
      </c>
      <c r="J272" s="1">
        <v>2.4</v>
      </c>
      <c r="K272" s="9">
        <f t="shared" si="49"/>
        <v>50.129999999999995</v>
      </c>
      <c r="L272" s="20">
        <f t="shared" si="44"/>
        <v>1.0080434345465514</v>
      </c>
      <c r="M272" s="14" t="str">
        <f t="shared" si="45"/>
        <v/>
      </c>
      <c r="N272" s="7">
        <f t="shared" si="50"/>
        <v>76507.692307692298</v>
      </c>
      <c r="O272" s="7">
        <f t="shared" si="51"/>
        <v>3738.4615384615386</v>
      </c>
      <c r="P272" s="7">
        <f t="shared" si="52"/>
        <v>3753.8461538461534</v>
      </c>
      <c r="Q272" s="1">
        <f t="shared" si="53"/>
        <v>65938.461538461532</v>
      </c>
      <c r="R272" s="1">
        <f t="shared" si="54"/>
        <v>3692.3076923076919</v>
      </c>
      <c r="S272" s="14">
        <f t="shared" si="46"/>
        <v>77123.076923076907</v>
      </c>
      <c r="T272" s="10">
        <f t="shared" si="47"/>
        <v>-8.0434345465513046E-3</v>
      </c>
      <c r="U272" s="14" t="str">
        <f t="shared" si="48"/>
        <v/>
      </c>
    </row>
    <row r="273" spans="1:21" s="1" customFormat="1" hidden="1" x14ac:dyDescent="0.25">
      <c r="A273" s="1" t="s">
        <v>441</v>
      </c>
      <c r="B273" s="1" t="s">
        <v>453</v>
      </c>
      <c r="C273" s="1" t="s">
        <v>458</v>
      </c>
      <c r="D273" s="6">
        <v>7.7000000000000002E-3</v>
      </c>
      <c r="E273" s="1">
        <v>5.8200000000000002E-2</v>
      </c>
      <c r="F273" s="1">
        <v>83.39</v>
      </c>
      <c r="G273" s="1">
        <v>2.72</v>
      </c>
      <c r="H273" s="1">
        <v>2.71</v>
      </c>
      <c r="I273" s="1">
        <v>77.14</v>
      </c>
      <c r="J273" s="1">
        <v>2.73</v>
      </c>
      <c r="K273" s="9">
        <f t="shared" si="49"/>
        <v>85.3</v>
      </c>
      <c r="L273" s="20">
        <f t="shared" si="44"/>
        <v>1.022904424991006</v>
      </c>
      <c r="M273" s="14" t="str">
        <f t="shared" si="45"/>
        <v/>
      </c>
      <c r="N273" s="7">
        <f t="shared" si="50"/>
        <v>126540.2124430956</v>
      </c>
      <c r="O273" s="7">
        <f t="shared" si="51"/>
        <v>4127.4658573596362</v>
      </c>
      <c r="P273" s="7">
        <f t="shared" si="52"/>
        <v>4112.2913505311071</v>
      </c>
      <c r="Q273" s="1">
        <f t="shared" si="53"/>
        <v>117056.14567526555</v>
      </c>
      <c r="R273" s="1">
        <f t="shared" si="54"/>
        <v>4142.6403641881643</v>
      </c>
      <c r="S273" s="14">
        <f t="shared" si="46"/>
        <v>129438.54324734445</v>
      </c>
      <c r="T273" s="10">
        <f t="shared" si="47"/>
        <v>-2.290442499100602E-2</v>
      </c>
      <c r="U273" s="14" t="str">
        <f t="shared" si="48"/>
        <v/>
      </c>
    </row>
    <row r="274" spans="1:21" s="1" customFormat="1" hidden="1" x14ac:dyDescent="0.25">
      <c r="A274" s="1" t="s">
        <v>441</v>
      </c>
      <c r="B274" s="1" t="s">
        <v>453</v>
      </c>
      <c r="C274" s="1" t="s">
        <v>459</v>
      </c>
      <c r="D274" s="6">
        <v>8.3999999999999995E-3</v>
      </c>
      <c r="E274" s="1">
        <v>4.7300000000000002E-2</v>
      </c>
      <c r="F274" s="1">
        <v>36.92</v>
      </c>
      <c r="G274" s="1">
        <v>2.08</v>
      </c>
      <c r="H274" s="1">
        <v>2.1</v>
      </c>
      <c r="I274" s="1">
        <v>32.42</v>
      </c>
      <c r="J274" s="1">
        <v>2.09</v>
      </c>
      <c r="K274" s="9">
        <f t="shared" si="49"/>
        <v>38.69</v>
      </c>
      <c r="L274" s="20">
        <f t="shared" si="44"/>
        <v>1.0479414951245936</v>
      </c>
      <c r="M274" s="14" t="str">
        <f t="shared" si="45"/>
        <v/>
      </c>
      <c r="N274" s="7">
        <f t="shared" si="50"/>
        <v>66283.662477558362</v>
      </c>
      <c r="O274" s="7">
        <f t="shared" si="51"/>
        <v>3734.2908438061045</v>
      </c>
      <c r="P274" s="7">
        <f t="shared" si="52"/>
        <v>3770.1974865350089</v>
      </c>
      <c r="Q274" s="1">
        <f t="shared" si="53"/>
        <v>58204.667863554765</v>
      </c>
      <c r="R274" s="1">
        <f t="shared" si="54"/>
        <v>3752.2441651705562</v>
      </c>
      <c r="S274" s="14">
        <f t="shared" si="46"/>
        <v>69461.400359066436</v>
      </c>
      <c r="T274" s="10">
        <f t="shared" si="47"/>
        <v>-4.7941495124593628E-2</v>
      </c>
      <c r="U274" s="14" t="str">
        <f t="shared" si="48"/>
        <v/>
      </c>
    </row>
    <row r="275" spans="1:21" s="1" customFormat="1" hidden="1" x14ac:dyDescent="0.25">
      <c r="A275" s="1" t="s">
        <v>441</v>
      </c>
      <c r="B275" s="1" t="s">
        <v>453</v>
      </c>
      <c r="C275" s="1" t="s">
        <v>460</v>
      </c>
      <c r="D275" s="6">
        <v>1.3100000000000001E-2</v>
      </c>
      <c r="E275" s="1">
        <v>7.4800000000000005E-2</v>
      </c>
      <c r="F275" s="1">
        <v>15.44</v>
      </c>
      <c r="G275" s="1">
        <v>2.92</v>
      </c>
      <c r="H275" s="1">
        <v>2.92</v>
      </c>
      <c r="I275" s="1">
        <v>6.93</v>
      </c>
      <c r="J275" s="1">
        <v>2.95</v>
      </c>
      <c r="K275" s="9">
        <f t="shared" si="49"/>
        <v>15.719999999999999</v>
      </c>
      <c r="L275" s="20">
        <f t="shared" si="44"/>
        <v>1.0181347150259068</v>
      </c>
      <c r="M275" s="14" t="str">
        <f t="shared" si="45"/>
        <v/>
      </c>
      <c r="N275" s="7">
        <f t="shared" si="50"/>
        <v>17565.41524459613</v>
      </c>
      <c r="O275" s="7">
        <f t="shared" si="51"/>
        <v>3321.9567690557446</v>
      </c>
      <c r="P275" s="7">
        <f t="shared" si="52"/>
        <v>3321.9567690557446</v>
      </c>
      <c r="Q275" s="1">
        <f t="shared" si="53"/>
        <v>7883.9590443685993</v>
      </c>
      <c r="R275" s="1">
        <f t="shared" si="54"/>
        <v>3356.0864618885098</v>
      </c>
      <c r="S275" s="14">
        <f t="shared" si="46"/>
        <v>17883.959044368599</v>
      </c>
      <c r="T275" s="10">
        <f t="shared" si="47"/>
        <v>-1.8134715025906776E-2</v>
      </c>
      <c r="U275" s="14" t="str">
        <f t="shared" si="48"/>
        <v/>
      </c>
    </row>
    <row r="276" spans="1:21" s="1" customFormat="1" hidden="1" x14ac:dyDescent="0.25">
      <c r="A276" s="1" t="s">
        <v>441</v>
      </c>
      <c r="B276" s="1" t="s">
        <v>461</v>
      </c>
      <c r="C276" s="1" t="s">
        <v>462</v>
      </c>
      <c r="D276" s="6">
        <v>2.9100000000000001E-2</v>
      </c>
      <c r="E276" s="1">
        <v>8.4199999999999997E-2</v>
      </c>
      <c r="F276" s="1">
        <v>55.64</v>
      </c>
      <c r="G276" s="1">
        <v>4.3099999999999996</v>
      </c>
      <c r="H276" s="1">
        <v>4.3499999999999996</v>
      </c>
      <c r="I276" s="1">
        <v>42.09</v>
      </c>
      <c r="J276" s="1">
        <v>4.33</v>
      </c>
      <c r="K276" s="9">
        <f t="shared" si="49"/>
        <v>55.08</v>
      </c>
      <c r="L276" s="20">
        <f t="shared" si="44"/>
        <v>0.98993529834651328</v>
      </c>
      <c r="M276" s="14" t="str">
        <f t="shared" si="45"/>
        <v/>
      </c>
      <c r="N276" s="7">
        <f t="shared" si="50"/>
        <v>49108.561341571047</v>
      </c>
      <c r="O276" s="7">
        <f t="shared" si="51"/>
        <v>3804.0600176522503</v>
      </c>
      <c r="P276" s="7">
        <f t="shared" si="52"/>
        <v>3839.3645189761692</v>
      </c>
      <c r="Q276" s="1">
        <f t="shared" si="53"/>
        <v>37149.161518093555</v>
      </c>
      <c r="R276" s="1">
        <f t="shared" si="54"/>
        <v>3821.7122683142102</v>
      </c>
      <c r="S276" s="14">
        <f t="shared" si="46"/>
        <v>48614.298323036186</v>
      </c>
      <c r="T276" s="10">
        <f t="shared" si="47"/>
        <v>1.0064701653486651E-2</v>
      </c>
      <c r="U276" s="14" t="str">
        <f t="shared" si="48"/>
        <v/>
      </c>
    </row>
    <row r="277" spans="1:21" s="1" customFormat="1" hidden="1" x14ac:dyDescent="0.25">
      <c r="A277" s="1" t="s">
        <v>441</v>
      </c>
      <c r="B277" s="1" t="s">
        <v>461</v>
      </c>
      <c r="C277" s="1" t="s">
        <v>463</v>
      </c>
      <c r="D277" s="6">
        <v>2.0299999999999999E-2</v>
      </c>
      <c r="E277" s="1">
        <v>5.3100000000000001E-2</v>
      </c>
      <c r="F277" s="1">
        <v>91.46</v>
      </c>
      <c r="G277" s="1">
        <v>2.46</v>
      </c>
      <c r="H277" s="1">
        <v>2.44</v>
      </c>
      <c r="I277" s="1">
        <v>83.67</v>
      </c>
      <c r="J277" s="1">
        <v>2.4500000000000002</v>
      </c>
      <c r="K277" s="9">
        <f t="shared" si="49"/>
        <v>91.02000000000001</v>
      </c>
      <c r="L277" s="20">
        <f t="shared" si="44"/>
        <v>0.995189153728406</v>
      </c>
      <c r="M277" s="14" t="str">
        <f t="shared" si="45"/>
        <v/>
      </c>
      <c r="N277" s="7">
        <f t="shared" si="50"/>
        <v>124604.9046321526</v>
      </c>
      <c r="O277" s="7">
        <f t="shared" si="51"/>
        <v>3351.4986376021802</v>
      </c>
      <c r="P277" s="7">
        <f t="shared" si="52"/>
        <v>3324.2506811989101</v>
      </c>
      <c r="Q277" s="1">
        <f t="shared" si="53"/>
        <v>113991.82561307903</v>
      </c>
      <c r="R277" s="1">
        <f t="shared" si="54"/>
        <v>3337.8746594005456</v>
      </c>
      <c r="S277" s="14">
        <f t="shared" si="46"/>
        <v>124005.44959128066</v>
      </c>
      <c r="T277" s="10">
        <f t="shared" si="47"/>
        <v>4.8108462715941583E-3</v>
      </c>
      <c r="U277" s="14" t="str">
        <f t="shared" si="48"/>
        <v/>
      </c>
    </row>
    <row r="278" spans="1:21" s="1" customFormat="1" hidden="1" x14ac:dyDescent="0.25">
      <c r="A278" s="1" t="s">
        <v>441</v>
      </c>
      <c r="B278" s="1" t="s">
        <v>461</v>
      </c>
      <c r="C278" s="1" t="s">
        <v>464</v>
      </c>
      <c r="D278" s="6">
        <v>2.1399999999999999E-2</v>
      </c>
      <c r="E278" s="1">
        <v>6.8400000000000002E-2</v>
      </c>
      <c r="F278" s="1">
        <v>211.12</v>
      </c>
      <c r="G278" s="1">
        <v>4.83</v>
      </c>
      <c r="H278" s="1">
        <v>4.8099999999999996</v>
      </c>
      <c r="I278" s="1">
        <v>196.83</v>
      </c>
      <c r="J278" s="1">
        <v>4.8499999999999996</v>
      </c>
      <c r="K278" s="9">
        <f t="shared" si="49"/>
        <v>211.32000000000002</v>
      </c>
      <c r="L278" s="20">
        <f t="shared" si="44"/>
        <v>1.0009473285335355</v>
      </c>
      <c r="M278" s="14" t="str">
        <f t="shared" si="45"/>
        <v/>
      </c>
      <c r="N278" s="7">
        <f t="shared" si="50"/>
        <v>235100.22271714921</v>
      </c>
      <c r="O278" s="7">
        <f t="shared" si="51"/>
        <v>5378.6191536748329</v>
      </c>
      <c r="P278" s="7">
        <f t="shared" si="52"/>
        <v>5356.3474387527831</v>
      </c>
      <c r="Q278" s="1">
        <f t="shared" si="53"/>
        <v>219187.08240534519</v>
      </c>
      <c r="R278" s="1">
        <f t="shared" si="54"/>
        <v>5400.8908685968809</v>
      </c>
      <c r="S278" s="14">
        <f t="shared" si="46"/>
        <v>235322.93986636968</v>
      </c>
      <c r="T278" s="10">
        <f t="shared" si="47"/>
        <v>-9.4732853353532475E-4</v>
      </c>
      <c r="U278" s="14" t="str">
        <f t="shared" si="48"/>
        <v/>
      </c>
    </row>
    <row r="279" spans="1:21" s="1" customFormat="1" hidden="1" x14ac:dyDescent="0.25">
      <c r="A279" s="1" t="s">
        <v>441</v>
      </c>
      <c r="B279" s="1" t="s">
        <v>461</v>
      </c>
      <c r="C279" s="1" t="s">
        <v>465</v>
      </c>
      <c r="D279" s="6">
        <v>2.1600000000000001E-2</v>
      </c>
      <c r="E279" s="1">
        <v>7.3300000000000004E-2</v>
      </c>
      <c r="F279" s="1">
        <v>218.57</v>
      </c>
      <c r="G279" s="1">
        <v>3.51</v>
      </c>
      <c r="H279" s="1">
        <v>3.59</v>
      </c>
      <c r="I279" s="1">
        <v>208.35</v>
      </c>
      <c r="J279" s="1">
        <v>3.58</v>
      </c>
      <c r="K279" s="9">
        <f t="shared" si="49"/>
        <v>219.03</v>
      </c>
      <c r="L279" s="20">
        <f t="shared" si="44"/>
        <v>1.0021045889188818</v>
      </c>
      <c r="M279" s="14" t="str">
        <f t="shared" si="45"/>
        <v/>
      </c>
      <c r="N279" s="7">
        <f t="shared" si="50"/>
        <v>230316.12223393039</v>
      </c>
      <c r="O279" s="7">
        <f t="shared" si="51"/>
        <v>3698.6301369863008</v>
      </c>
      <c r="P279" s="7">
        <f t="shared" si="52"/>
        <v>3782.9293993677552</v>
      </c>
      <c r="Q279" s="1">
        <f t="shared" si="53"/>
        <v>219546.89146469964</v>
      </c>
      <c r="R279" s="1">
        <f t="shared" si="54"/>
        <v>3772.3919915700735</v>
      </c>
      <c r="S279" s="14">
        <f t="shared" si="46"/>
        <v>230800.84299262377</v>
      </c>
      <c r="T279" s="10">
        <f t="shared" si="47"/>
        <v>-2.1045889188819043E-3</v>
      </c>
      <c r="U279" s="14" t="str">
        <f t="shared" si="48"/>
        <v/>
      </c>
    </row>
    <row r="280" spans="1:21" s="1" customFormat="1" hidden="1" x14ac:dyDescent="0.25">
      <c r="A280" s="1" t="s">
        <v>441</v>
      </c>
      <c r="B280" s="1" t="s">
        <v>461</v>
      </c>
      <c r="C280" s="1" t="s">
        <v>466</v>
      </c>
      <c r="D280" s="6">
        <v>1.7999999999999999E-2</v>
      </c>
      <c r="E280" s="1">
        <v>8.2100000000000006E-2</v>
      </c>
      <c r="F280" s="1">
        <v>139.68</v>
      </c>
      <c r="G280" s="1">
        <v>4.46</v>
      </c>
      <c r="H280" s="1">
        <v>4.46</v>
      </c>
      <c r="I280" s="1">
        <v>126.58</v>
      </c>
      <c r="J280" s="1">
        <v>4.4400000000000004</v>
      </c>
      <c r="K280" s="9">
        <f t="shared" si="49"/>
        <v>139.94</v>
      </c>
      <c r="L280" s="20">
        <f t="shared" si="44"/>
        <v>1.0018613974799542</v>
      </c>
      <c r="M280" s="14" t="str">
        <f t="shared" si="45"/>
        <v/>
      </c>
      <c r="N280" s="7">
        <f t="shared" si="50"/>
        <v>139540.45954045953</v>
      </c>
      <c r="O280" s="7">
        <f t="shared" si="51"/>
        <v>4455.5444555444556</v>
      </c>
      <c r="P280" s="7">
        <f t="shared" si="52"/>
        <v>4455.5444555444556</v>
      </c>
      <c r="Q280" s="1">
        <f t="shared" si="53"/>
        <v>126453.54645354644</v>
      </c>
      <c r="R280" s="1">
        <f t="shared" si="54"/>
        <v>4435.5644355644363</v>
      </c>
      <c r="S280" s="14">
        <f t="shared" si="46"/>
        <v>139800.1998001998</v>
      </c>
      <c r="T280" s="10">
        <f t="shared" si="47"/>
        <v>-1.8613974799542461E-3</v>
      </c>
      <c r="U280" s="14" t="str">
        <f t="shared" si="48"/>
        <v/>
      </c>
    </row>
    <row r="281" spans="1:21" s="1" customFormat="1" hidden="1" x14ac:dyDescent="0.25">
      <c r="A281" s="1" t="s">
        <v>441</v>
      </c>
      <c r="B281" s="1" t="s">
        <v>461</v>
      </c>
      <c r="C281" s="1" t="s">
        <v>467</v>
      </c>
      <c r="D281" s="6">
        <v>1.9900000000000001E-2</v>
      </c>
      <c r="E281" s="1">
        <v>4.4900000000000002E-2</v>
      </c>
      <c r="F281" s="1">
        <v>294.11</v>
      </c>
      <c r="G281" s="1">
        <v>4.25</v>
      </c>
      <c r="H281" s="1">
        <v>4.2300000000000004</v>
      </c>
      <c r="I281" s="1">
        <v>281.8</v>
      </c>
      <c r="J281" s="1">
        <v>4.26</v>
      </c>
      <c r="K281" s="9">
        <f t="shared" si="49"/>
        <v>294.54000000000002</v>
      </c>
      <c r="L281" s="20">
        <f t="shared" si="44"/>
        <v>1.0014620380129884</v>
      </c>
      <c r="M281" s="14" t="str">
        <f t="shared" si="45"/>
        <v/>
      </c>
      <c r="N281" s="7">
        <f t="shared" si="50"/>
        <v>453873.45679012348</v>
      </c>
      <c r="O281" s="7">
        <f t="shared" si="51"/>
        <v>6558.641975308642</v>
      </c>
      <c r="P281" s="7">
        <f t="shared" si="52"/>
        <v>6527.7777777777783</v>
      </c>
      <c r="Q281" s="1">
        <f t="shared" si="53"/>
        <v>434876.54320987657</v>
      </c>
      <c r="R281" s="1">
        <f t="shared" si="54"/>
        <v>6574.0740740740748</v>
      </c>
      <c r="S281" s="14">
        <f t="shared" si="46"/>
        <v>454537.03703703708</v>
      </c>
      <c r="T281" s="10">
        <f t="shared" si="47"/>
        <v>-1.4620380129883725E-3</v>
      </c>
      <c r="U281" s="14" t="str">
        <f t="shared" si="48"/>
        <v/>
      </c>
    </row>
    <row r="282" spans="1:21" s="1" customFormat="1" hidden="1" x14ac:dyDescent="0.25">
      <c r="A282" s="1" t="s">
        <v>441</v>
      </c>
      <c r="B282" s="1" t="s">
        <v>461</v>
      </c>
      <c r="C282" s="1" t="s">
        <v>468</v>
      </c>
      <c r="D282" s="6">
        <v>2.93E-2</v>
      </c>
      <c r="E282" s="1">
        <v>7.3099999999999998E-2</v>
      </c>
      <c r="F282" s="1">
        <v>113.65</v>
      </c>
      <c r="G282" s="1">
        <v>3.39</v>
      </c>
      <c r="H282" s="1">
        <v>3.39</v>
      </c>
      <c r="I282" s="1">
        <v>103.04</v>
      </c>
      <c r="J282" s="1">
        <v>3.39</v>
      </c>
      <c r="K282" s="9">
        <f t="shared" si="49"/>
        <v>113.21000000000001</v>
      </c>
      <c r="L282" s="20">
        <f t="shared" si="44"/>
        <v>0.99612846458424986</v>
      </c>
      <c r="M282" s="14" t="str">
        <f t="shared" si="45"/>
        <v/>
      </c>
      <c r="N282" s="7">
        <f t="shared" si="50"/>
        <v>110986.32812500003</v>
      </c>
      <c r="O282" s="7">
        <f t="shared" si="51"/>
        <v>3310.5468750000009</v>
      </c>
      <c r="P282" s="7">
        <f t="shared" si="52"/>
        <v>3310.5468750000009</v>
      </c>
      <c r="Q282" s="1">
        <f t="shared" si="53"/>
        <v>100625.00000000001</v>
      </c>
      <c r="R282" s="1">
        <f t="shared" si="54"/>
        <v>3310.5468750000009</v>
      </c>
      <c r="S282" s="14">
        <f t="shared" si="46"/>
        <v>110556.64062500001</v>
      </c>
      <c r="T282" s="10">
        <f t="shared" si="47"/>
        <v>3.87153541575024E-3</v>
      </c>
      <c r="U282" s="14" t="str">
        <f t="shared" si="48"/>
        <v/>
      </c>
    </row>
    <row r="283" spans="1:21" s="1" customFormat="1" hidden="1" x14ac:dyDescent="0.25">
      <c r="A283" s="1" t="s">
        <v>441</v>
      </c>
      <c r="B283" s="1" t="s">
        <v>461</v>
      </c>
      <c r="C283" s="1" t="s">
        <v>469</v>
      </c>
      <c r="D283" s="6">
        <v>2.5600000000000001E-2</v>
      </c>
      <c r="E283" s="1">
        <v>5.04E-2</v>
      </c>
      <c r="F283" s="1">
        <v>273.54000000000002</v>
      </c>
      <c r="G283" s="1">
        <v>3.39</v>
      </c>
      <c r="H283" s="1">
        <v>3.41</v>
      </c>
      <c r="I283" s="1">
        <v>265.82</v>
      </c>
      <c r="J283" s="1">
        <v>3.41</v>
      </c>
      <c r="K283" s="9">
        <f t="shared" si="49"/>
        <v>276.03000000000003</v>
      </c>
      <c r="L283" s="20">
        <f t="shared" si="44"/>
        <v>1.0091028734371572</v>
      </c>
      <c r="M283" s="14" t="str">
        <f t="shared" si="45"/>
        <v/>
      </c>
      <c r="N283" s="7">
        <f t="shared" si="50"/>
        <v>359921.05263157899</v>
      </c>
      <c r="O283" s="7">
        <f t="shared" si="51"/>
        <v>4460.5263157894742</v>
      </c>
      <c r="P283" s="7">
        <f t="shared" si="52"/>
        <v>4486.8421052631584</v>
      </c>
      <c r="Q283" s="1">
        <f t="shared" si="53"/>
        <v>349763.15789473685</v>
      </c>
      <c r="R283" s="1">
        <f t="shared" si="54"/>
        <v>4486.8421052631584</v>
      </c>
      <c r="S283" s="14">
        <f t="shared" si="46"/>
        <v>363197.36842105264</v>
      </c>
      <c r="T283" s="10">
        <f t="shared" si="47"/>
        <v>-9.102873437157176E-3</v>
      </c>
      <c r="U283" s="14" t="str">
        <f t="shared" si="48"/>
        <v/>
      </c>
    </row>
    <row r="284" spans="1:21" s="1" customFormat="1" hidden="1" x14ac:dyDescent="0.25">
      <c r="A284" s="1" t="s">
        <v>470</v>
      </c>
      <c r="B284" s="1" t="s">
        <v>471</v>
      </c>
      <c r="C284" s="1" t="s">
        <v>472</v>
      </c>
      <c r="D284" s="6">
        <v>0.19450000000000001</v>
      </c>
      <c r="E284" s="1">
        <v>0.43369999999999997</v>
      </c>
      <c r="F284" s="1">
        <v>1377.61</v>
      </c>
      <c r="G284" s="1">
        <v>24.36</v>
      </c>
      <c r="H284" s="1">
        <v>24.73</v>
      </c>
      <c r="I284" s="1">
        <v>1330.32</v>
      </c>
      <c r="J284" s="1">
        <v>24.44</v>
      </c>
      <c r="K284" s="9">
        <f t="shared" si="49"/>
        <v>1403.85</v>
      </c>
      <c r="L284" s="20">
        <f t="shared" si="44"/>
        <v>1.0190474807819339</v>
      </c>
      <c r="M284" s="14" t="str">
        <f t="shared" si="45"/>
        <v/>
      </c>
      <c r="N284" s="7">
        <f t="shared" si="50"/>
        <v>219294.81056988219</v>
      </c>
      <c r="O284" s="7">
        <f t="shared" si="51"/>
        <v>3877.7459407831898</v>
      </c>
      <c r="P284" s="7">
        <f t="shared" si="52"/>
        <v>3936.6443807704554</v>
      </c>
      <c r="Q284" s="1">
        <f t="shared" si="53"/>
        <v>211766.95319961794</v>
      </c>
      <c r="R284" s="1">
        <f t="shared" si="54"/>
        <v>3890.4807386182747</v>
      </c>
      <c r="S284" s="14">
        <f t="shared" si="46"/>
        <v>223471.82425978986</v>
      </c>
      <c r="T284" s="10">
        <f t="shared" si="47"/>
        <v>-1.904748078193394E-2</v>
      </c>
      <c r="U284" s="14" t="str">
        <f t="shared" si="48"/>
        <v/>
      </c>
    </row>
    <row r="285" spans="1:21" s="1" customFormat="1" hidden="1" x14ac:dyDescent="0.25">
      <c r="A285" s="1" t="s">
        <v>470</v>
      </c>
      <c r="B285" s="1" t="s">
        <v>471</v>
      </c>
      <c r="C285" s="1" t="s">
        <v>473</v>
      </c>
      <c r="D285" s="6">
        <v>0.19839999999999999</v>
      </c>
      <c r="E285" s="1">
        <v>0.2122</v>
      </c>
      <c r="F285" s="1">
        <v>398.38</v>
      </c>
      <c r="G285" s="1">
        <v>24.63</v>
      </c>
      <c r="H285" s="1">
        <v>24.53</v>
      </c>
      <c r="I285" s="1">
        <v>310.44</v>
      </c>
      <c r="J285" s="1">
        <v>24.88</v>
      </c>
      <c r="K285" s="9">
        <f t="shared" si="49"/>
        <v>384.48</v>
      </c>
      <c r="L285" s="20">
        <f t="shared" si="44"/>
        <v>0.965108690195291</v>
      </c>
      <c r="M285" s="14" t="str">
        <f t="shared" si="45"/>
        <v/>
      </c>
      <c r="N285" s="7">
        <f t="shared" si="50"/>
        <v>97023.867510959579</v>
      </c>
      <c r="O285" s="7">
        <f t="shared" si="51"/>
        <v>5998.5387238188014</v>
      </c>
      <c r="P285" s="7">
        <f t="shared" si="52"/>
        <v>5974.1841207988318</v>
      </c>
      <c r="Q285" s="1">
        <f t="shared" si="53"/>
        <v>75606.429615197281</v>
      </c>
      <c r="R285" s="1">
        <f t="shared" si="54"/>
        <v>6059.4252313687293</v>
      </c>
      <c r="S285" s="14">
        <f t="shared" si="46"/>
        <v>93638.577691183644</v>
      </c>
      <c r="T285" s="10">
        <f t="shared" si="47"/>
        <v>3.4891309804709045E-2</v>
      </c>
      <c r="U285" s="14" t="str">
        <f t="shared" si="48"/>
        <v/>
      </c>
    </row>
    <row r="286" spans="1:21" s="1" customFormat="1" hidden="1" x14ac:dyDescent="0.25">
      <c r="A286" s="1" t="s">
        <v>470</v>
      </c>
      <c r="B286" s="1" t="s">
        <v>471</v>
      </c>
      <c r="C286" s="1" t="s">
        <v>474</v>
      </c>
      <c r="D286" s="6">
        <v>0.14349999999999999</v>
      </c>
      <c r="E286" s="1">
        <v>0.37980000000000003</v>
      </c>
      <c r="F286" s="1">
        <v>61.36</v>
      </c>
      <c r="G286" s="1">
        <v>17.45</v>
      </c>
      <c r="H286" s="1">
        <v>17.43</v>
      </c>
      <c r="I286" s="1">
        <v>9.93</v>
      </c>
      <c r="J286" s="1">
        <v>17.45</v>
      </c>
      <c r="K286" s="9">
        <f t="shared" si="49"/>
        <v>62.259999999999991</v>
      </c>
      <c r="L286" s="20">
        <f t="shared" si="44"/>
        <v>1.0146675358539763</v>
      </c>
      <c r="M286" s="14" t="str">
        <f t="shared" si="45"/>
        <v/>
      </c>
      <c r="N286" s="7">
        <f t="shared" si="50"/>
        <v>11725.587617045672</v>
      </c>
      <c r="O286" s="7">
        <f t="shared" si="51"/>
        <v>3334.6072998280142</v>
      </c>
      <c r="P286" s="7">
        <f t="shared" si="52"/>
        <v>3330.7854003439707</v>
      </c>
      <c r="Q286" s="1">
        <f t="shared" si="53"/>
        <v>1897.5730938276324</v>
      </c>
      <c r="R286" s="1">
        <f t="shared" si="54"/>
        <v>3334.6072998280142</v>
      </c>
      <c r="S286" s="14">
        <f t="shared" si="46"/>
        <v>11897.573093827632</v>
      </c>
      <c r="T286" s="10">
        <f t="shared" si="47"/>
        <v>-1.4667535853976454E-2</v>
      </c>
      <c r="U286" s="14" t="str">
        <f t="shared" si="48"/>
        <v/>
      </c>
    </row>
    <row r="287" spans="1:21" s="1" customFormat="1" hidden="1" x14ac:dyDescent="0.25">
      <c r="A287" s="1" t="s">
        <v>470</v>
      </c>
      <c r="B287" s="1" t="s">
        <v>471</v>
      </c>
      <c r="C287" s="1" t="s">
        <v>475</v>
      </c>
      <c r="D287" s="6">
        <v>0.22500000000000001</v>
      </c>
      <c r="E287" s="1">
        <v>0.3453</v>
      </c>
      <c r="F287" s="1">
        <v>287.25</v>
      </c>
      <c r="G287" s="1">
        <v>24.61</v>
      </c>
      <c r="H287" s="1">
        <v>24.52</v>
      </c>
      <c r="I287" s="1">
        <v>198.81</v>
      </c>
      <c r="J287" s="1">
        <v>24.62</v>
      </c>
      <c r="K287" s="9">
        <f t="shared" si="49"/>
        <v>272.56</v>
      </c>
      <c r="L287" s="20">
        <f t="shared" si="44"/>
        <v>0.94885987815491735</v>
      </c>
      <c r="M287" s="14" t="str">
        <f t="shared" si="45"/>
        <v/>
      </c>
      <c r="N287" s="7">
        <f t="shared" si="50"/>
        <v>50368.227248816409</v>
      </c>
      <c r="O287" s="7">
        <f t="shared" si="51"/>
        <v>4315.2726635104327</v>
      </c>
      <c r="P287" s="7">
        <f t="shared" si="52"/>
        <v>4299.4914957040155</v>
      </c>
      <c r="Q287" s="1">
        <f t="shared" si="53"/>
        <v>34860.599684376641</v>
      </c>
      <c r="R287" s="1">
        <f t="shared" si="54"/>
        <v>4317.0261266000352</v>
      </c>
      <c r="S287" s="14">
        <f t="shared" si="46"/>
        <v>47792.389970191129</v>
      </c>
      <c r="T287" s="10">
        <f t="shared" si="47"/>
        <v>5.1140121845082591E-2</v>
      </c>
      <c r="U287" s="14" t="str">
        <f t="shared" si="48"/>
        <v/>
      </c>
    </row>
    <row r="288" spans="1:21" s="1" customFormat="1" hidden="1" x14ac:dyDescent="0.25">
      <c r="A288" s="1" t="s">
        <v>476</v>
      </c>
      <c r="B288" s="1" t="s">
        <v>477</v>
      </c>
      <c r="C288" s="1" t="s">
        <v>478</v>
      </c>
      <c r="D288" s="6">
        <v>4.5881999999999996</v>
      </c>
      <c r="E288" s="1">
        <v>0.89910000000000001</v>
      </c>
      <c r="F288" s="1">
        <v>274.10000000000002</v>
      </c>
      <c r="G288" s="1">
        <v>137.53</v>
      </c>
      <c r="H288" s="1">
        <v>137.43</v>
      </c>
      <c r="I288" s="1">
        <v>0</v>
      </c>
      <c r="J288" s="1">
        <v>0</v>
      </c>
      <c r="K288" s="9">
        <f t="shared" si="49"/>
        <v>274.96000000000004</v>
      </c>
      <c r="L288" s="20">
        <f t="shared" si="44"/>
        <v>1.0031375410434149</v>
      </c>
      <c r="M288" s="14" t="str">
        <f t="shared" si="45"/>
        <v/>
      </c>
      <c r="N288" s="7">
        <f t="shared" si="50"/>
        <v>4995.1706668124589</v>
      </c>
      <c r="O288" s="7">
        <f t="shared" si="51"/>
        <v>2506.3328048402677</v>
      </c>
      <c r="P288" s="7">
        <f t="shared" si="52"/>
        <v>2504.5104149581766</v>
      </c>
      <c r="Q288" s="1">
        <f t="shared" si="53"/>
        <v>0</v>
      </c>
      <c r="R288" s="1">
        <f t="shared" si="54"/>
        <v>0</v>
      </c>
      <c r="S288" s="14">
        <f t="shared" si="46"/>
        <v>5010.8432197984439</v>
      </c>
      <c r="T288" s="10">
        <f t="shared" si="47"/>
        <v>-3.1375410434146514E-3</v>
      </c>
      <c r="U288" s="14" t="str">
        <f t="shared" si="48"/>
        <v/>
      </c>
    </row>
    <row r="289" spans="1:21" s="1" customFormat="1" hidden="1" x14ac:dyDescent="0.25">
      <c r="A289" s="1" t="s">
        <v>476</v>
      </c>
      <c r="B289" s="1" t="s">
        <v>477</v>
      </c>
      <c r="C289" s="1" t="s">
        <v>479</v>
      </c>
      <c r="D289" s="6">
        <v>0.68730000000000002</v>
      </c>
      <c r="E289" s="1">
        <v>0.49559999999999998</v>
      </c>
      <c r="F289" s="1">
        <v>192.88</v>
      </c>
      <c r="G289" s="1">
        <v>39.46</v>
      </c>
      <c r="H289" s="1">
        <v>39.43</v>
      </c>
      <c r="I289" s="1">
        <v>75.34</v>
      </c>
      <c r="J289" s="1">
        <v>39.409999999999997</v>
      </c>
      <c r="K289" s="9">
        <f t="shared" si="49"/>
        <v>193.64000000000001</v>
      </c>
      <c r="L289" s="20">
        <f t="shared" si="44"/>
        <v>1.003940273745334</v>
      </c>
      <c r="M289" s="14" t="str">
        <f t="shared" si="45"/>
        <v/>
      </c>
      <c r="N289" s="7">
        <f t="shared" si="50"/>
        <v>16305.689407388621</v>
      </c>
      <c r="O289" s="7">
        <f t="shared" si="51"/>
        <v>3335.8694733282609</v>
      </c>
      <c r="P289" s="7">
        <f t="shared" si="52"/>
        <v>3333.333333333333</v>
      </c>
      <c r="Q289" s="1">
        <f t="shared" si="53"/>
        <v>6369.0929072618137</v>
      </c>
      <c r="R289" s="1">
        <f t="shared" si="54"/>
        <v>3331.6425733367146</v>
      </c>
      <c r="S289" s="14">
        <f t="shared" si="46"/>
        <v>16369.938287260122</v>
      </c>
      <c r="T289" s="10">
        <f t="shared" si="47"/>
        <v>-3.9402737453337689E-3</v>
      </c>
      <c r="U289" s="14" t="str">
        <f t="shared" si="48"/>
        <v/>
      </c>
    </row>
    <row r="290" spans="1:21" s="1" customFormat="1" hidden="1" x14ac:dyDescent="0.25">
      <c r="A290" s="1" t="s">
        <v>476</v>
      </c>
      <c r="B290" s="1" t="s">
        <v>477</v>
      </c>
      <c r="C290" s="1" t="s">
        <v>480</v>
      </c>
      <c r="D290" s="6">
        <v>5.8741000000000003</v>
      </c>
      <c r="E290" s="1">
        <v>0.90339999999999998</v>
      </c>
      <c r="F290" s="1">
        <v>186.58</v>
      </c>
      <c r="G290" s="1">
        <v>94.31</v>
      </c>
      <c r="H290" s="1">
        <v>94.54</v>
      </c>
      <c r="I290" s="1">
        <v>0</v>
      </c>
      <c r="J290" s="1">
        <v>0</v>
      </c>
      <c r="K290" s="9">
        <f t="shared" si="49"/>
        <v>188.85000000000002</v>
      </c>
      <c r="L290" s="20">
        <f t="shared" si="44"/>
        <v>1.0121663629542288</v>
      </c>
      <c r="M290" s="14" t="str">
        <f t="shared" si="45"/>
        <v/>
      </c>
      <c r="N290" s="7">
        <f t="shared" si="50"/>
        <v>2752.9324972334935</v>
      </c>
      <c r="O290" s="7">
        <f t="shared" si="51"/>
        <v>1391.5160457395796</v>
      </c>
      <c r="P290" s="7">
        <f t="shared" si="52"/>
        <v>1394.9096274437477</v>
      </c>
      <c r="Q290" s="1">
        <f t="shared" si="53"/>
        <v>0</v>
      </c>
      <c r="R290" s="1">
        <f t="shared" si="54"/>
        <v>0</v>
      </c>
      <c r="S290" s="14">
        <f t="shared" si="46"/>
        <v>2786.4256731833275</v>
      </c>
      <c r="T290" s="10">
        <f t="shared" si="47"/>
        <v>-1.2166362954228759E-2</v>
      </c>
      <c r="U290" s="14" t="str">
        <f t="shared" si="48"/>
        <v/>
      </c>
    </row>
    <row r="291" spans="1:21" s="1" customFormat="1" hidden="1" x14ac:dyDescent="0.25">
      <c r="A291" s="1" t="s">
        <v>481</v>
      </c>
      <c r="B291" s="1" t="s">
        <v>482</v>
      </c>
      <c r="C291" s="1" t="s">
        <v>483</v>
      </c>
      <c r="D291" s="6">
        <v>0.2243</v>
      </c>
      <c r="E291" s="1">
        <v>9.5100000000000004E-2</v>
      </c>
      <c r="F291" s="1">
        <v>382.03</v>
      </c>
      <c r="G291" s="1">
        <v>10.76</v>
      </c>
      <c r="H291" s="1">
        <v>10.76</v>
      </c>
      <c r="I291" s="19">
        <v>336.99</v>
      </c>
      <c r="J291" s="1">
        <v>10.79</v>
      </c>
      <c r="K291" s="9">
        <f t="shared" si="49"/>
        <v>369.3</v>
      </c>
      <c r="L291" s="20">
        <f t="shared" si="44"/>
        <v>0.96667800958039951</v>
      </c>
      <c r="M291" s="14" t="str">
        <f t="shared" si="45"/>
        <v/>
      </c>
      <c r="N291" s="7">
        <f t="shared" si="50"/>
        <v>119608.64120225422</v>
      </c>
      <c r="O291" s="7">
        <f t="shared" si="51"/>
        <v>3368.8165309956171</v>
      </c>
      <c r="P291" s="7">
        <f t="shared" si="52"/>
        <v>3368.8165309956171</v>
      </c>
      <c r="Q291" s="1">
        <f t="shared" si="53"/>
        <v>105507.20100187852</v>
      </c>
      <c r="R291" s="1">
        <f t="shared" si="54"/>
        <v>3378.2091421415143</v>
      </c>
      <c r="S291" s="14">
        <f t="shared" si="46"/>
        <v>115623.04320601127</v>
      </c>
      <c r="T291" s="10">
        <f t="shared" si="47"/>
        <v>3.3321990419600558E-2</v>
      </c>
      <c r="U291" s="14" t="str">
        <f t="shared" si="48"/>
        <v/>
      </c>
    </row>
    <row r="292" spans="1:21" s="1" customFormat="1" hidden="1" x14ac:dyDescent="0.25">
      <c r="A292" s="1" t="s">
        <v>481</v>
      </c>
      <c r="B292" s="1" t="s">
        <v>484</v>
      </c>
      <c r="C292" s="1" t="s">
        <v>485</v>
      </c>
      <c r="D292" s="6">
        <v>0.13589999999999999</v>
      </c>
      <c r="E292" s="1">
        <v>8.43E-2</v>
      </c>
      <c r="F292" s="1">
        <v>35.97</v>
      </c>
      <c r="G292" s="1">
        <v>7.64</v>
      </c>
      <c r="H292" s="1">
        <v>7.69</v>
      </c>
      <c r="I292" s="1">
        <v>14.94</v>
      </c>
      <c r="J292" s="1">
        <v>7.62</v>
      </c>
      <c r="K292" s="9">
        <f t="shared" si="49"/>
        <v>37.89</v>
      </c>
      <c r="L292" s="20">
        <f t="shared" si="44"/>
        <v>1.0533778148457047</v>
      </c>
      <c r="M292" s="14" t="str">
        <f t="shared" si="45"/>
        <v/>
      </c>
      <c r="N292" s="7">
        <f t="shared" si="50"/>
        <v>16335.149863760216</v>
      </c>
      <c r="O292" s="7">
        <f t="shared" si="51"/>
        <v>3469.5731153496818</v>
      </c>
      <c r="P292" s="7">
        <f t="shared" si="52"/>
        <v>3492.2797456857402</v>
      </c>
      <c r="Q292" s="1">
        <f t="shared" si="53"/>
        <v>6784.741144414168</v>
      </c>
      <c r="R292" s="1">
        <f t="shared" si="54"/>
        <v>3460.4904632152588</v>
      </c>
      <c r="S292" s="14">
        <f t="shared" si="46"/>
        <v>17207.084468664849</v>
      </c>
      <c r="T292" s="10">
        <f t="shared" si="47"/>
        <v>-5.3377814845704787E-2</v>
      </c>
      <c r="U292" s="14" t="str">
        <f t="shared" si="48"/>
        <v/>
      </c>
    </row>
    <row r="293" spans="1:21" s="1" customFormat="1" hidden="1" x14ac:dyDescent="0.25">
      <c r="A293" s="1" t="s">
        <v>481</v>
      </c>
      <c r="B293" s="1" t="s">
        <v>484</v>
      </c>
      <c r="C293" s="1" t="s">
        <v>486</v>
      </c>
      <c r="D293" s="6">
        <v>0.10299999999999999</v>
      </c>
      <c r="E293" s="1">
        <v>6.1699999999999998E-2</v>
      </c>
      <c r="F293" s="1">
        <v>15.75</v>
      </c>
      <c r="G293" s="1">
        <v>5.34</v>
      </c>
      <c r="H293" s="1">
        <v>5.34</v>
      </c>
      <c r="I293" s="1">
        <v>0</v>
      </c>
      <c r="J293" s="1">
        <v>5.33</v>
      </c>
      <c r="K293" s="9">
        <f t="shared" si="49"/>
        <v>16.009999999999998</v>
      </c>
      <c r="L293" s="20">
        <f t="shared" si="44"/>
        <v>1.0165079365079364</v>
      </c>
      <c r="M293" s="14" t="str">
        <f t="shared" si="45"/>
        <v/>
      </c>
      <c r="N293" s="7">
        <f t="shared" si="50"/>
        <v>9562.8415300546458</v>
      </c>
      <c r="O293" s="7">
        <f t="shared" si="51"/>
        <v>3242.2586520947179</v>
      </c>
      <c r="P293" s="7">
        <f t="shared" si="52"/>
        <v>3242.2586520947179</v>
      </c>
      <c r="Q293" s="1">
        <f t="shared" si="53"/>
        <v>0</v>
      </c>
      <c r="R293" s="1">
        <f t="shared" si="54"/>
        <v>3236.1870066788101</v>
      </c>
      <c r="S293" s="14">
        <f t="shared" si="46"/>
        <v>9720.7043108682465</v>
      </c>
      <c r="T293" s="10">
        <f t="shared" si="47"/>
        <v>-1.6507936507936527E-2</v>
      </c>
      <c r="U293" s="14" t="str">
        <f t="shared" si="48"/>
        <v/>
      </c>
    </row>
    <row r="294" spans="1:21" s="1" customFormat="1" hidden="1" x14ac:dyDescent="0.25">
      <c r="A294" s="1" t="s">
        <v>481</v>
      </c>
      <c r="B294" s="1" t="s">
        <v>484</v>
      </c>
      <c r="C294" s="1" t="s">
        <v>487</v>
      </c>
      <c r="D294" s="6">
        <v>0.94699999999999995</v>
      </c>
      <c r="E294" s="1">
        <v>7.7700000000000005E-2</v>
      </c>
      <c r="F294" s="1">
        <v>42.31</v>
      </c>
      <c r="G294" s="1">
        <v>6.88</v>
      </c>
      <c r="H294" s="1">
        <v>6.84</v>
      </c>
      <c r="I294" s="1">
        <v>21.35</v>
      </c>
      <c r="J294" s="1">
        <v>6.81</v>
      </c>
      <c r="K294" s="9">
        <f t="shared" si="49"/>
        <v>41.88</v>
      </c>
      <c r="L294" s="20">
        <f t="shared" si="44"/>
        <v>0.9898369179862917</v>
      </c>
      <c r="M294" s="14" t="str">
        <f t="shared" si="45"/>
        <v/>
      </c>
      <c r="N294" s="7">
        <f t="shared" si="50"/>
        <v>4129.0133697667616</v>
      </c>
      <c r="O294" s="7">
        <f t="shared" si="51"/>
        <v>671.41602420220556</v>
      </c>
      <c r="P294" s="7">
        <f t="shared" si="52"/>
        <v>667.51244266614617</v>
      </c>
      <c r="Q294" s="1">
        <f t="shared" si="53"/>
        <v>2083.53664487167</v>
      </c>
      <c r="R294" s="1">
        <f t="shared" si="54"/>
        <v>664.58475651410163</v>
      </c>
      <c r="S294" s="14">
        <f t="shared" si="46"/>
        <v>4087.0498682541233</v>
      </c>
      <c r="T294" s="10">
        <f t="shared" si="47"/>
        <v>1.0163082013708436E-2</v>
      </c>
      <c r="U294" s="14" t="str">
        <f t="shared" si="48"/>
        <v/>
      </c>
    </row>
    <row r="295" spans="1:21" s="1" customFormat="1" hidden="1" x14ac:dyDescent="0.25">
      <c r="A295" s="1" t="s">
        <v>481</v>
      </c>
      <c r="B295" s="1" t="s">
        <v>488</v>
      </c>
      <c r="C295" s="1" t="s">
        <v>489</v>
      </c>
      <c r="D295" s="6">
        <v>0.24210000000000001</v>
      </c>
      <c r="E295" s="1">
        <v>0.1022</v>
      </c>
      <c r="F295" s="1">
        <v>121.92</v>
      </c>
      <c r="G295" s="1">
        <v>11.52</v>
      </c>
      <c r="H295" s="1">
        <v>11.47</v>
      </c>
      <c r="I295" s="1">
        <v>86.04</v>
      </c>
      <c r="J295" s="1">
        <v>11.47</v>
      </c>
      <c r="K295" s="9">
        <f t="shared" si="49"/>
        <v>120.5</v>
      </c>
      <c r="L295" s="20">
        <f t="shared" si="44"/>
        <v>0.9883530183727034</v>
      </c>
      <c r="M295" s="14" t="str">
        <f t="shared" si="45"/>
        <v/>
      </c>
      <c r="N295" s="7">
        <f t="shared" si="50"/>
        <v>35410.978797560267</v>
      </c>
      <c r="O295" s="7">
        <f t="shared" si="51"/>
        <v>3345.9192564623877</v>
      </c>
      <c r="P295" s="7">
        <f t="shared" si="52"/>
        <v>3331.3970374673254</v>
      </c>
      <c r="Q295" s="1">
        <f t="shared" si="53"/>
        <v>24989.834446703459</v>
      </c>
      <c r="R295" s="1">
        <f t="shared" si="54"/>
        <v>3331.3970374673254</v>
      </c>
      <c r="S295" s="14">
        <f t="shared" si="46"/>
        <v>34998.547778100496</v>
      </c>
      <c r="T295" s="10">
        <f t="shared" si="47"/>
        <v>1.1646981627296521E-2</v>
      </c>
      <c r="U295" s="14" t="str">
        <f t="shared" si="48"/>
        <v/>
      </c>
    </row>
    <row r="296" spans="1:21" s="1" customFormat="1" hidden="1" x14ac:dyDescent="0.25">
      <c r="A296" s="1" t="s">
        <v>490</v>
      </c>
      <c r="B296" s="1" t="s">
        <v>385</v>
      </c>
      <c r="C296" s="1" t="s">
        <v>491</v>
      </c>
      <c r="D296" s="6">
        <v>3.8E-3</v>
      </c>
      <c r="E296" s="1">
        <v>7.17E-2</v>
      </c>
      <c r="F296" s="1">
        <v>17.98</v>
      </c>
      <c r="G296" s="1">
        <v>2.86</v>
      </c>
      <c r="H296" s="1">
        <v>2.87</v>
      </c>
      <c r="I296" s="1">
        <v>10.99</v>
      </c>
      <c r="J296" s="1">
        <v>2.85</v>
      </c>
      <c r="K296" s="9">
        <f t="shared" si="49"/>
        <v>19.57</v>
      </c>
      <c r="L296" s="20">
        <f t="shared" si="44"/>
        <v>1.0884315906562847</v>
      </c>
      <c r="M296" s="14" t="str">
        <f t="shared" si="45"/>
        <v/>
      </c>
      <c r="N296" s="7">
        <f t="shared" si="50"/>
        <v>23814.569536423842</v>
      </c>
      <c r="O296" s="7">
        <f t="shared" si="51"/>
        <v>3788.0794701986752</v>
      </c>
      <c r="P296" s="7">
        <f t="shared" si="52"/>
        <v>3801.324503311258</v>
      </c>
      <c r="Q296" s="1">
        <f t="shared" si="53"/>
        <v>14556.291390728478</v>
      </c>
      <c r="R296" s="1">
        <f t="shared" si="54"/>
        <v>3774.8344370860927</v>
      </c>
      <c r="S296" s="14">
        <f t="shared" si="46"/>
        <v>25920.529801324505</v>
      </c>
      <c r="T296" s="10">
        <f t="shared" si="47"/>
        <v>-8.8431590656284781E-2</v>
      </c>
      <c r="U296" s="14" t="str">
        <f t="shared" si="48"/>
        <v/>
      </c>
    </row>
    <row r="297" spans="1:21" s="1" customFormat="1" hidden="1" x14ac:dyDescent="0.25">
      <c r="A297" s="1" t="s">
        <v>490</v>
      </c>
      <c r="B297" s="1" t="s">
        <v>385</v>
      </c>
      <c r="C297" s="1" t="s">
        <v>492</v>
      </c>
      <c r="D297" s="6">
        <v>5.1000000000000004E-3</v>
      </c>
      <c r="E297" s="1">
        <v>9.3200000000000005E-2</v>
      </c>
      <c r="F297" s="1">
        <v>165.47</v>
      </c>
      <c r="G297" s="1">
        <v>11.2</v>
      </c>
      <c r="H297" s="1">
        <v>11.28</v>
      </c>
      <c r="I297" s="1">
        <v>132.91</v>
      </c>
      <c r="J297" s="1">
        <v>11.23</v>
      </c>
      <c r="K297" s="9">
        <f t="shared" si="49"/>
        <v>166.61999999999998</v>
      </c>
      <c r="L297" s="20">
        <f t="shared" si="44"/>
        <v>1.0069499002840392</v>
      </c>
      <c r="M297" s="14" t="str">
        <f t="shared" si="45"/>
        <v/>
      </c>
      <c r="N297" s="7">
        <f t="shared" si="50"/>
        <v>168331.63784333671</v>
      </c>
      <c r="O297" s="7">
        <f t="shared" si="51"/>
        <v>11393.692777212615</v>
      </c>
      <c r="P297" s="7">
        <f t="shared" si="52"/>
        <v>11475.076297049847</v>
      </c>
      <c r="Q297" s="1">
        <f t="shared" si="53"/>
        <v>135208.54526958292</v>
      </c>
      <c r="R297" s="1">
        <f t="shared" si="54"/>
        <v>11424.211597151578</v>
      </c>
      <c r="S297" s="14">
        <f t="shared" si="46"/>
        <v>169501.52594099697</v>
      </c>
      <c r="T297" s="10">
        <f t="shared" si="47"/>
        <v>-6.9499002840396592E-3</v>
      </c>
      <c r="U297" s="14" t="str">
        <f t="shared" si="48"/>
        <v/>
      </c>
    </row>
    <row r="298" spans="1:21" s="1" customFormat="1" hidden="1" x14ac:dyDescent="0.25">
      <c r="A298" s="1" t="s">
        <v>490</v>
      </c>
      <c r="B298" s="1" t="s">
        <v>236</v>
      </c>
      <c r="C298" s="1" t="s">
        <v>493</v>
      </c>
      <c r="D298" s="6">
        <v>1.9E-3</v>
      </c>
      <c r="E298" s="1">
        <v>0.17069999999999999</v>
      </c>
      <c r="F298" s="1">
        <v>100.66</v>
      </c>
      <c r="G298" s="1">
        <v>5.78</v>
      </c>
      <c r="H298" s="1">
        <v>5.77</v>
      </c>
      <c r="I298" s="19">
        <v>84.33</v>
      </c>
      <c r="J298" s="1">
        <v>5.77</v>
      </c>
      <c r="K298" s="9">
        <f t="shared" si="49"/>
        <v>101.64999999999999</v>
      </c>
      <c r="L298" s="20">
        <f t="shared" si="44"/>
        <v>1.0098350884164513</v>
      </c>
      <c r="M298" s="14" t="str">
        <f t="shared" si="45"/>
        <v/>
      </c>
      <c r="N298" s="7">
        <f t="shared" si="50"/>
        <v>58319.814600231744</v>
      </c>
      <c r="O298" s="7">
        <f t="shared" si="51"/>
        <v>3348.7833140208572</v>
      </c>
      <c r="P298" s="7">
        <f t="shared" si="52"/>
        <v>3342.9895712630355</v>
      </c>
      <c r="Q298" s="1">
        <f t="shared" si="53"/>
        <v>48858.632676709152</v>
      </c>
      <c r="R298" s="1">
        <f t="shared" si="54"/>
        <v>3342.9895712630355</v>
      </c>
      <c r="S298" s="14">
        <f t="shared" si="46"/>
        <v>58893.395133256083</v>
      </c>
      <c r="T298" s="10">
        <f t="shared" si="47"/>
        <v>-9.8350884164515005E-3</v>
      </c>
      <c r="U298" s="14" t="str">
        <f t="shared" si="48"/>
        <v/>
      </c>
    </row>
    <row r="299" spans="1:21" s="1" customFormat="1" hidden="1" x14ac:dyDescent="0.25">
      <c r="A299" s="1" t="s">
        <v>490</v>
      </c>
      <c r="B299" s="1" t="s">
        <v>236</v>
      </c>
      <c r="C299" s="1" t="s">
        <v>494</v>
      </c>
      <c r="D299" s="6">
        <v>3.2000000000000002E-3</v>
      </c>
      <c r="E299" s="1">
        <v>0.2283</v>
      </c>
      <c r="F299" s="1">
        <v>88.21</v>
      </c>
      <c r="G299" s="1">
        <v>7.75</v>
      </c>
      <c r="H299" s="1">
        <v>7.76</v>
      </c>
      <c r="I299" s="19">
        <v>66.27</v>
      </c>
      <c r="J299" s="1">
        <v>7.77</v>
      </c>
      <c r="K299" s="9">
        <f t="shared" si="49"/>
        <v>89.55</v>
      </c>
      <c r="L299" s="20">
        <f t="shared" si="44"/>
        <v>1.0151910214261421</v>
      </c>
      <c r="M299" s="14" t="str">
        <f t="shared" si="45"/>
        <v/>
      </c>
      <c r="N299" s="7">
        <f t="shared" si="50"/>
        <v>38103.671706263493</v>
      </c>
      <c r="O299" s="7">
        <f t="shared" si="51"/>
        <v>3347.7321814254856</v>
      </c>
      <c r="P299" s="7">
        <f t="shared" si="52"/>
        <v>3352.0518358531313</v>
      </c>
      <c r="Q299" s="1">
        <f t="shared" si="53"/>
        <v>28626.349892008635</v>
      </c>
      <c r="R299" s="1">
        <f t="shared" si="54"/>
        <v>3356.3714902807774</v>
      </c>
      <c r="S299" s="14">
        <f t="shared" si="46"/>
        <v>38682.505399568028</v>
      </c>
      <c r="T299" s="10">
        <f t="shared" si="47"/>
        <v>-1.5191021426142166E-2</v>
      </c>
      <c r="U299" s="14" t="str">
        <f t="shared" si="48"/>
        <v/>
      </c>
    </row>
    <row r="300" spans="1:21" s="1" customFormat="1" hidden="1" x14ac:dyDescent="0.25">
      <c r="A300" s="1" t="s">
        <v>490</v>
      </c>
      <c r="B300" s="1" t="s">
        <v>236</v>
      </c>
      <c r="C300" s="1" t="s">
        <v>495</v>
      </c>
      <c r="D300" s="6">
        <v>3.2000000000000002E-3</v>
      </c>
      <c r="E300" s="1">
        <v>0.16320000000000001</v>
      </c>
      <c r="F300" s="1">
        <v>119.28</v>
      </c>
      <c r="G300" s="1">
        <v>5.99</v>
      </c>
      <c r="H300" s="1">
        <v>5.99</v>
      </c>
      <c r="I300" s="1">
        <v>101.89</v>
      </c>
      <c r="J300" s="1">
        <v>6.02</v>
      </c>
      <c r="K300" s="9">
        <f t="shared" si="49"/>
        <v>119.89</v>
      </c>
      <c r="L300" s="20">
        <f t="shared" si="44"/>
        <v>1.0051140174379611</v>
      </c>
      <c r="M300" s="14" t="str">
        <f t="shared" si="45"/>
        <v/>
      </c>
      <c r="N300" s="7">
        <f t="shared" si="50"/>
        <v>71682.692307692298</v>
      </c>
      <c r="O300" s="7">
        <f t="shared" si="51"/>
        <v>3599.7596153846152</v>
      </c>
      <c r="P300" s="7">
        <f t="shared" si="52"/>
        <v>3599.7596153846152</v>
      </c>
      <c r="Q300" s="1">
        <f t="shared" si="53"/>
        <v>61231.971153846142</v>
      </c>
      <c r="R300" s="1">
        <f t="shared" si="54"/>
        <v>3617.7884615384605</v>
      </c>
      <c r="S300" s="14">
        <f t="shared" si="46"/>
        <v>72049.278846153829</v>
      </c>
      <c r="T300" s="10">
        <f t="shared" si="47"/>
        <v>-5.1140174379610071E-3</v>
      </c>
      <c r="U300" s="14" t="str">
        <f t="shared" si="48"/>
        <v/>
      </c>
    </row>
    <row r="301" spans="1:21" s="1" customFormat="1" hidden="1" x14ac:dyDescent="0.25">
      <c r="A301" s="1" t="s">
        <v>496</v>
      </c>
      <c r="B301" s="1" t="s">
        <v>4</v>
      </c>
      <c r="C301" s="1" t="s">
        <v>497</v>
      </c>
      <c r="D301" s="6">
        <v>5.6899999999999999E-2</v>
      </c>
      <c r="E301" s="1">
        <v>0.82350000000000001</v>
      </c>
      <c r="F301" s="1">
        <v>181.96</v>
      </c>
      <c r="G301" s="1">
        <v>46.88</v>
      </c>
      <c r="H301" s="1">
        <v>46.55</v>
      </c>
      <c r="I301" s="1">
        <v>41.55</v>
      </c>
      <c r="J301" s="1">
        <v>46.61</v>
      </c>
      <c r="K301" s="9">
        <f t="shared" si="49"/>
        <v>181.59000000000003</v>
      </c>
      <c r="L301" s="20">
        <f t="shared" si="44"/>
        <v>0.99796658606287114</v>
      </c>
      <c r="M301" s="14" t="str">
        <f t="shared" si="45"/>
        <v/>
      </c>
      <c r="N301" s="7">
        <f t="shared" si="50"/>
        <v>20667.878237164929</v>
      </c>
      <c r="O301" s="7">
        <f t="shared" si="51"/>
        <v>5324.8523398455254</v>
      </c>
      <c r="P301" s="7">
        <f t="shared" si="52"/>
        <v>5287.3693775556567</v>
      </c>
      <c r="Q301" s="1">
        <f t="shared" si="53"/>
        <v>4719.4457064970466</v>
      </c>
      <c r="R301" s="1">
        <f t="shared" si="54"/>
        <v>5294.1844616083599</v>
      </c>
      <c r="S301" s="14">
        <f t="shared" si="46"/>
        <v>20625.851885506589</v>
      </c>
      <c r="T301" s="10">
        <f t="shared" si="47"/>
        <v>2.0334139371291781E-3</v>
      </c>
      <c r="U301" s="14" t="str">
        <f t="shared" si="48"/>
        <v/>
      </c>
    </row>
    <row r="302" spans="1:21" s="1" customFormat="1" hidden="1" x14ac:dyDescent="0.25">
      <c r="A302" s="1" t="s">
        <v>496</v>
      </c>
      <c r="B302" s="1" t="s">
        <v>4</v>
      </c>
      <c r="C302" s="1" t="s">
        <v>498</v>
      </c>
      <c r="D302" s="6">
        <v>6.7100000000000007E-2</v>
      </c>
      <c r="E302" s="1">
        <v>0.2586</v>
      </c>
      <c r="F302" s="1">
        <v>30.99</v>
      </c>
      <c r="G302" s="1">
        <v>10.87</v>
      </c>
      <c r="H302" s="1">
        <v>10.89</v>
      </c>
      <c r="I302" s="1">
        <v>0</v>
      </c>
      <c r="J302" s="1">
        <v>10.77</v>
      </c>
      <c r="K302" s="9">
        <f t="shared" si="49"/>
        <v>32.53</v>
      </c>
      <c r="L302" s="20">
        <f t="shared" si="44"/>
        <v>1.0496934494998387</v>
      </c>
      <c r="M302" s="14" t="str">
        <f t="shared" si="45"/>
        <v/>
      </c>
      <c r="N302" s="7">
        <f t="shared" si="50"/>
        <v>9514.8910039914026</v>
      </c>
      <c r="O302" s="7">
        <f t="shared" si="51"/>
        <v>3337.427080135094</v>
      </c>
      <c r="P302" s="7">
        <f t="shared" si="52"/>
        <v>3343.5677003377341</v>
      </c>
      <c r="Q302" s="1">
        <f t="shared" si="53"/>
        <v>0</v>
      </c>
      <c r="R302" s="1">
        <f t="shared" si="54"/>
        <v>3306.7239791218908</v>
      </c>
      <c r="S302" s="14">
        <f t="shared" si="46"/>
        <v>9987.718759594718</v>
      </c>
      <c r="T302" s="10">
        <f t="shared" si="47"/>
        <v>-4.9693449499838602E-2</v>
      </c>
      <c r="U302" s="14" t="str">
        <f t="shared" si="48"/>
        <v/>
      </c>
    </row>
    <row r="303" spans="1:21" s="1" customFormat="1" hidden="1" x14ac:dyDescent="0.25">
      <c r="A303" s="1" t="s">
        <v>499</v>
      </c>
      <c r="B303" s="1" t="s">
        <v>500</v>
      </c>
      <c r="C303" s="1" t="s">
        <v>501</v>
      </c>
      <c r="D303" s="6">
        <v>1.78E-2</v>
      </c>
      <c r="E303" s="1">
        <v>9.8100000000000007E-2</v>
      </c>
      <c r="F303" s="1">
        <v>18.52</v>
      </c>
      <c r="G303" s="1">
        <v>3.89</v>
      </c>
      <c r="H303" s="1">
        <v>3.86</v>
      </c>
      <c r="I303" s="1">
        <v>5.13</v>
      </c>
      <c r="J303" s="1">
        <v>3.96</v>
      </c>
      <c r="K303" s="9">
        <f t="shared" si="49"/>
        <v>16.84</v>
      </c>
      <c r="L303" s="20">
        <f t="shared" si="44"/>
        <v>0.90928725701943847</v>
      </c>
      <c r="M303" s="14" t="str">
        <f t="shared" si="45"/>
        <v/>
      </c>
      <c r="N303" s="7">
        <f t="shared" si="50"/>
        <v>15979.292493528903</v>
      </c>
      <c r="O303" s="7">
        <f t="shared" si="51"/>
        <v>3356.341673856773</v>
      </c>
      <c r="P303" s="7">
        <f t="shared" si="52"/>
        <v>3330.457290767903</v>
      </c>
      <c r="Q303" s="1">
        <f t="shared" si="53"/>
        <v>4426.2295081967213</v>
      </c>
      <c r="R303" s="1">
        <f t="shared" si="54"/>
        <v>3416.7385677308025</v>
      </c>
      <c r="S303" s="14">
        <f t="shared" si="46"/>
        <v>14529.7670405522</v>
      </c>
      <c r="T303" s="10">
        <f t="shared" si="47"/>
        <v>9.0712742980561464E-2</v>
      </c>
      <c r="U303" s="14" t="str">
        <f t="shared" si="48"/>
        <v/>
      </c>
    </row>
    <row r="304" spans="1:21" s="1" customFormat="1" hidden="1" x14ac:dyDescent="0.25">
      <c r="A304" s="1" t="s">
        <v>499</v>
      </c>
      <c r="B304" s="1" t="s">
        <v>500</v>
      </c>
      <c r="C304" s="1" t="s">
        <v>502</v>
      </c>
      <c r="D304" s="6">
        <v>1.24E-2</v>
      </c>
      <c r="E304" s="1">
        <v>9.3200000000000005E-2</v>
      </c>
      <c r="F304" s="1">
        <v>88.03</v>
      </c>
      <c r="G304" s="1">
        <v>3.71</v>
      </c>
      <c r="H304" s="1">
        <v>3.71</v>
      </c>
      <c r="I304" s="1">
        <v>78.94</v>
      </c>
      <c r="J304" s="1">
        <v>3.85</v>
      </c>
      <c r="K304" s="9">
        <f t="shared" si="49"/>
        <v>90.21</v>
      </c>
      <c r="L304" s="20">
        <f t="shared" si="44"/>
        <v>1.024764284902874</v>
      </c>
      <c r="M304" s="14" t="str">
        <f t="shared" si="45"/>
        <v/>
      </c>
      <c r="N304" s="7">
        <f t="shared" si="50"/>
        <v>83361.742424242431</v>
      </c>
      <c r="O304" s="7">
        <f t="shared" si="51"/>
        <v>3513.257575757576</v>
      </c>
      <c r="P304" s="7">
        <f t="shared" si="52"/>
        <v>3513.257575757576</v>
      </c>
      <c r="Q304" s="1">
        <f t="shared" si="53"/>
        <v>74753.787878787873</v>
      </c>
      <c r="R304" s="1">
        <f t="shared" si="54"/>
        <v>3645.8333333333335</v>
      </c>
      <c r="S304" s="14">
        <f t="shared" si="46"/>
        <v>85426.136363636353</v>
      </c>
      <c r="T304" s="10">
        <f t="shared" si="47"/>
        <v>-2.4764284902873808E-2</v>
      </c>
      <c r="U304" s="14" t="str">
        <f t="shared" si="48"/>
        <v/>
      </c>
    </row>
    <row r="305" spans="1:21" s="1" customFormat="1" hidden="1" x14ac:dyDescent="0.25">
      <c r="A305" s="1" t="s">
        <v>499</v>
      </c>
      <c r="B305" s="1" t="s">
        <v>503</v>
      </c>
      <c r="C305" s="1" t="s">
        <v>504</v>
      </c>
      <c r="D305" s="6">
        <v>2.5899999999999999E-2</v>
      </c>
      <c r="E305" s="1">
        <v>0.1497</v>
      </c>
      <c r="F305" s="19">
        <v>5.19</v>
      </c>
      <c r="G305" s="1">
        <v>2.5499999999999998</v>
      </c>
      <c r="H305" s="1">
        <v>2.41</v>
      </c>
      <c r="I305" s="1">
        <v>0</v>
      </c>
      <c r="J305" s="1">
        <v>0</v>
      </c>
      <c r="K305" s="9">
        <f t="shared" si="49"/>
        <v>4.96</v>
      </c>
      <c r="L305" s="20">
        <f t="shared" si="44"/>
        <v>0.95568400770712902</v>
      </c>
      <c r="M305" s="14" t="str">
        <f t="shared" si="45"/>
        <v/>
      </c>
      <c r="N305" s="7">
        <f t="shared" si="50"/>
        <v>2955.5808656036447</v>
      </c>
      <c r="O305" s="7">
        <f t="shared" si="51"/>
        <v>1452.1640091116171</v>
      </c>
      <c r="P305" s="7">
        <f t="shared" si="52"/>
        <v>1372.4373576309795</v>
      </c>
      <c r="Q305" s="1">
        <f t="shared" si="53"/>
        <v>0</v>
      </c>
      <c r="R305" s="1">
        <f t="shared" si="54"/>
        <v>0</v>
      </c>
      <c r="S305" s="14">
        <f t="shared" si="46"/>
        <v>2824.6013667425968</v>
      </c>
      <c r="T305" s="10">
        <f t="shared" si="47"/>
        <v>4.431599229287092E-2</v>
      </c>
      <c r="U305" s="14" t="str">
        <f t="shared" si="48"/>
        <v/>
      </c>
    </row>
    <row r="306" spans="1:21" s="1" customFormat="1" hidden="1" x14ac:dyDescent="0.25">
      <c r="A306" s="1" t="s">
        <v>499</v>
      </c>
      <c r="B306" s="1" t="s">
        <v>503</v>
      </c>
      <c r="C306" s="1" t="s">
        <v>505</v>
      </c>
      <c r="D306" s="6">
        <v>3.44E-2</v>
      </c>
      <c r="E306" s="1">
        <v>0.17130000000000001</v>
      </c>
      <c r="F306" s="19">
        <v>4.59</v>
      </c>
      <c r="G306" s="1">
        <v>2.2799999999999998</v>
      </c>
      <c r="H306" s="1">
        <v>2.29</v>
      </c>
      <c r="I306" s="1">
        <v>0</v>
      </c>
      <c r="J306" s="1">
        <v>0</v>
      </c>
      <c r="K306" s="9">
        <f t="shared" si="49"/>
        <v>4.57</v>
      </c>
      <c r="L306" s="20">
        <f t="shared" si="44"/>
        <v>0.99564270152505452</v>
      </c>
      <c r="M306" s="14" t="str">
        <f t="shared" si="45"/>
        <v/>
      </c>
      <c r="N306" s="7">
        <f t="shared" si="50"/>
        <v>2231.404958677686</v>
      </c>
      <c r="O306" s="7">
        <f t="shared" si="51"/>
        <v>1108.4103062712688</v>
      </c>
      <c r="P306" s="7">
        <f t="shared" si="52"/>
        <v>1113.2717549829852</v>
      </c>
      <c r="Q306" s="1">
        <f t="shared" si="53"/>
        <v>0</v>
      </c>
      <c r="R306" s="1">
        <f t="shared" si="54"/>
        <v>0</v>
      </c>
      <c r="S306" s="14">
        <f t="shared" si="46"/>
        <v>2221.6820612542542</v>
      </c>
      <c r="T306" s="10">
        <f t="shared" si="47"/>
        <v>4.3572984749453321E-3</v>
      </c>
      <c r="U306" s="14" t="str">
        <f t="shared" si="48"/>
        <v/>
      </c>
    </row>
    <row r="307" spans="1:21" s="1" customFormat="1" hidden="1" x14ac:dyDescent="0.25">
      <c r="A307" s="1" t="s">
        <v>499</v>
      </c>
      <c r="B307" s="1" t="s">
        <v>503</v>
      </c>
      <c r="C307" s="1" t="s">
        <v>506</v>
      </c>
      <c r="D307" s="6">
        <v>3.1199999999999999E-2</v>
      </c>
      <c r="E307" s="1">
        <v>0.13200000000000001</v>
      </c>
      <c r="F307" s="1">
        <v>19.14</v>
      </c>
      <c r="G307" s="1">
        <v>1.71</v>
      </c>
      <c r="H307" s="1">
        <v>1.61</v>
      </c>
      <c r="I307" s="1">
        <v>14.66</v>
      </c>
      <c r="J307" s="1">
        <v>1.74</v>
      </c>
      <c r="K307" s="9">
        <f t="shared" si="49"/>
        <v>19.72</v>
      </c>
      <c r="L307" s="20">
        <f t="shared" si="44"/>
        <v>1.0303030303030303</v>
      </c>
      <c r="M307" s="14" t="str">
        <f t="shared" si="45"/>
        <v/>
      </c>
      <c r="N307" s="7">
        <f t="shared" si="50"/>
        <v>11727.941176470589</v>
      </c>
      <c r="O307" s="7">
        <f t="shared" si="51"/>
        <v>1047.7941176470588</v>
      </c>
      <c r="P307" s="7">
        <f t="shared" si="52"/>
        <v>986.51960784313724</v>
      </c>
      <c r="Q307" s="1">
        <f t="shared" si="53"/>
        <v>8982.8431372549021</v>
      </c>
      <c r="R307" s="1">
        <f t="shared" si="54"/>
        <v>1066.1764705882351</v>
      </c>
      <c r="S307" s="14">
        <f t="shared" si="46"/>
        <v>12083.333333333332</v>
      </c>
      <c r="T307" s="10">
        <f t="shared" si="47"/>
        <v>-3.0303030303030117E-2</v>
      </c>
      <c r="U307" s="14" t="str">
        <f t="shared" si="48"/>
        <v/>
      </c>
    </row>
    <row r="308" spans="1:21" s="1" customFormat="1" hidden="1" x14ac:dyDescent="0.25">
      <c r="A308" s="1" t="s">
        <v>499</v>
      </c>
      <c r="B308" s="1" t="s">
        <v>503</v>
      </c>
      <c r="C308" s="1" t="s">
        <v>507</v>
      </c>
      <c r="D308" s="6">
        <v>2.2200000000000001E-2</v>
      </c>
      <c r="E308" s="1">
        <v>0.15620000000000001</v>
      </c>
      <c r="F308" s="19">
        <v>3.84</v>
      </c>
      <c r="G308" s="1">
        <v>1.86</v>
      </c>
      <c r="H308" s="1">
        <v>1.62</v>
      </c>
      <c r="I308" s="1">
        <v>0</v>
      </c>
      <c r="J308" s="1">
        <v>0</v>
      </c>
      <c r="K308" s="9">
        <f t="shared" si="49"/>
        <v>3.4800000000000004</v>
      </c>
      <c r="L308" s="20">
        <f t="shared" si="44"/>
        <v>0.90625000000000011</v>
      </c>
      <c r="M308" s="14" t="str">
        <f t="shared" si="45"/>
        <v/>
      </c>
      <c r="N308" s="7">
        <f t="shared" si="50"/>
        <v>2152.4663677130043</v>
      </c>
      <c r="O308" s="7">
        <f t="shared" si="51"/>
        <v>1042.6008968609865</v>
      </c>
      <c r="P308" s="7">
        <f t="shared" si="52"/>
        <v>908.07174887892381</v>
      </c>
      <c r="Q308" s="1">
        <f t="shared" si="53"/>
        <v>0</v>
      </c>
      <c r="R308" s="1">
        <f t="shared" si="54"/>
        <v>0</v>
      </c>
      <c r="S308" s="14">
        <f t="shared" si="46"/>
        <v>1950.6726457399104</v>
      </c>
      <c r="T308" s="10">
        <f t="shared" si="47"/>
        <v>9.3749999999999861E-2</v>
      </c>
      <c r="U308" s="14" t="str">
        <f t="shared" si="48"/>
        <v/>
      </c>
    </row>
    <row r="309" spans="1:21" s="1" customFormat="1" hidden="1" x14ac:dyDescent="0.25">
      <c r="A309" s="1" t="s">
        <v>508</v>
      </c>
      <c r="B309" s="1" t="s">
        <v>509</v>
      </c>
      <c r="C309" s="1" t="s">
        <v>510</v>
      </c>
      <c r="D309" s="6">
        <v>5.8872999999999998</v>
      </c>
      <c r="E309" s="1">
        <v>18.775200000000002</v>
      </c>
      <c r="F309" s="1">
        <v>4246.62</v>
      </c>
      <c r="G309" s="1">
        <v>822.54</v>
      </c>
      <c r="H309" s="1">
        <v>822.79</v>
      </c>
      <c r="I309" s="1">
        <v>1834.94</v>
      </c>
      <c r="J309" s="1">
        <v>822.8</v>
      </c>
      <c r="K309" s="9">
        <f t="shared" si="49"/>
        <v>4303.07</v>
      </c>
      <c r="L309" s="20">
        <f t="shared" si="44"/>
        <v>1.0132929247260174</v>
      </c>
      <c r="M309" s="14" t="str">
        <f t="shared" si="45"/>
        <v/>
      </c>
      <c r="N309" s="7">
        <f t="shared" si="50"/>
        <v>17218.93563101875</v>
      </c>
      <c r="O309" s="7">
        <f t="shared" si="51"/>
        <v>3335.184997465788</v>
      </c>
      <c r="P309" s="7">
        <f t="shared" si="52"/>
        <v>3336.1986822098324</v>
      </c>
      <c r="Q309" s="1">
        <f t="shared" si="53"/>
        <v>7440.2027369488078</v>
      </c>
      <c r="R309" s="1">
        <f t="shared" si="54"/>
        <v>3336.2392295995937</v>
      </c>
      <c r="S309" s="14">
        <f t="shared" si="46"/>
        <v>17447.825646224021</v>
      </c>
      <c r="T309" s="10">
        <f t="shared" si="47"/>
        <v>-1.3292924726017343E-2</v>
      </c>
      <c r="U309" s="14" t="str">
        <f t="shared" si="48"/>
        <v/>
      </c>
    </row>
    <row r="310" spans="1:21" s="8" customFormat="1" hidden="1" x14ac:dyDescent="0.25">
      <c r="A310" s="51" t="s">
        <v>511</v>
      </c>
      <c r="B310" s="51" t="s">
        <v>244</v>
      </c>
      <c r="C310" s="51" t="s">
        <v>512</v>
      </c>
      <c r="D310" s="52" t="s">
        <v>581</v>
      </c>
      <c r="E310" s="51"/>
      <c r="F310" s="51"/>
      <c r="G310" s="51"/>
      <c r="H310" s="51"/>
      <c r="I310" s="51"/>
      <c r="J310" s="51"/>
      <c r="K310" s="9">
        <f t="shared" si="49"/>
        <v>0</v>
      </c>
      <c r="L310" s="20" t="e">
        <f t="shared" si="44"/>
        <v>#DIV/0!</v>
      </c>
      <c r="M310" s="14" t="e">
        <f t="shared" si="45"/>
        <v>#DIV/0!</v>
      </c>
      <c r="N310" s="7" t="e">
        <f t="shared" si="50"/>
        <v>#VALUE!</v>
      </c>
      <c r="O310" s="7" t="e">
        <f t="shared" si="51"/>
        <v>#VALUE!</v>
      </c>
      <c r="P310" s="7" t="e">
        <f t="shared" si="52"/>
        <v>#VALUE!</v>
      </c>
      <c r="Q310" s="1" t="e">
        <f t="shared" si="53"/>
        <v>#VALUE!</v>
      </c>
      <c r="R310" s="1" t="e">
        <f t="shared" si="54"/>
        <v>#VALUE!</v>
      </c>
      <c r="S310" s="14" t="e">
        <f t="shared" si="46"/>
        <v>#VALUE!</v>
      </c>
      <c r="T310" s="10" t="e">
        <f t="shared" si="47"/>
        <v>#VALUE!</v>
      </c>
      <c r="U310" s="14" t="e">
        <f t="shared" si="48"/>
        <v>#VALUE!</v>
      </c>
    </row>
    <row r="311" spans="1:21" s="1" customFormat="1" hidden="1" x14ac:dyDescent="0.25">
      <c r="A311" s="1" t="s">
        <v>513</v>
      </c>
      <c r="B311" s="1" t="s">
        <v>514</v>
      </c>
      <c r="C311" s="1" t="s">
        <v>515</v>
      </c>
      <c r="D311" s="6">
        <v>7.3099999999999998E-2</v>
      </c>
      <c r="E311" s="1">
        <v>3.7199999999999997E-2</v>
      </c>
      <c r="F311" s="19">
        <v>6.2011000000000003</v>
      </c>
      <c r="G311" s="1">
        <v>3.06</v>
      </c>
      <c r="H311" s="1">
        <v>3.03</v>
      </c>
      <c r="I311" s="1">
        <v>0</v>
      </c>
      <c r="J311" s="1">
        <v>0</v>
      </c>
      <c r="K311" s="9">
        <f t="shared" si="49"/>
        <v>6.09</v>
      </c>
      <c r="L311" s="20">
        <f t="shared" si="44"/>
        <v>0.98208382383770609</v>
      </c>
      <c r="M311" s="14" t="str">
        <f t="shared" si="45"/>
        <v/>
      </c>
      <c r="N311" s="7">
        <f t="shared" si="50"/>
        <v>5622.0308250226662</v>
      </c>
      <c r="O311" s="7">
        <f t="shared" si="51"/>
        <v>2774.2520398912061</v>
      </c>
      <c r="P311" s="7">
        <f t="shared" si="52"/>
        <v>2747.0534904805077</v>
      </c>
      <c r="Q311" s="1">
        <f t="shared" si="53"/>
        <v>0</v>
      </c>
      <c r="R311" s="1">
        <f t="shared" si="54"/>
        <v>0</v>
      </c>
      <c r="S311" s="14">
        <f t="shared" si="46"/>
        <v>5521.3055303717138</v>
      </c>
      <c r="T311" s="10">
        <f t="shared" si="47"/>
        <v>1.7916176162293882E-2</v>
      </c>
      <c r="U311" s="14" t="str">
        <f t="shared" si="48"/>
        <v/>
      </c>
    </row>
    <row r="312" spans="1:21" s="1" customFormat="1" hidden="1" x14ac:dyDescent="0.25">
      <c r="A312" s="1" t="s">
        <v>513</v>
      </c>
      <c r="B312" s="1" t="s">
        <v>165</v>
      </c>
      <c r="C312" s="1" t="s">
        <v>516</v>
      </c>
      <c r="D312" s="6">
        <v>8.3000000000000001E-3</v>
      </c>
      <c r="E312" s="1">
        <v>9.98E-2</v>
      </c>
      <c r="F312" s="19">
        <v>30.37</v>
      </c>
      <c r="G312" s="1">
        <v>3.74</v>
      </c>
      <c r="H312" s="1">
        <v>3.73</v>
      </c>
      <c r="I312" s="1">
        <v>21.89</v>
      </c>
      <c r="J312" s="1">
        <v>3.74</v>
      </c>
      <c r="K312" s="9">
        <f t="shared" si="49"/>
        <v>33.1</v>
      </c>
      <c r="L312" s="20">
        <f t="shared" si="44"/>
        <v>1.0898913401382944</v>
      </c>
      <c r="M312" s="14" t="str">
        <f t="shared" si="45"/>
        <v/>
      </c>
      <c r="N312" s="7">
        <f t="shared" si="50"/>
        <v>28094.357076780761</v>
      </c>
      <c r="O312" s="7">
        <f t="shared" si="51"/>
        <v>3459.7594819611472</v>
      </c>
      <c r="P312" s="7">
        <f t="shared" si="52"/>
        <v>3450.5087881591116</v>
      </c>
      <c r="Q312" s="1">
        <f t="shared" si="53"/>
        <v>20249.768732654949</v>
      </c>
      <c r="R312" s="1">
        <f t="shared" si="54"/>
        <v>3459.7594819611472</v>
      </c>
      <c r="S312" s="14">
        <f t="shared" si="46"/>
        <v>30619.796484736355</v>
      </c>
      <c r="T312" s="10">
        <f t="shared" si="47"/>
        <v>-8.9891340138294237E-2</v>
      </c>
      <c r="U312" s="14" t="str">
        <f t="shared" si="48"/>
        <v/>
      </c>
    </row>
    <row r="313" spans="1:21" s="1" customFormat="1" hidden="1" x14ac:dyDescent="0.25">
      <c r="A313" s="1" t="s">
        <v>513</v>
      </c>
      <c r="B313" s="1" t="s">
        <v>165</v>
      </c>
      <c r="C313" s="1" t="s">
        <v>517</v>
      </c>
      <c r="D313" s="6">
        <v>1.01E-2</v>
      </c>
      <c r="E313" s="1">
        <v>5.1000000000000004E-3</v>
      </c>
      <c r="F313" s="1">
        <v>8.2688000000000006</v>
      </c>
      <c r="G313" s="1">
        <v>0.74</v>
      </c>
      <c r="H313" s="1">
        <v>0.75</v>
      </c>
      <c r="I313" s="1">
        <v>5.98</v>
      </c>
      <c r="J313" s="1">
        <v>0.73</v>
      </c>
      <c r="K313" s="9">
        <f t="shared" si="49"/>
        <v>8.2000000000000011</v>
      </c>
      <c r="L313" s="20">
        <f t="shared" si="44"/>
        <v>0.99167956656346756</v>
      </c>
      <c r="M313" s="14" t="str">
        <f t="shared" si="45"/>
        <v/>
      </c>
      <c r="N313" s="7">
        <f t="shared" si="50"/>
        <v>54400</v>
      </c>
      <c r="O313" s="7">
        <f t="shared" si="51"/>
        <v>4868.4210526315792</v>
      </c>
      <c r="P313" s="7">
        <f t="shared" si="52"/>
        <v>4934.21052631579</v>
      </c>
      <c r="Q313" s="1">
        <f t="shared" si="53"/>
        <v>39342.105263157893</v>
      </c>
      <c r="R313" s="1">
        <f t="shared" si="54"/>
        <v>4802.6315789473683</v>
      </c>
      <c r="S313" s="14">
        <f t="shared" si="46"/>
        <v>53947.368421052633</v>
      </c>
      <c r="T313" s="10">
        <f t="shared" si="47"/>
        <v>8.320433436532472E-3</v>
      </c>
      <c r="U313" s="14" t="str">
        <f t="shared" si="48"/>
        <v/>
      </c>
    </row>
    <row r="314" spans="1:21" s="1" customFormat="1" hidden="1" x14ac:dyDescent="0.25">
      <c r="A314" s="1" t="s">
        <v>513</v>
      </c>
      <c r="B314" s="1" t="s">
        <v>518</v>
      </c>
      <c r="C314" s="1" t="s">
        <v>519</v>
      </c>
      <c r="D314" s="6">
        <v>8.2000000000000007E-3</v>
      </c>
      <c r="E314" s="1">
        <v>6.7100000000000007E-2</v>
      </c>
      <c r="F314" s="1">
        <v>8.5391999999999992</v>
      </c>
      <c r="G314" s="1">
        <v>2.52</v>
      </c>
      <c r="H314" s="1">
        <v>2.52</v>
      </c>
      <c r="I314" s="1">
        <v>0.91</v>
      </c>
      <c r="J314" s="1">
        <v>2.5299999999999998</v>
      </c>
      <c r="K314" s="9">
        <f t="shared" si="49"/>
        <v>8.48</v>
      </c>
      <c r="L314" s="20">
        <f t="shared" si="44"/>
        <v>0.99306726625445019</v>
      </c>
      <c r="M314" s="14" t="str">
        <f t="shared" si="45"/>
        <v/>
      </c>
      <c r="N314" s="7">
        <f t="shared" si="50"/>
        <v>11340.2390438247</v>
      </c>
      <c r="O314" s="7">
        <f t="shared" si="51"/>
        <v>3346.6135458167328</v>
      </c>
      <c r="P314" s="7">
        <f t="shared" si="52"/>
        <v>3346.6135458167328</v>
      </c>
      <c r="Q314" s="1">
        <f t="shared" si="53"/>
        <v>1208.4993359893758</v>
      </c>
      <c r="R314" s="1">
        <f t="shared" si="54"/>
        <v>3359.8937583001325</v>
      </c>
      <c r="S314" s="14">
        <f t="shared" si="46"/>
        <v>11261.620185922973</v>
      </c>
      <c r="T314" s="10">
        <f t="shared" si="47"/>
        <v>6.9327337455499941E-3</v>
      </c>
      <c r="U314" s="14" t="str">
        <f t="shared" si="48"/>
        <v/>
      </c>
    </row>
    <row r="315" spans="1:21" s="1" customFormat="1" hidden="1" x14ac:dyDescent="0.25">
      <c r="A315" s="1" t="s">
        <v>520</v>
      </c>
      <c r="B315" s="1" t="s">
        <v>521</v>
      </c>
      <c r="C315" s="1" t="s">
        <v>522</v>
      </c>
      <c r="D315" s="6">
        <v>9.2299999999999993E-2</v>
      </c>
      <c r="E315" s="1">
        <v>0.1201</v>
      </c>
      <c r="F315" s="1">
        <v>297.02999999999997</v>
      </c>
      <c r="G315" s="1">
        <v>14.72</v>
      </c>
      <c r="H315" s="1">
        <v>14.68</v>
      </c>
      <c r="I315" s="19">
        <v>276.38</v>
      </c>
      <c r="J315" s="1">
        <v>14.73</v>
      </c>
      <c r="K315" s="9">
        <f t="shared" si="49"/>
        <v>320.51</v>
      </c>
      <c r="L315" s="20">
        <f t="shared" si="44"/>
        <v>1.0790492542840791</v>
      </c>
      <c r="M315" s="14" t="str">
        <f t="shared" si="45"/>
        <v/>
      </c>
      <c r="N315" s="7">
        <f t="shared" si="50"/>
        <v>139844.6327683616</v>
      </c>
      <c r="O315" s="7">
        <f t="shared" si="51"/>
        <v>6930.3201506591349</v>
      </c>
      <c r="P315" s="7">
        <f t="shared" si="52"/>
        <v>6911.4877589453872</v>
      </c>
      <c r="Q315" s="1">
        <f t="shared" si="53"/>
        <v>130122.41054613938</v>
      </c>
      <c r="R315" s="1">
        <f t="shared" si="54"/>
        <v>6935.0282485875705</v>
      </c>
      <c r="S315" s="14">
        <f t="shared" si="46"/>
        <v>150899.24670433145</v>
      </c>
      <c r="T315" s="10">
        <f t="shared" si="47"/>
        <v>-7.9049254284078968E-2</v>
      </c>
      <c r="U315" s="14" t="str">
        <f t="shared" si="48"/>
        <v/>
      </c>
    </row>
    <row r="316" spans="1:21" s="1" customFormat="1" hidden="1" x14ac:dyDescent="0.25">
      <c r="A316" s="1" t="s">
        <v>520</v>
      </c>
      <c r="B316" s="1" t="s">
        <v>521</v>
      </c>
      <c r="C316" s="1" t="s">
        <v>523</v>
      </c>
      <c r="D316" s="6">
        <v>0.72199999999999998</v>
      </c>
      <c r="E316" s="1">
        <v>0.1048</v>
      </c>
      <c r="F316" s="1">
        <v>118.33</v>
      </c>
      <c r="G316" s="1">
        <v>27.56</v>
      </c>
      <c r="H316" s="1">
        <v>27.58</v>
      </c>
      <c r="I316" s="19">
        <v>33.520000000000003</v>
      </c>
      <c r="J316" s="1">
        <v>27.54</v>
      </c>
      <c r="K316" s="9">
        <f t="shared" si="49"/>
        <v>116.19999999999999</v>
      </c>
      <c r="L316" s="20">
        <f t="shared" si="44"/>
        <v>0.98199949294346311</v>
      </c>
      <c r="M316" s="14" t="str">
        <f t="shared" si="45"/>
        <v/>
      </c>
      <c r="N316" s="7">
        <f t="shared" si="50"/>
        <v>14311.804547653606</v>
      </c>
      <c r="O316" s="7">
        <f t="shared" si="51"/>
        <v>3333.3333333333335</v>
      </c>
      <c r="P316" s="7">
        <f t="shared" si="52"/>
        <v>3335.752298016449</v>
      </c>
      <c r="Q316" s="1">
        <f t="shared" si="53"/>
        <v>4054.1848089017903</v>
      </c>
      <c r="R316" s="1">
        <f t="shared" si="54"/>
        <v>3330.9143686502175</v>
      </c>
      <c r="S316" s="14">
        <f t="shared" si="46"/>
        <v>14054.184808901791</v>
      </c>
      <c r="T316" s="10">
        <f t="shared" si="47"/>
        <v>1.8000507056536857E-2</v>
      </c>
      <c r="U316" s="14" t="str">
        <f t="shared" si="48"/>
        <v/>
      </c>
    </row>
    <row r="317" spans="1:21" s="1" customFormat="1" hidden="1" x14ac:dyDescent="0.25">
      <c r="A317" s="1" t="s">
        <v>524</v>
      </c>
      <c r="B317" s="1" t="s">
        <v>4</v>
      </c>
      <c r="C317" s="1" t="s">
        <v>525</v>
      </c>
      <c r="D317" s="6">
        <v>8.09E-2</v>
      </c>
      <c r="E317" s="1">
        <v>0.50670000000000004</v>
      </c>
      <c r="F317" s="1">
        <v>171</v>
      </c>
      <c r="G317" s="1">
        <v>19.600000000000001</v>
      </c>
      <c r="H317" s="1">
        <v>19.579999999999998</v>
      </c>
      <c r="I317" s="19">
        <v>111.44</v>
      </c>
      <c r="J317" s="1">
        <v>19.579999999999998</v>
      </c>
      <c r="K317" s="9">
        <f t="shared" si="49"/>
        <v>170.2</v>
      </c>
      <c r="L317" s="20">
        <f t="shared" si="44"/>
        <v>0.9953216374269005</v>
      </c>
      <c r="M317" s="14" t="str">
        <f t="shared" si="45"/>
        <v/>
      </c>
      <c r="N317" s="7">
        <f t="shared" si="50"/>
        <v>29101.429543907419</v>
      </c>
      <c r="O317" s="7">
        <f t="shared" si="51"/>
        <v>3335.6024506466988</v>
      </c>
      <c r="P317" s="7">
        <f t="shared" si="52"/>
        <v>3332.1987746766504</v>
      </c>
      <c r="Q317" s="1">
        <f t="shared" si="53"/>
        <v>18965.282505105515</v>
      </c>
      <c r="R317" s="1">
        <f t="shared" si="54"/>
        <v>3332.1987746766504</v>
      </c>
      <c r="S317" s="14">
        <f t="shared" si="46"/>
        <v>28965.282505105515</v>
      </c>
      <c r="T317" s="10">
        <f t="shared" si="47"/>
        <v>4.6783625730993537E-3</v>
      </c>
      <c r="U317" s="14" t="str">
        <f t="shared" si="48"/>
        <v/>
      </c>
    </row>
    <row r="318" spans="1:21" s="1" customFormat="1" hidden="1" x14ac:dyDescent="0.25">
      <c r="A318" s="1" t="s">
        <v>524</v>
      </c>
      <c r="B318" s="1" t="s">
        <v>4</v>
      </c>
      <c r="C318" s="1" t="s">
        <v>526</v>
      </c>
      <c r="D318" s="6">
        <v>7.9799999999999996E-2</v>
      </c>
      <c r="E318" s="1">
        <v>0.35820000000000002</v>
      </c>
      <c r="F318" s="1">
        <v>25.247199999999999</v>
      </c>
      <c r="G318" s="1">
        <v>12.53</v>
      </c>
      <c r="H318" s="1">
        <v>12.58</v>
      </c>
      <c r="I318" s="19">
        <v>0</v>
      </c>
      <c r="J318" s="1">
        <v>0</v>
      </c>
      <c r="K318" s="9">
        <f t="shared" si="49"/>
        <v>25.11</v>
      </c>
      <c r="L318" s="20">
        <f t="shared" si="44"/>
        <v>0.99456573402199056</v>
      </c>
      <c r="M318" s="14" t="str">
        <f t="shared" si="45"/>
        <v/>
      </c>
      <c r="N318" s="7">
        <f t="shared" si="50"/>
        <v>5764.2009132420089</v>
      </c>
      <c r="O318" s="7">
        <f t="shared" si="51"/>
        <v>2860.7305936073058</v>
      </c>
      <c r="P318" s="7">
        <f t="shared" si="52"/>
        <v>2872.1461187214613</v>
      </c>
      <c r="Q318" s="1">
        <f t="shared" si="53"/>
        <v>0</v>
      </c>
      <c r="R318" s="1">
        <f t="shared" si="54"/>
        <v>0</v>
      </c>
      <c r="S318" s="14">
        <f t="shared" si="46"/>
        <v>5732.8767123287671</v>
      </c>
      <c r="T318" s="10">
        <f t="shared" si="47"/>
        <v>5.4342659780094137E-3</v>
      </c>
      <c r="U318" s="14" t="str">
        <f t="shared" si="48"/>
        <v/>
      </c>
    </row>
    <row r="319" spans="1:21" s="1" customFormat="1" hidden="1" x14ac:dyDescent="0.25">
      <c r="A319" s="1" t="s">
        <v>527</v>
      </c>
      <c r="B319" s="1" t="s">
        <v>528</v>
      </c>
      <c r="C319" s="1" t="s">
        <v>529</v>
      </c>
      <c r="D319" s="6">
        <v>7.4287999999999998</v>
      </c>
      <c r="E319" s="1">
        <v>0</v>
      </c>
      <c r="F319" s="1">
        <v>714.3</v>
      </c>
      <c r="G319" s="1">
        <v>234.85</v>
      </c>
      <c r="H319" s="1">
        <v>243.7</v>
      </c>
      <c r="I319" s="1">
        <v>0</v>
      </c>
      <c r="J319" s="1">
        <v>234.68</v>
      </c>
      <c r="K319" s="9">
        <f t="shared" si="49"/>
        <v>713.23</v>
      </c>
      <c r="L319" s="20">
        <f t="shared" si="44"/>
        <v>0.99850202995940085</v>
      </c>
      <c r="M319" s="14" t="str">
        <f t="shared" si="45"/>
        <v/>
      </c>
      <c r="N319" s="7">
        <f t="shared" si="50"/>
        <v>9615.2810682748222</v>
      </c>
      <c r="O319" s="7">
        <f t="shared" si="51"/>
        <v>3161.3450355373679</v>
      </c>
      <c r="P319" s="7">
        <f t="shared" si="52"/>
        <v>3280.4759853542969</v>
      </c>
      <c r="Q319" s="1">
        <f t="shared" si="53"/>
        <v>0</v>
      </c>
      <c r="R319" s="1">
        <f t="shared" si="54"/>
        <v>3159.0566444109413</v>
      </c>
      <c r="S319" s="14">
        <f t="shared" si="46"/>
        <v>9600.8776653026052</v>
      </c>
      <c r="T319" s="10">
        <f t="shared" si="47"/>
        <v>1.497970040599268E-3</v>
      </c>
      <c r="U319" s="14" t="str">
        <f t="shared" si="48"/>
        <v/>
      </c>
    </row>
    <row r="320" spans="1:21" s="1" customFormat="1" hidden="1" x14ac:dyDescent="0.25">
      <c r="A320" s="1" t="s">
        <v>530</v>
      </c>
      <c r="B320" s="1" t="s">
        <v>218</v>
      </c>
      <c r="C320" s="1" t="s">
        <v>531</v>
      </c>
      <c r="D320" s="6">
        <v>7.4287999999999998</v>
      </c>
      <c r="E320" s="1">
        <v>4.1464999999999996</v>
      </c>
      <c r="F320" s="1">
        <v>213.18</v>
      </c>
      <c r="G320" s="1">
        <v>107.03</v>
      </c>
      <c r="H320" s="1">
        <v>107.04</v>
      </c>
      <c r="I320" s="1">
        <v>0</v>
      </c>
      <c r="J320" s="1">
        <v>0</v>
      </c>
      <c r="K320" s="9">
        <f t="shared" si="49"/>
        <v>214.07</v>
      </c>
      <c r="L320" s="20">
        <f t="shared" ref="L320:L354" si="55">K320/F320</f>
        <v>1.0041748756919036</v>
      </c>
      <c r="M320" s="14" t="str">
        <f t="shared" ref="M320:M354" si="56">IF(ABS(L320-1)&gt;0.1,1,"")</f>
        <v/>
      </c>
      <c r="N320" s="7">
        <f t="shared" si="50"/>
        <v>1841.680129240711</v>
      </c>
      <c r="O320" s="7">
        <f t="shared" si="51"/>
        <v>924.64126199752934</v>
      </c>
      <c r="P320" s="7">
        <f t="shared" si="52"/>
        <v>924.72765284701063</v>
      </c>
      <c r="Q320" s="1">
        <f t="shared" si="53"/>
        <v>0</v>
      </c>
      <c r="R320" s="1">
        <f t="shared" si="54"/>
        <v>0</v>
      </c>
      <c r="S320" s="14">
        <f t="shared" ref="S320:S354" si="57">SUM(O320:R320)</f>
        <v>1849.3689148445401</v>
      </c>
      <c r="T320" s="10">
        <f t="shared" ref="T320:T354" si="58">(N320-S320)/N320</f>
        <v>-4.1748756919036661E-3</v>
      </c>
      <c r="U320" s="14" t="str">
        <f t="shared" ref="U320:U354" si="59">IF(T320&gt;0.1,1,IF(T320&lt;-0.1,-1,""))</f>
        <v/>
      </c>
    </row>
    <row r="321" spans="1:21" s="1" customFormat="1" hidden="1" x14ac:dyDescent="0.25">
      <c r="A321" s="1" t="s">
        <v>532</v>
      </c>
      <c r="B321" s="1" t="s">
        <v>288</v>
      </c>
      <c r="C321" s="1" t="s">
        <v>533</v>
      </c>
      <c r="D321" s="6">
        <v>2.4E-2</v>
      </c>
      <c r="E321" s="1">
        <v>9.2100000000000001E-2</v>
      </c>
      <c r="F321" s="1">
        <v>281.64999999999998</v>
      </c>
      <c r="G321" s="1">
        <v>10.72</v>
      </c>
      <c r="H321" s="1">
        <v>14.76</v>
      </c>
      <c r="I321" s="1">
        <v>235.08</v>
      </c>
      <c r="J321" s="1">
        <v>13.96</v>
      </c>
      <c r="K321" s="9">
        <f t="shared" si="49"/>
        <v>274.52</v>
      </c>
      <c r="L321" s="20">
        <f t="shared" si="55"/>
        <v>0.97468489259719515</v>
      </c>
      <c r="M321" s="14" t="str">
        <f t="shared" si="56"/>
        <v/>
      </c>
      <c r="N321" s="7">
        <f t="shared" si="50"/>
        <v>242592.59259259255</v>
      </c>
      <c r="O321" s="7">
        <f t="shared" si="51"/>
        <v>9233.4194659776058</v>
      </c>
      <c r="P321" s="7">
        <f t="shared" si="52"/>
        <v>12713.178294573641</v>
      </c>
      <c r="Q321" s="1">
        <f t="shared" si="53"/>
        <v>202480.62015503878</v>
      </c>
      <c r="R321" s="1">
        <f t="shared" si="54"/>
        <v>12024.117140396211</v>
      </c>
      <c r="S321" s="14">
        <f t="shared" si="57"/>
        <v>236451.33505598624</v>
      </c>
      <c r="T321" s="10">
        <f t="shared" si="58"/>
        <v>2.531510740280464E-2</v>
      </c>
      <c r="U321" s="14" t="str">
        <f t="shared" si="59"/>
        <v/>
      </c>
    </row>
    <row r="322" spans="1:21" s="1" customFormat="1" hidden="1" x14ac:dyDescent="0.25">
      <c r="A322" s="1" t="s">
        <v>532</v>
      </c>
      <c r="B322" s="1" t="s">
        <v>288</v>
      </c>
      <c r="C322" s="1" t="s">
        <v>534</v>
      </c>
      <c r="D322" s="6">
        <v>2.58E-2</v>
      </c>
      <c r="E322" s="1">
        <v>5.4600000000000003E-2</v>
      </c>
      <c r="F322" s="1">
        <v>286.27</v>
      </c>
      <c r="G322" s="1">
        <v>10.54</v>
      </c>
      <c r="H322" s="1">
        <v>7.86</v>
      </c>
      <c r="I322" s="1">
        <v>253.06</v>
      </c>
      <c r="J322" s="1">
        <v>10.82</v>
      </c>
      <c r="K322" s="9">
        <f t="shared" ref="K322:K354" si="60">SUM(G322:J322)</f>
        <v>282.27999999999997</v>
      </c>
      <c r="L322" s="20">
        <f t="shared" si="55"/>
        <v>0.98606210919761061</v>
      </c>
      <c r="M322" s="14" t="str">
        <f t="shared" si="56"/>
        <v/>
      </c>
      <c r="N322" s="7">
        <f t="shared" ref="N322:N354" si="61">(F322/(D322+E322))*100</f>
        <v>356057.21393034823</v>
      </c>
      <c r="O322" s="7">
        <f t="shared" ref="O322:O354" si="62">(G322/(D322+E322))*100</f>
        <v>13109.452736318406</v>
      </c>
      <c r="P322" s="7">
        <f t="shared" ref="P322:P354" si="63">(H322/(D322+E322))*100</f>
        <v>9776.1194029850758</v>
      </c>
      <c r="Q322" s="1">
        <f t="shared" ref="Q322:Q354" si="64">(I322/(D322+E322))*100</f>
        <v>314751.24378109456</v>
      </c>
      <c r="R322" s="1">
        <f t="shared" ref="R322:R354" si="65">(J322/(D322+E322))*100</f>
        <v>13457.711442786069</v>
      </c>
      <c r="S322" s="14">
        <f t="shared" si="57"/>
        <v>351094.52736318414</v>
      </c>
      <c r="T322" s="10">
        <f t="shared" si="58"/>
        <v>1.3937890802389089E-2</v>
      </c>
      <c r="U322" s="14" t="str">
        <f t="shared" si="59"/>
        <v/>
      </c>
    </row>
    <row r="323" spans="1:21" s="1" customFormat="1" hidden="1" x14ac:dyDescent="0.25">
      <c r="A323" s="1" t="s">
        <v>532</v>
      </c>
      <c r="B323" s="1" t="s">
        <v>288</v>
      </c>
      <c r="C323" s="1" t="s">
        <v>535</v>
      </c>
      <c r="D323" s="6">
        <v>1.7999999999999999E-2</v>
      </c>
      <c r="E323" s="1">
        <v>2.3300000000000001E-2</v>
      </c>
      <c r="F323" s="1">
        <v>278.39</v>
      </c>
      <c r="G323" s="1">
        <v>9.85</v>
      </c>
      <c r="H323" s="1">
        <v>9.9499999999999993</v>
      </c>
      <c r="I323" s="1">
        <v>231.66</v>
      </c>
      <c r="J323" s="1">
        <v>11.66</v>
      </c>
      <c r="K323" s="9">
        <f t="shared" si="60"/>
        <v>263.12</v>
      </c>
      <c r="L323" s="20">
        <f t="shared" si="55"/>
        <v>0.94514889184237949</v>
      </c>
      <c r="M323" s="14" t="str">
        <f t="shared" si="56"/>
        <v/>
      </c>
      <c r="N323" s="7">
        <f t="shared" si="61"/>
        <v>674067.79661016946</v>
      </c>
      <c r="O323" s="7">
        <f t="shared" si="62"/>
        <v>23849.878934624696</v>
      </c>
      <c r="P323" s="7">
        <f t="shared" si="63"/>
        <v>24092.009685230023</v>
      </c>
      <c r="Q323" s="1">
        <f t="shared" si="64"/>
        <v>560920.09685230022</v>
      </c>
      <c r="R323" s="1">
        <f t="shared" si="65"/>
        <v>28232.44552058111</v>
      </c>
      <c r="S323" s="14">
        <f t="shared" si="57"/>
        <v>637094.43099273602</v>
      </c>
      <c r="T323" s="10">
        <f t="shared" si="58"/>
        <v>5.4851108157620655E-2</v>
      </c>
      <c r="U323" s="14" t="str">
        <f t="shared" si="59"/>
        <v/>
      </c>
    </row>
    <row r="324" spans="1:21" s="1" customFormat="1" hidden="1" x14ac:dyDescent="0.25">
      <c r="A324" s="1" t="s">
        <v>532</v>
      </c>
      <c r="B324" s="1" t="s">
        <v>288</v>
      </c>
      <c r="C324" s="1" t="s">
        <v>536</v>
      </c>
      <c r="D324" s="6">
        <v>1.12E-2</v>
      </c>
      <c r="E324" s="1">
        <v>3.9600000000000003E-2</v>
      </c>
      <c r="F324" s="1">
        <v>254.56</v>
      </c>
      <c r="G324" s="1">
        <v>10.91</v>
      </c>
      <c r="H324" s="1">
        <v>11.1</v>
      </c>
      <c r="I324" s="1">
        <v>205.56</v>
      </c>
      <c r="J324" s="1">
        <v>9.8000000000000007</v>
      </c>
      <c r="K324" s="9">
        <f t="shared" si="60"/>
        <v>237.37</v>
      </c>
      <c r="L324" s="20">
        <f t="shared" si="55"/>
        <v>0.93247171590194844</v>
      </c>
      <c r="M324" s="14" t="str">
        <f t="shared" si="56"/>
        <v/>
      </c>
      <c r="N324" s="7">
        <f t="shared" si="61"/>
        <v>501102.36220472434</v>
      </c>
      <c r="O324" s="7">
        <f t="shared" si="62"/>
        <v>21476.377952755902</v>
      </c>
      <c r="P324" s="7">
        <f t="shared" si="63"/>
        <v>21850.393700787397</v>
      </c>
      <c r="Q324" s="1">
        <f t="shared" si="64"/>
        <v>404645.66929133853</v>
      </c>
      <c r="R324" s="1">
        <f t="shared" si="65"/>
        <v>19291.338582677163</v>
      </c>
      <c r="S324" s="14">
        <f t="shared" si="57"/>
        <v>467263.779527559</v>
      </c>
      <c r="T324" s="10">
        <f t="shared" si="58"/>
        <v>6.7528284098051519E-2</v>
      </c>
      <c r="U324" s="14" t="str">
        <f t="shared" si="59"/>
        <v/>
      </c>
    </row>
    <row r="325" spans="1:21" s="1" customFormat="1" hidden="1" x14ac:dyDescent="0.25">
      <c r="A325" s="1" t="s">
        <v>532</v>
      </c>
      <c r="B325" s="1" t="s">
        <v>288</v>
      </c>
      <c r="C325" s="1" t="s">
        <v>537</v>
      </c>
      <c r="D325" s="6">
        <v>1.9400000000000001E-2</v>
      </c>
      <c r="E325" s="1">
        <v>1.8800000000000001E-2</v>
      </c>
      <c r="F325" s="1">
        <v>485.46</v>
      </c>
      <c r="G325" s="1">
        <v>11.86</v>
      </c>
      <c r="H325" s="1">
        <v>9.89</v>
      </c>
      <c r="I325" s="1">
        <v>436.92</v>
      </c>
      <c r="J325" s="1">
        <v>12.44</v>
      </c>
      <c r="K325" s="9">
        <f t="shared" si="60"/>
        <v>471.11</v>
      </c>
      <c r="L325" s="20">
        <f t="shared" si="55"/>
        <v>0.97044040703662515</v>
      </c>
      <c r="M325" s="14" t="str">
        <f t="shared" si="56"/>
        <v/>
      </c>
      <c r="N325" s="7">
        <f t="shared" si="61"/>
        <v>1270837.6963350784</v>
      </c>
      <c r="O325" s="7">
        <f t="shared" si="62"/>
        <v>31047.120418848168</v>
      </c>
      <c r="P325" s="7">
        <f t="shared" si="63"/>
        <v>25890.052356020948</v>
      </c>
      <c r="Q325" s="1">
        <f t="shared" si="64"/>
        <v>1143769.6335078536</v>
      </c>
      <c r="R325" s="1">
        <f t="shared" si="65"/>
        <v>32565.445026178008</v>
      </c>
      <c r="S325" s="14">
        <f t="shared" si="57"/>
        <v>1233272.2513089005</v>
      </c>
      <c r="T325" s="10">
        <f t="shared" si="58"/>
        <v>2.9559592963374869E-2</v>
      </c>
      <c r="U325" s="14" t="str">
        <f t="shared" si="59"/>
        <v/>
      </c>
    </row>
    <row r="326" spans="1:21" s="1" customFormat="1" hidden="1" x14ac:dyDescent="0.25">
      <c r="A326" s="1" t="s">
        <v>532</v>
      </c>
      <c r="B326" s="1" t="s">
        <v>288</v>
      </c>
      <c r="C326" s="1" t="s">
        <v>538</v>
      </c>
      <c r="D326" s="6">
        <v>2.6100000000000002E-2</v>
      </c>
      <c r="E326" s="1">
        <v>6.9900000000000004E-2</v>
      </c>
      <c r="F326" s="1">
        <v>398.79</v>
      </c>
      <c r="G326" s="1">
        <v>12</v>
      </c>
      <c r="H326" s="1">
        <v>15.11</v>
      </c>
      <c r="I326" s="1">
        <v>349.17</v>
      </c>
      <c r="J326" s="1">
        <v>13.05</v>
      </c>
      <c r="K326" s="9">
        <f t="shared" si="60"/>
        <v>389.33000000000004</v>
      </c>
      <c r="L326" s="20">
        <f t="shared" si="55"/>
        <v>0.97627824168108535</v>
      </c>
      <c r="M326" s="14" t="str">
        <f t="shared" si="56"/>
        <v/>
      </c>
      <c r="N326" s="7">
        <f t="shared" si="61"/>
        <v>415406.25</v>
      </c>
      <c r="O326" s="7">
        <f t="shared" si="62"/>
        <v>12500</v>
      </c>
      <c r="P326" s="7">
        <f t="shared" si="63"/>
        <v>15739.583333333332</v>
      </c>
      <c r="Q326" s="1">
        <f t="shared" si="64"/>
        <v>363718.75</v>
      </c>
      <c r="R326" s="1">
        <f t="shared" si="65"/>
        <v>13593.75</v>
      </c>
      <c r="S326" s="14">
        <f t="shared" si="57"/>
        <v>405552.08333333331</v>
      </c>
      <c r="T326" s="10">
        <f t="shared" si="58"/>
        <v>2.3721758318914765E-2</v>
      </c>
      <c r="U326" s="14" t="str">
        <f t="shared" si="59"/>
        <v/>
      </c>
    </row>
    <row r="327" spans="1:21" s="1" customFormat="1" hidden="1" x14ac:dyDescent="0.25">
      <c r="A327" s="1" t="s">
        <v>532</v>
      </c>
      <c r="B327" s="1" t="s">
        <v>288</v>
      </c>
      <c r="C327" s="1" t="s">
        <v>539</v>
      </c>
      <c r="D327" s="6">
        <v>1.9400000000000001E-2</v>
      </c>
      <c r="E327" s="1">
        <v>2.8199999999999999E-2</v>
      </c>
      <c r="F327" s="1">
        <v>395.41</v>
      </c>
      <c r="G327" s="1">
        <v>12.51</v>
      </c>
      <c r="H327" s="1">
        <v>16.12</v>
      </c>
      <c r="I327" s="1">
        <v>314.48</v>
      </c>
      <c r="J327" s="1">
        <v>14.81</v>
      </c>
      <c r="K327" s="9">
        <f t="shared" si="60"/>
        <v>357.92</v>
      </c>
      <c r="L327" s="20">
        <f t="shared" si="55"/>
        <v>0.90518702106674087</v>
      </c>
      <c r="M327" s="14" t="str">
        <f t="shared" si="56"/>
        <v/>
      </c>
      <c r="N327" s="7">
        <f t="shared" si="61"/>
        <v>830693.27731092437</v>
      </c>
      <c r="O327" s="7">
        <f t="shared" si="62"/>
        <v>26281.512605042015</v>
      </c>
      <c r="P327" s="7">
        <f t="shared" si="63"/>
        <v>33865.546218487398</v>
      </c>
      <c r="Q327" s="1">
        <f t="shared" si="64"/>
        <v>660672.26890756306</v>
      </c>
      <c r="R327" s="1">
        <f t="shared" si="65"/>
        <v>31113.44537815126</v>
      </c>
      <c r="S327" s="14">
        <f t="shared" si="57"/>
        <v>751932.77310924372</v>
      </c>
      <c r="T327" s="10">
        <f t="shared" si="58"/>
        <v>9.4812978933259129E-2</v>
      </c>
      <c r="U327" s="14" t="str">
        <f t="shared" si="59"/>
        <v/>
      </c>
    </row>
    <row r="328" spans="1:21" s="1" customFormat="1" hidden="1" x14ac:dyDescent="0.25">
      <c r="A328" s="1" t="s">
        <v>532</v>
      </c>
      <c r="B328" s="1" t="s">
        <v>288</v>
      </c>
      <c r="C328" s="1" t="s">
        <v>540</v>
      </c>
      <c r="D328" s="6">
        <v>2.3400000000000001E-2</v>
      </c>
      <c r="E328" s="1">
        <v>3.8199999999999998E-2</v>
      </c>
      <c r="F328" s="1">
        <v>403.86</v>
      </c>
      <c r="G328" s="1">
        <v>12.68</v>
      </c>
      <c r="H328" s="1">
        <v>15.66</v>
      </c>
      <c r="I328" s="1">
        <v>339.2</v>
      </c>
      <c r="J328" s="1">
        <v>14.51</v>
      </c>
      <c r="K328" s="9">
        <f t="shared" si="60"/>
        <v>382.04999999999995</v>
      </c>
      <c r="L328" s="20">
        <f t="shared" si="55"/>
        <v>0.9459961372752933</v>
      </c>
      <c r="M328" s="14" t="str">
        <f t="shared" si="56"/>
        <v/>
      </c>
      <c r="N328" s="7">
        <f t="shared" si="61"/>
        <v>655616.88311688311</v>
      </c>
      <c r="O328" s="7">
        <f t="shared" si="62"/>
        <v>20584.415584415583</v>
      </c>
      <c r="P328" s="7">
        <f t="shared" si="63"/>
        <v>25422.077922077922</v>
      </c>
      <c r="Q328" s="1">
        <f t="shared" si="64"/>
        <v>550649.35064935067</v>
      </c>
      <c r="R328" s="1">
        <f t="shared" si="65"/>
        <v>23555.194805194806</v>
      </c>
      <c r="S328" s="14">
        <f t="shared" si="57"/>
        <v>620211.03896103904</v>
      </c>
      <c r="T328" s="10">
        <f t="shared" si="58"/>
        <v>5.4003862724706447E-2</v>
      </c>
      <c r="U328" s="14" t="str">
        <f t="shared" si="59"/>
        <v/>
      </c>
    </row>
    <row r="329" spans="1:21" s="1" customFormat="1" hidden="1" x14ac:dyDescent="0.25">
      <c r="A329" s="1" t="s">
        <v>532</v>
      </c>
      <c r="B329" s="1" t="s">
        <v>288</v>
      </c>
      <c r="C329" s="1" t="s">
        <v>541</v>
      </c>
      <c r="D329" s="6">
        <v>1.35E-2</v>
      </c>
      <c r="E329" s="1">
        <v>1.7500000000000002E-2</v>
      </c>
      <c r="F329" s="1">
        <v>269.98</v>
      </c>
      <c r="G329" s="1">
        <v>8.2200000000000006</v>
      </c>
      <c r="H329" s="1">
        <v>7.81</v>
      </c>
      <c r="I329" s="1">
        <v>232.55</v>
      </c>
      <c r="J329" s="1">
        <v>8.23</v>
      </c>
      <c r="K329" s="9">
        <f t="shared" si="60"/>
        <v>256.81</v>
      </c>
      <c r="L329" s="20">
        <f t="shared" si="55"/>
        <v>0.95121860878583597</v>
      </c>
      <c r="M329" s="14" t="str">
        <f t="shared" si="56"/>
        <v/>
      </c>
      <c r="N329" s="7">
        <f t="shared" si="61"/>
        <v>870903.22580645175</v>
      </c>
      <c r="O329" s="7">
        <f t="shared" si="62"/>
        <v>26516.129032258068</v>
      </c>
      <c r="P329" s="7">
        <f t="shared" si="63"/>
        <v>25193.548387096773</v>
      </c>
      <c r="Q329" s="1">
        <f t="shared" si="64"/>
        <v>750161.29032258072</v>
      </c>
      <c r="R329" s="1">
        <f t="shared" si="65"/>
        <v>26548.387096774197</v>
      </c>
      <c r="S329" s="14">
        <f t="shared" si="57"/>
        <v>828419.3548387097</v>
      </c>
      <c r="T329" s="10">
        <f t="shared" si="58"/>
        <v>4.8781391214164145E-2</v>
      </c>
      <c r="U329" s="14" t="str">
        <f t="shared" si="59"/>
        <v/>
      </c>
    </row>
    <row r="330" spans="1:21" s="1" customFormat="1" hidden="1" x14ac:dyDescent="0.25">
      <c r="A330" s="1" t="s">
        <v>532</v>
      </c>
      <c r="B330" s="1" t="s">
        <v>288</v>
      </c>
      <c r="C330" s="1" t="s">
        <v>542</v>
      </c>
      <c r="D330" s="6">
        <v>1.0699999999999999E-2</v>
      </c>
      <c r="E330" s="1">
        <v>4.2099999999999999E-2</v>
      </c>
      <c r="F330" s="1">
        <v>351.15</v>
      </c>
      <c r="G330" s="1">
        <v>12.86</v>
      </c>
      <c r="H330" s="1">
        <v>13.04</v>
      </c>
      <c r="I330" s="1">
        <v>307.99</v>
      </c>
      <c r="J330" s="1">
        <v>20.83</v>
      </c>
      <c r="K330" s="9">
        <f t="shared" si="60"/>
        <v>354.71999999999997</v>
      </c>
      <c r="L330" s="20">
        <f t="shared" si="55"/>
        <v>1.0101665954720205</v>
      </c>
      <c r="M330" s="14" t="str">
        <f t="shared" si="56"/>
        <v/>
      </c>
      <c r="N330" s="7">
        <f t="shared" si="61"/>
        <v>665056.81818181812</v>
      </c>
      <c r="O330" s="7">
        <f t="shared" si="62"/>
        <v>24356.060606060608</v>
      </c>
      <c r="P330" s="7">
        <f t="shared" si="63"/>
        <v>24696.969696969696</v>
      </c>
      <c r="Q330" s="1">
        <f t="shared" si="64"/>
        <v>583314.39393939404</v>
      </c>
      <c r="R330" s="1">
        <f t="shared" si="65"/>
        <v>39450.757575757576</v>
      </c>
      <c r="S330" s="14">
        <f t="shared" si="57"/>
        <v>671818.18181818188</v>
      </c>
      <c r="T330" s="10">
        <f t="shared" si="58"/>
        <v>-1.0166595472020696E-2</v>
      </c>
      <c r="U330" s="14" t="str">
        <f t="shared" si="59"/>
        <v/>
      </c>
    </row>
    <row r="331" spans="1:21" s="1" customFormat="1" hidden="1" x14ac:dyDescent="0.25">
      <c r="A331" s="1" t="s">
        <v>532</v>
      </c>
      <c r="B331" s="1" t="s">
        <v>288</v>
      </c>
      <c r="C331" s="1" t="s">
        <v>543</v>
      </c>
      <c r="D331" s="6">
        <v>1.6799999999999999E-2</v>
      </c>
      <c r="E331" s="1">
        <v>6.5600000000000006E-2</v>
      </c>
      <c r="F331" s="1">
        <v>374.61</v>
      </c>
      <c r="G331" s="1">
        <v>16.03</v>
      </c>
      <c r="H331" s="1">
        <v>15.01</v>
      </c>
      <c r="I331" s="1">
        <v>309.05</v>
      </c>
      <c r="J331" s="1">
        <v>12.24</v>
      </c>
      <c r="K331" s="9">
        <f t="shared" si="60"/>
        <v>352.33000000000004</v>
      </c>
      <c r="L331" s="20">
        <f t="shared" si="55"/>
        <v>0.94052481247163722</v>
      </c>
      <c r="M331" s="14" t="str">
        <f t="shared" si="56"/>
        <v/>
      </c>
      <c r="N331" s="7">
        <f t="shared" si="61"/>
        <v>454623.78640776698</v>
      </c>
      <c r="O331" s="7">
        <f t="shared" si="62"/>
        <v>19453.883495145634</v>
      </c>
      <c r="P331" s="7">
        <f t="shared" si="63"/>
        <v>18216.019417475727</v>
      </c>
      <c r="Q331" s="1">
        <f t="shared" si="64"/>
        <v>375060.67961165047</v>
      </c>
      <c r="R331" s="1">
        <f t="shared" si="65"/>
        <v>14854.368932038835</v>
      </c>
      <c r="S331" s="14">
        <f t="shared" si="57"/>
        <v>427584.95145631063</v>
      </c>
      <c r="T331" s="10">
        <f t="shared" si="58"/>
        <v>5.9475187528362908E-2</v>
      </c>
      <c r="U331" s="14" t="str">
        <f t="shared" si="59"/>
        <v/>
      </c>
    </row>
    <row r="332" spans="1:21" s="1" customFormat="1" hidden="1" x14ac:dyDescent="0.25">
      <c r="A332" s="1" t="s">
        <v>532</v>
      </c>
      <c r="B332" s="1" t="s">
        <v>544</v>
      </c>
      <c r="C332" s="1" t="s">
        <v>545</v>
      </c>
      <c r="D332" s="6">
        <v>1.5100000000000001E-2</v>
      </c>
      <c r="E332" s="1">
        <v>2.86E-2</v>
      </c>
      <c r="F332" s="1">
        <v>508.28</v>
      </c>
      <c r="G332" s="1">
        <v>14.21</v>
      </c>
      <c r="H332" s="1">
        <v>14.8</v>
      </c>
      <c r="I332" s="1">
        <v>437.67</v>
      </c>
      <c r="J332" s="1">
        <v>14.52</v>
      </c>
      <c r="K332" s="9">
        <f t="shared" si="60"/>
        <v>481.2</v>
      </c>
      <c r="L332" s="20">
        <f t="shared" si="55"/>
        <v>0.94672227905878648</v>
      </c>
      <c r="M332" s="14" t="str">
        <f t="shared" si="56"/>
        <v/>
      </c>
      <c r="N332" s="7">
        <f t="shared" si="61"/>
        <v>1163112.1281464531</v>
      </c>
      <c r="O332" s="7">
        <f t="shared" si="62"/>
        <v>32517.162471395881</v>
      </c>
      <c r="P332" s="7">
        <f t="shared" si="63"/>
        <v>33867.276887871856</v>
      </c>
      <c r="Q332" s="1">
        <f t="shared" si="64"/>
        <v>1001533.1807780319</v>
      </c>
      <c r="R332" s="1">
        <f t="shared" si="65"/>
        <v>33226.54462242563</v>
      </c>
      <c r="S332" s="14">
        <f t="shared" si="57"/>
        <v>1101144.1647597253</v>
      </c>
      <c r="T332" s="10">
        <f t="shared" si="58"/>
        <v>5.3277720941213538E-2</v>
      </c>
      <c r="U332" s="14" t="str">
        <f t="shared" si="59"/>
        <v/>
      </c>
    </row>
    <row r="333" spans="1:21" s="1" customFormat="1" hidden="1" x14ac:dyDescent="0.25">
      <c r="A333" s="1" t="s">
        <v>532</v>
      </c>
      <c r="B333" s="1" t="s">
        <v>544</v>
      </c>
      <c r="C333" s="1" t="s">
        <v>546</v>
      </c>
      <c r="D333" s="6">
        <v>3.5999999999999997E-2</v>
      </c>
      <c r="E333" s="1">
        <v>1.78E-2</v>
      </c>
      <c r="F333" s="1">
        <v>920.5</v>
      </c>
      <c r="G333" s="1">
        <v>30.36</v>
      </c>
      <c r="H333" s="1">
        <v>30.24</v>
      </c>
      <c r="I333" s="1">
        <v>817.03</v>
      </c>
      <c r="J333" s="1">
        <v>26.39</v>
      </c>
      <c r="K333" s="9">
        <f t="shared" si="60"/>
        <v>904.02</v>
      </c>
      <c r="L333" s="20">
        <f t="shared" si="55"/>
        <v>0.98209668658337856</v>
      </c>
      <c r="M333" s="14" t="str">
        <f t="shared" si="56"/>
        <v/>
      </c>
      <c r="N333" s="7">
        <f t="shared" si="61"/>
        <v>1710966.5427509295</v>
      </c>
      <c r="O333" s="7">
        <f t="shared" si="62"/>
        <v>56431.226765799249</v>
      </c>
      <c r="P333" s="7">
        <f t="shared" si="63"/>
        <v>56208.178438661707</v>
      </c>
      <c r="Q333" s="1">
        <f t="shared" si="64"/>
        <v>1518643.12267658</v>
      </c>
      <c r="R333" s="1">
        <f t="shared" si="65"/>
        <v>49052.044609665427</v>
      </c>
      <c r="S333" s="14">
        <f t="shared" si="57"/>
        <v>1680334.5724907063</v>
      </c>
      <c r="T333" s="10">
        <f t="shared" si="58"/>
        <v>1.7903313416621453E-2</v>
      </c>
      <c r="U333" s="14" t="str">
        <f t="shared" si="59"/>
        <v/>
      </c>
    </row>
    <row r="334" spans="1:21" s="1" customFormat="1" hidden="1" x14ac:dyDescent="0.25">
      <c r="A334" s="1" t="s">
        <v>532</v>
      </c>
      <c r="B334" s="1" t="s">
        <v>544</v>
      </c>
      <c r="C334" s="1" t="s">
        <v>547</v>
      </c>
      <c r="D334" s="6">
        <v>1.04E-2</v>
      </c>
      <c r="E334" s="1">
        <v>5.8599999999999999E-2</v>
      </c>
      <c r="F334" s="1">
        <v>1090.49</v>
      </c>
      <c r="G334" s="1">
        <v>31.72</v>
      </c>
      <c r="H334" s="1">
        <v>37.590000000000003</v>
      </c>
      <c r="I334" s="1">
        <v>935.12</v>
      </c>
      <c r="J334" s="1">
        <v>52.02</v>
      </c>
      <c r="K334" s="9">
        <f t="shared" si="60"/>
        <v>1056.45</v>
      </c>
      <c r="L334" s="20">
        <f t="shared" si="55"/>
        <v>0.96878467477922769</v>
      </c>
      <c r="M334" s="14" t="str">
        <f t="shared" si="56"/>
        <v/>
      </c>
      <c r="N334" s="7">
        <f t="shared" si="61"/>
        <v>1580420.2898550725</v>
      </c>
      <c r="O334" s="7">
        <f t="shared" si="62"/>
        <v>45971.014492753617</v>
      </c>
      <c r="P334" s="7">
        <f t="shared" si="63"/>
        <v>54478.260869565216</v>
      </c>
      <c r="Q334" s="1">
        <f t="shared" si="64"/>
        <v>1355246.376811594</v>
      </c>
      <c r="R334" s="1">
        <f t="shared" si="65"/>
        <v>75391.304347826081</v>
      </c>
      <c r="S334" s="14">
        <f t="shared" si="57"/>
        <v>1531086.956521739</v>
      </c>
      <c r="T334" s="10">
        <f t="shared" si="58"/>
        <v>3.1215325220772409E-2</v>
      </c>
      <c r="U334" s="14" t="str">
        <f t="shared" si="59"/>
        <v/>
      </c>
    </row>
    <row r="335" spans="1:21" s="1" customFormat="1" hidden="1" x14ac:dyDescent="0.25">
      <c r="A335" s="1" t="s">
        <v>532</v>
      </c>
      <c r="B335" s="1" t="s">
        <v>544</v>
      </c>
      <c r="C335" s="1" t="s">
        <v>548</v>
      </c>
      <c r="D335" s="6">
        <v>8.2000000000000007E-3</v>
      </c>
      <c r="E335" s="1">
        <v>1.1299999999999999E-2</v>
      </c>
      <c r="F335" s="1">
        <v>984.51</v>
      </c>
      <c r="G335" s="1">
        <v>34.81</v>
      </c>
      <c r="H335" s="1">
        <v>42.85</v>
      </c>
      <c r="I335" s="1">
        <v>851.42</v>
      </c>
      <c r="J335" s="1">
        <v>28.12</v>
      </c>
      <c r="K335" s="9">
        <f t="shared" si="60"/>
        <v>957.19999999999993</v>
      </c>
      <c r="L335" s="20">
        <f t="shared" si="55"/>
        <v>0.97226031223654397</v>
      </c>
      <c r="M335" s="14" t="str">
        <f t="shared" si="56"/>
        <v/>
      </c>
      <c r="N335" s="7">
        <f t="shared" si="61"/>
        <v>5048769.2307692301</v>
      </c>
      <c r="O335" s="7">
        <f t="shared" si="62"/>
        <v>178512.82051282053</v>
      </c>
      <c r="P335" s="7">
        <f t="shared" si="63"/>
        <v>219743.58974358975</v>
      </c>
      <c r="Q335" s="1">
        <f t="shared" si="64"/>
        <v>4366256.41025641</v>
      </c>
      <c r="R335" s="1">
        <f t="shared" si="65"/>
        <v>144205.12820512822</v>
      </c>
      <c r="S335" s="14">
        <f t="shared" si="57"/>
        <v>4908717.948717948</v>
      </c>
      <c r="T335" s="10">
        <f t="shared" si="58"/>
        <v>2.7739687763455926E-2</v>
      </c>
      <c r="U335" s="14" t="str">
        <f t="shared" si="59"/>
        <v/>
      </c>
    </row>
    <row r="336" spans="1:21" s="1" customFormat="1" hidden="1" x14ac:dyDescent="0.25">
      <c r="A336" s="1" t="s">
        <v>532</v>
      </c>
      <c r="B336" s="1" t="s">
        <v>544</v>
      </c>
      <c r="C336" s="1" t="s">
        <v>549</v>
      </c>
      <c r="D336" s="6">
        <v>2.3199999999999998E-2</v>
      </c>
      <c r="E336" s="1">
        <v>3.4799999999999998E-2</v>
      </c>
      <c r="F336" s="1">
        <v>483.12</v>
      </c>
      <c r="G336" s="1">
        <v>14.97</v>
      </c>
      <c r="H336" s="1">
        <v>15.84</v>
      </c>
      <c r="I336" s="1">
        <v>417.13</v>
      </c>
      <c r="J336" s="1">
        <v>20.54</v>
      </c>
      <c r="K336" s="9">
        <f t="shared" si="60"/>
        <v>468.48</v>
      </c>
      <c r="L336" s="20">
        <f t="shared" si="55"/>
        <v>0.96969696969696972</v>
      </c>
      <c r="M336" s="14" t="str">
        <f t="shared" si="56"/>
        <v/>
      </c>
      <c r="N336" s="7">
        <f t="shared" si="61"/>
        <v>832965.51724137936</v>
      </c>
      <c r="O336" s="7">
        <f t="shared" si="62"/>
        <v>25810.34482758621</v>
      </c>
      <c r="P336" s="7">
        <f t="shared" si="63"/>
        <v>27310.34482758621</v>
      </c>
      <c r="Q336" s="1">
        <f t="shared" si="64"/>
        <v>719189.65517241391</v>
      </c>
      <c r="R336" s="1">
        <f t="shared" si="65"/>
        <v>35413.793103448275</v>
      </c>
      <c r="S336" s="14">
        <f t="shared" si="57"/>
        <v>807724.13793103455</v>
      </c>
      <c r="T336" s="10">
        <f t="shared" si="58"/>
        <v>3.0303030303030283E-2</v>
      </c>
      <c r="U336" s="14" t="str">
        <f t="shared" si="59"/>
        <v/>
      </c>
    </row>
    <row r="337" spans="1:21" s="1" customFormat="1" hidden="1" x14ac:dyDescent="0.25">
      <c r="A337" s="1" t="s">
        <v>532</v>
      </c>
      <c r="B337" s="1" t="s">
        <v>544</v>
      </c>
      <c r="C337" s="1" t="s">
        <v>550</v>
      </c>
      <c r="D337" s="6">
        <v>1.4800000000000001E-2</v>
      </c>
      <c r="E337" s="1">
        <v>1.9800000000000002E-2</v>
      </c>
      <c r="F337" s="1">
        <v>918.56</v>
      </c>
      <c r="G337" s="1">
        <v>40.4</v>
      </c>
      <c r="H337" s="1">
        <v>33.32</v>
      </c>
      <c r="I337" s="1">
        <v>774.67</v>
      </c>
      <c r="J337" s="1">
        <v>35.26</v>
      </c>
      <c r="K337" s="9">
        <f t="shared" si="60"/>
        <v>883.65</v>
      </c>
      <c r="L337" s="20">
        <f t="shared" si="55"/>
        <v>0.96199486152238289</v>
      </c>
      <c r="M337" s="14" t="str">
        <f t="shared" si="56"/>
        <v/>
      </c>
      <c r="N337" s="7">
        <f t="shared" si="61"/>
        <v>2654797.6878612712</v>
      </c>
      <c r="O337" s="7">
        <f t="shared" si="62"/>
        <v>116763.00578034679</v>
      </c>
      <c r="P337" s="7">
        <f t="shared" si="63"/>
        <v>96300.578034682068</v>
      </c>
      <c r="Q337" s="1">
        <f t="shared" si="64"/>
        <v>2238930.63583815</v>
      </c>
      <c r="R337" s="1">
        <f t="shared" si="65"/>
        <v>101907.51445086703</v>
      </c>
      <c r="S337" s="14">
        <f t="shared" si="57"/>
        <v>2553901.7341040461</v>
      </c>
      <c r="T337" s="10">
        <f t="shared" si="58"/>
        <v>3.8005138477617009E-2</v>
      </c>
      <c r="U337" s="14" t="str">
        <f t="shared" si="59"/>
        <v/>
      </c>
    </row>
    <row r="338" spans="1:21" s="1" customFormat="1" hidden="1" x14ac:dyDescent="0.25">
      <c r="A338" s="1" t="s">
        <v>532</v>
      </c>
      <c r="B338" s="1" t="s">
        <v>544</v>
      </c>
      <c r="C338" s="1" t="s">
        <v>551</v>
      </c>
      <c r="D338" s="6">
        <v>0.02</v>
      </c>
      <c r="E338" s="1">
        <v>6.2199999999999998E-2</v>
      </c>
      <c r="F338" s="19">
        <v>1371.89</v>
      </c>
      <c r="G338" s="1">
        <v>46.53</v>
      </c>
      <c r="H338" s="1">
        <v>51.22</v>
      </c>
      <c r="I338" s="1">
        <v>1156.55</v>
      </c>
      <c r="J338" s="1">
        <v>51.66</v>
      </c>
      <c r="K338" s="9">
        <f t="shared" si="60"/>
        <v>1305.96</v>
      </c>
      <c r="L338" s="20">
        <f t="shared" si="55"/>
        <v>0.95194221111022015</v>
      </c>
      <c r="M338" s="14" t="str">
        <f t="shared" si="56"/>
        <v/>
      </c>
      <c r="N338" s="7">
        <f t="shared" si="61"/>
        <v>1668965.9367396594</v>
      </c>
      <c r="O338" s="7">
        <f t="shared" si="62"/>
        <v>56605.839416058407</v>
      </c>
      <c r="P338" s="7">
        <f t="shared" si="63"/>
        <v>62311.435523114356</v>
      </c>
      <c r="Q338" s="1">
        <f t="shared" si="64"/>
        <v>1406995.1338199512</v>
      </c>
      <c r="R338" s="1">
        <f t="shared" si="65"/>
        <v>62846.715328467159</v>
      </c>
      <c r="S338" s="14">
        <f t="shared" si="57"/>
        <v>1588759.124087591</v>
      </c>
      <c r="T338" s="10">
        <f t="shared" si="58"/>
        <v>4.8057788889779983E-2</v>
      </c>
      <c r="U338" s="14" t="str">
        <f t="shared" si="59"/>
        <v/>
      </c>
    </row>
    <row r="339" spans="1:21" s="1" customFormat="1" hidden="1" x14ac:dyDescent="0.25">
      <c r="A339" s="1" t="s">
        <v>532</v>
      </c>
      <c r="B339" s="1" t="s">
        <v>544</v>
      </c>
      <c r="C339" s="1" t="s">
        <v>552</v>
      </c>
      <c r="D339" s="6">
        <v>1.0500000000000001E-2</v>
      </c>
      <c r="E339" s="1">
        <v>2.0899999999999998E-2</v>
      </c>
      <c r="F339" s="1">
        <v>1194.57</v>
      </c>
      <c r="G339" s="1">
        <v>42.03</v>
      </c>
      <c r="H339" s="1">
        <v>60.21</v>
      </c>
      <c r="I339" s="1">
        <v>1026.7</v>
      </c>
      <c r="J339" s="1">
        <v>55.89</v>
      </c>
      <c r="K339" s="9">
        <f t="shared" si="60"/>
        <v>1184.8300000000002</v>
      </c>
      <c r="L339" s="20">
        <f t="shared" si="55"/>
        <v>0.99184643846739851</v>
      </c>
      <c r="M339" s="14" t="str">
        <f t="shared" si="56"/>
        <v/>
      </c>
      <c r="N339" s="7">
        <f t="shared" si="61"/>
        <v>3804363.0573248412</v>
      </c>
      <c r="O339" s="7">
        <f t="shared" si="62"/>
        <v>133853.50318471339</v>
      </c>
      <c r="P339" s="7">
        <f t="shared" si="63"/>
        <v>191751.59235668791</v>
      </c>
      <c r="Q339" s="1">
        <f t="shared" si="64"/>
        <v>3269745.2229299368</v>
      </c>
      <c r="R339" s="1">
        <f t="shared" si="65"/>
        <v>177993.63057324843</v>
      </c>
      <c r="S339" s="14">
        <f t="shared" si="57"/>
        <v>3773343.9490445866</v>
      </c>
      <c r="T339" s="10">
        <f t="shared" si="58"/>
        <v>8.1535615326016227E-3</v>
      </c>
      <c r="U339" s="14" t="str">
        <f t="shared" si="59"/>
        <v/>
      </c>
    </row>
    <row r="340" spans="1:21" s="1" customFormat="1" hidden="1" x14ac:dyDescent="0.25">
      <c r="A340" s="1" t="s">
        <v>532</v>
      </c>
      <c r="B340" s="1" t="s">
        <v>544</v>
      </c>
      <c r="C340" s="1" t="s">
        <v>553</v>
      </c>
      <c r="D340" s="6">
        <v>1.11E-2</v>
      </c>
      <c r="E340" s="1">
        <v>1.1900000000000001E-2</v>
      </c>
      <c r="F340" s="19">
        <v>957.12</v>
      </c>
      <c r="G340" s="1">
        <v>14.8</v>
      </c>
      <c r="H340" s="1">
        <v>11.84</v>
      </c>
      <c r="I340" s="1">
        <v>865.89</v>
      </c>
      <c r="J340" s="1">
        <v>10.59</v>
      </c>
      <c r="K340" s="9">
        <f t="shared" si="60"/>
        <v>903.12</v>
      </c>
      <c r="L340" s="20">
        <f t="shared" si="55"/>
        <v>0.94358074222668009</v>
      </c>
      <c r="M340" s="14" t="str">
        <f t="shared" si="56"/>
        <v/>
      </c>
      <c r="N340" s="7">
        <f t="shared" si="61"/>
        <v>4161391.3043478262</v>
      </c>
      <c r="O340" s="7">
        <f t="shared" si="62"/>
        <v>64347.826086956527</v>
      </c>
      <c r="P340" s="7">
        <f t="shared" si="63"/>
        <v>51478.260869565216</v>
      </c>
      <c r="Q340" s="1">
        <f t="shared" si="64"/>
        <v>3764739.1304347822</v>
      </c>
      <c r="R340" s="1">
        <f t="shared" si="65"/>
        <v>46043.47826086956</v>
      </c>
      <c r="S340" s="14">
        <f t="shared" si="57"/>
        <v>3926608.6956521738</v>
      </c>
      <c r="T340" s="10">
        <f t="shared" si="58"/>
        <v>5.6419257773319999E-2</v>
      </c>
      <c r="U340" s="14" t="str">
        <f t="shared" si="59"/>
        <v/>
      </c>
    </row>
    <row r="341" spans="1:21" s="1" customFormat="1" hidden="1" x14ac:dyDescent="0.25">
      <c r="A341" s="1" t="s">
        <v>554</v>
      </c>
      <c r="B341" s="1" t="s">
        <v>555</v>
      </c>
      <c r="C341" s="1" t="s">
        <v>556</v>
      </c>
      <c r="D341" s="6">
        <v>0.495</v>
      </c>
      <c r="E341" s="1">
        <v>0.2077</v>
      </c>
      <c r="F341" s="1">
        <v>2436.0700000000002</v>
      </c>
      <c r="G341" s="1">
        <v>51.78</v>
      </c>
      <c r="H341" s="1">
        <v>51.76</v>
      </c>
      <c r="I341" s="1">
        <v>2256.2800000000002</v>
      </c>
      <c r="J341" s="1">
        <v>51.79</v>
      </c>
      <c r="K341" s="9">
        <f t="shared" si="60"/>
        <v>2411.61</v>
      </c>
      <c r="L341" s="20">
        <f t="shared" si="55"/>
        <v>0.98995923762453464</v>
      </c>
      <c r="M341" s="14" t="str">
        <f t="shared" si="56"/>
        <v/>
      </c>
      <c r="N341" s="7">
        <f t="shared" si="61"/>
        <v>346672.83335705142</v>
      </c>
      <c r="O341" s="7">
        <f t="shared" si="62"/>
        <v>7368.7206489255732</v>
      </c>
      <c r="P341" s="7">
        <f t="shared" si="63"/>
        <v>7365.8744841326306</v>
      </c>
      <c r="Q341" s="1">
        <f t="shared" si="64"/>
        <v>321087.23495090369</v>
      </c>
      <c r="R341" s="1">
        <f t="shared" si="65"/>
        <v>7370.143731322044</v>
      </c>
      <c r="S341" s="14">
        <f t="shared" si="57"/>
        <v>343191.97381528391</v>
      </c>
      <c r="T341" s="10">
        <f t="shared" si="58"/>
        <v>1.004076237546552E-2</v>
      </c>
      <c r="U341" s="14" t="str">
        <f t="shared" si="59"/>
        <v/>
      </c>
    </row>
    <row r="342" spans="1:21" s="1" customFormat="1" hidden="1" x14ac:dyDescent="0.25">
      <c r="A342" s="1" t="s">
        <v>557</v>
      </c>
      <c r="B342" s="1" t="s">
        <v>288</v>
      </c>
      <c r="C342" s="1" t="s">
        <v>558</v>
      </c>
      <c r="D342" s="6">
        <v>2.3599999999999999E-2</v>
      </c>
      <c r="E342" s="1">
        <v>0.1726</v>
      </c>
      <c r="F342" s="1">
        <v>93.119399999999999</v>
      </c>
      <c r="G342" s="1">
        <v>8.11</v>
      </c>
      <c r="H342" s="1">
        <v>8.15</v>
      </c>
      <c r="I342" s="1">
        <v>68.569999999999993</v>
      </c>
      <c r="J342" s="1">
        <v>8.16</v>
      </c>
      <c r="K342" s="9">
        <f t="shared" si="60"/>
        <v>92.989999999999981</v>
      </c>
      <c r="L342" s="20">
        <f t="shared" si="55"/>
        <v>0.99861038623530629</v>
      </c>
      <c r="M342" s="14" t="str">
        <f t="shared" si="56"/>
        <v/>
      </c>
      <c r="N342" s="7">
        <f t="shared" si="61"/>
        <v>47461.467889908257</v>
      </c>
      <c r="O342" s="7">
        <f t="shared" si="62"/>
        <v>4133.5372069317018</v>
      </c>
      <c r="P342" s="7">
        <f t="shared" si="63"/>
        <v>4153.9245667686027</v>
      </c>
      <c r="Q342" s="1">
        <f t="shared" si="64"/>
        <v>34949.031600407739</v>
      </c>
      <c r="R342" s="1">
        <f t="shared" si="65"/>
        <v>4159.0214067278284</v>
      </c>
      <c r="S342" s="14">
        <f t="shared" si="57"/>
        <v>47395.514780835874</v>
      </c>
      <c r="T342" s="10">
        <f t="shared" si="58"/>
        <v>1.3896137646936687E-3</v>
      </c>
      <c r="U342" s="14" t="str">
        <f t="shared" si="59"/>
        <v/>
      </c>
    </row>
    <row r="343" spans="1:21" s="1" customFormat="1" hidden="1" x14ac:dyDescent="0.25">
      <c r="A343" s="1" t="s">
        <v>557</v>
      </c>
      <c r="B343" s="1" t="s">
        <v>288</v>
      </c>
      <c r="C343" s="1" t="s">
        <v>559</v>
      </c>
      <c r="D343" s="6">
        <v>1.6799999999999999E-2</v>
      </c>
      <c r="E343" s="1">
        <v>0.10009999999999999</v>
      </c>
      <c r="F343" s="1">
        <v>19.988199999999999</v>
      </c>
      <c r="G343" s="1">
        <v>4.25</v>
      </c>
      <c r="H343" s="1">
        <v>4.29</v>
      </c>
      <c r="I343" s="1">
        <v>7.59</v>
      </c>
      <c r="J343" s="1">
        <v>4.2</v>
      </c>
      <c r="K343" s="9">
        <f t="shared" si="60"/>
        <v>20.329999999999998</v>
      </c>
      <c r="L343" s="20">
        <f t="shared" si="55"/>
        <v>1.017100089052541</v>
      </c>
      <c r="M343" s="14" t="str">
        <f t="shared" si="56"/>
        <v/>
      </c>
      <c r="N343" s="7">
        <f t="shared" si="61"/>
        <v>17098.545765611634</v>
      </c>
      <c r="O343" s="7">
        <f t="shared" si="62"/>
        <v>3635.5859709153124</v>
      </c>
      <c r="P343" s="7">
        <f t="shared" si="63"/>
        <v>3669.8032506415743</v>
      </c>
      <c r="Q343" s="1">
        <f t="shared" si="64"/>
        <v>6492.7288280581688</v>
      </c>
      <c r="R343" s="1">
        <f t="shared" si="65"/>
        <v>3592.8143712574856</v>
      </c>
      <c r="S343" s="14">
        <f t="shared" si="57"/>
        <v>17390.932420872541</v>
      </c>
      <c r="T343" s="10">
        <f t="shared" si="58"/>
        <v>-1.7100089052541012E-2</v>
      </c>
      <c r="U343" s="14" t="str">
        <f t="shared" si="59"/>
        <v/>
      </c>
    </row>
    <row r="344" spans="1:21" s="51" customFormat="1" hidden="1" x14ac:dyDescent="0.25">
      <c r="A344" s="51" t="s">
        <v>557</v>
      </c>
      <c r="B344" s="51" t="s">
        <v>560</v>
      </c>
      <c r="C344" s="51" t="s">
        <v>561</v>
      </c>
      <c r="D344" s="52"/>
      <c r="K344" s="51">
        <f t="shared" si="60"/>
        <v>0</v>
      </c>
      <c r="L344" s="53" t="e">
        <f t="shared" si="55"/>
        <v>#DIV/0!</v>
      </c>
      <c r="M344" s="54" t="e">
        <f t="shared" si="56"/>
        <v>#DIV/0!</v>
      </c>
      <c r="N344" s="54" t="e">
        <f t="shared" si="61"/>
        <v>#DIV/0!</v>
      </c>
      <c r="O344" s="54" t="e">
        <f t="shared" si="62"/>
        <v>#DIV/0!</v>
      </c>
      <c r="P344" s="54" t="e">
        <f t="shared" si="63"/>
        <v>#DIV/0!</v>
      </c>
      <c r="Q344" s="51" t="e">
        <f t="shared" si="64"/>
        <v>#DIV/0!</v>
      </c>
      <c r="R344" s="51" t="e">
        <f t="shared" si="65"/>
        <v>#DIV/0!</v>
      </c>
      <c r="S344" s="54" t="e">
        <f t="shared" si="57"/>
        <v>#DIV/0!</v>
      </c>
      <c r="T344" s="55" t="e">
        <f t="shared" si="58"/>
        <v>#DIV/0!</v>
      </c>
      <c r="U344" s="54" t="e">
        <f t="shared" si="59"/>
        <v>#DIV/0!</v>
      </c>
    </row>
    <row r="345" spans="1:21" s="51" customFormat="1" hidden="1" x14ac:dyDescent="0.25">
      <c r="A345" s="51" t="s">
        <v>557</v>
      </c>
      <c r="B345" s="51" t="s">
        <v>562</v>
      </c>
      <c r="C345" s="51" t="s">
        <v>563</v>
      </c>
      <c r="D345" s="52"/>
      <c r="K345" s="51">
        <f t="shared" si="60"/>
        <v>0</v>
      </c>
      <c r="L345" s="53" t="e">
        <f t="shared" si="55"/>
        <v>#DIV/0!</v>
      </c>
      <c r="M345" s="54" t="e">
        <f t="shared" si="56"/>
        <v>#DIV/0!</v>
      </c>
      <c r="N345" s="54" t="e">
        <f t="shared" si="61"/>
        <v>#DIV/0!</v>
      </c>
      <c r="O345" s="54" t="e">
        <f t="shared" si="62"/>
        <v>#DIV/0!</v>
      </c>
      <c r="P345" s="54" t="e">
        <f t="shared" si="63"/>
        <v>#DIV/0!</v>
      </c>
      <c r="Q345" s="51" t="e">
        <f t="shared" si="64"/>
        <v>#DIV/0!</v>
      </c>
      <c r="R345" s="51" t="e">
        <f t="shared" si="65"/>
        <v>#DIV/0!</v>
      </c>
      <c r="S345" s="54" t="e">
        <f t="shared" si="57"/>
        <v>#DIV/0!</v>
      </c>
      <c r="T345" s="55" t="e">
        <f t="shared" si="58"/>
        <v>#DIV/0!</v>
      </c>
      <c r="U345" s="54" t="e">
        <f t="shared" si="59"/>
        <v>#DIV/0!</v>
      </c>
    </row>
    <row r="346" spans="1:21" s="51" customFormat="1" hidden="1" x14ac:dyDescent="0.25">
      <c r="A346" s="51" t="s">
        <v>557</v>
      </c>
      <c r="B346" s="51" t="s">
        <v>562</v>
      </c>
      <c r="C346" s="51" t="s">
        <v>564</v>
      </c>
      <c r="D346" s="52"/>
      <c r="K346" s="51">
        <f t="shared" si="60"/>
        <v>0</v>
      </c>
      <c r="L346" s="53" t="e">
        <f t="shared" si="55"/>
        <v>#DIV/0!</v>
      </c>
      <c r="M346" s="54" t="e">
        <f t="shared" si="56"/>
        <v>#DIV/0!</v>
      </c>
      <c r="N346" s="54" t="e">
        <f t="shared" si="61"/>
        <v>#DIV/0!</v>
      </c>
      <c r="O346" s="54" t="e">
        <f t="shared" si="62"/>
        <v>#DIV/0!</v>
      </c>
      <c r="P346" s="54" t="e">
        <f t="shared" si="63"/>
        <v>#DIV/0!</v>
      </c>
      <c r="Q346" s="51" t="e">
        <f t="shared" si="64"/>
        <v>#DIV/0!</v>
      </c>
      <c r="R346" s="51" t="e">
        <f t="shared" si="65"/>
        <v>#DIV/0!</v>
      </c>
      <c r="S346" s="54" t="e">
        <f t="shared" si="57"/>
        <v>#DIV/0!</v>
      </c>
      <c r="T346" s="55" t="e">
        <f t="shared" si="58"/>
        <v>#DIV/0!</v>
      </c>
      <c r="U346" s="54" t="e">
        <f t="shared" si="59"/>
        <v>#DIV/0!</v>
      </c>
    </row>
    <row r="347" spans="1:21" s="51" customFormat="1" hidden="1" x14ac:dyDescent="0.25">
      <c r="A347" s="51" t="s">
        <v>557</v>
      </c>
      <c r="B347" s="51" t="s">
        <v>562</v>
      </c>
      <c r="C347" s="51" t="s">
        <v>565</v>
      </c>
      <c r="D347" s="52"/>
      <c r="K347" s="51">
        <f t="shared" si="60"/>
        <v>0</v>
      </c>
      <c r="L347" s="53" t="e">
        <f t="shared" si="55"/>
        <v>#DIV/0!</v>
      </c>
      <c r="M347" s="54" t="e">
        <f t="shared" si="56"/>
        <v>#DIV/0!</v>
      </c>
      <c r="N347" s="54" t="e">
        <f t="shared" si="61"/>
        <v>#DIV/0!</v>
      </c>
      <c r="O347" s="54" t="e">
        <f t="shared" si="62"/>
        <v>#DIV/0!</v>
      </c>
      <c r="P347" s="54" t="e">
        <f t="shared" si="63"/>
        <v>#DIV/0!</v>
      </c>
      <c r="Q347" s="51" t="e">
        <f t="shared" si="64"/>
        <v>#DIV/0!</v>
      </c>
      <c r="R347" s="51" t="e">
        <f t="shared" si="65"/>
        <v>#DIV/0!</v>
      </c>
      <c r="S347" s="54" t="e">
        <f t="shared" si="57"/>
        <v>#DIV/0!</v>
      </c>
      <c r="T347" s="55" t="e">
        <f t="shared" si="58"/>
        <v>#DIV/0!</v>
      </c>
      <c r="U347" s="54" t="e">
        <f t="shared" si="59"/>
        <v>#DIV/0!</v>
      </c>
    </row>
    <row r="348" spans="1:21" s="51" customFormat="1" hidden="1" x14ac:dyDescent="0.25">
      <c r="A348" s="51" t="s">
        <v>557</v>
      </c>
      <c r="B348" s="51" t="s">
        <v>566</v>
      </c>
      <c r="C348" s="51" t="s">
        <v>567</v>
      </c>
      <c r="D348" s="52"/>
      <c r="K348" s="51">
        <f t="shared" si="60"/>
        <v>0</v>
      </c>
      <c r="L348" s="53" t="e">
        <f t="shared" si="55"/>
        <v>#DIV/0!</v>
      </c>
      <c r="M348" s="54" t="e">
        <f t="shared" si="56"/>
        <v>#DIV/0!</v>
      </c>
      <c r="N348" s="54" t="e">
        <f t="shared" si="61"/>
        <v>#DIV/0!</v>
      </c>
      <c r="O348" s="54" t="e">
        <f t="shared" si="62"/>
        <v>#DIV/0!</v>
      </c>
      <c r="P348" s="54" t="e">
        <f t="shared" si="63"/>
        <v>#DIV/0!</v>
      </c>
      <c r="Q348" s="51" t="e">
        <f t="shared" si="64"/>
        <v>#DIV/0!</v>
      </c>
      <c r="R348" s="51" t="e">
        <f t="shared" si="65"/>
        <v>#DIV/0!</v>
      </c>
      <c r="S348" s="54" t="e">
        <f t="shared" si="57"/>
        <v>#DIV/0!</v>
      </c>
      <c r="T348" s="55" t="e">
        <f t="shared" si="58"/>
        <v>#DIV/0!</v>
      </c>
      <c r="U348" s="54" t="e">
        <f t="shared" si="59"/>
        <v>#DIV/0!</v>
      </c>
    </row>
    <row r="349" spans="1:21" s="1" customFormat="1" hidden="1" x14ac:dyDescent="0.25">
      <c r="A349" s="1" t="s">
        <v>568</v>
      </c>
      <c r="B349" s="1" t="s">
        <v>569</v>
      </c>
      <c r="C349" s="1" t="s">
        <v>570</v>
      </c>
      <c r="D349" s="6">
        <v>3.3399999999999999E-2</v>
      </c>
      <c r="E349" s="1">
        <v>0.1764</v>
      </c>
      <c r="F349" s="1">
        <v>159.91</v>
      </c>
      <c r="G349" s="1">
        <v>10.039999999999999</v>
      </c>
      <c r="H349" s="1">
        <v>9.99</v>
      </c>
      <c r="I349" s="1">
        <v>129.16999999999999</v>
      </c>
      <c r="J349" s="1">
        <v>10.050000000000001</v>
      </c>
      <c r="K349" s="9">
        <f t="shared" si="60"/>
        <v>159.25</v>
      </c>
      <c r="L349" s="20">
        <f t="shared" si="55"/>
        <v>0.99587267838158966</v>
      </c>
      <c r="M349" s="14" t="str">
        <f t="shared" si="56"/>
        <v/>
      </c>
      <c r="N349" s="7">
        <f t="shared" si="61"/>
        <v>76220.209723546242</v>
      </c>
      <c r="O349" s="7">
        <f t="shared" si="62"/>
        <v>4785.5100095328889</v>
      </c>
      <c r="P349" s="7">
        <f t="shared" si="63"/>
        <v>4761.6777883698769</v>
      </c>
      <c r="Q349" s="1">
        <f t="shared" si="64"/>
        <v>61568.160152526216</v>
      </c>
      <c r="R349" s="1">
        <f t="shared" si="65"/>
        <v>4790.2764537654921</v>
      </c>
      <c r="S349" s="14">
        <f t="shared" si="57"/>
        <v>75905.624404194474</v>
      </c>
      <c r="T349" s="10">
        <f t="shared" si="58"/>
        <v>4.1273216184104225E-3</v>
      </c>
      <c r="U349" s="14" t="str">
        <f t="shared" si="59"/>
        <v/>
      </c>
    </row>
    <row r="350" spans="1:21" s="1" customFormat="1" hidden="1" x14ac:dyDescent="0.25">
      <c r="A350" s="1" t="s">
        <v>568</v>
      </c>
      <c r="B350" s="1" t="s">
        <v>569</v>
      </c>
      <c r="C350" s="1" t="s">
        <v>571</v>
      </c>
      <c r="D350" s="6">
        <v>2.4799999999999999E-2</v>
      </c>
      <c r="E350" s="1">
        <v>0.11219999999999999</v>
      </c>
      <c r="F350" s="1">
        <v>71.95</v>
      </c>
      <c r="G350" s="1">
        <v>5.43</v>
      </c>
      <c r="H350" s="1">
        <v>5.54</v>
      </c>
      <c r="I350" s="1">
        <v>56.16</v>
      </c>
      <c r="J350" s="1">
        <v>5.48</v>
      </c>
      <c r="K350" s="9">
        <f t="shared" si="60"/>
        <v>72.61</v>
      </c>
      <c r="L350" s="20">
        <f t="shared" si="55"/>
        <v>1.0091730368311327</v>
      </c>
      <c r="M350" s="14" t="str">
        <f t="shared" si="56"/>
        <v/>
      </c>
      <c r="N350" s="7">
        <f t="shared" si="61"/>
        <v>52518.248175182489</v>
      </c>
      <c r="O350" s="7">
        <f t="shared" si="62"/>
        <v>3963.5036496350367</v>
      </c>
      <c r="P350" s="7">
        <f t="shared" si="63"/>
        <v>4043.7956204379566</v>
      </c>
      <c r="Q350" s="1">
        <f t="shared" si="64"/>
        <v>40992.700729927012</v>
      </c>
      <c r="R350" s="1">
        <f t="shared" si="65"/>
        <v>4000.0000000000009</v>
      </c>
      <c r="S350" s="14">
        <f t="shared" si="57"/>
        <v>53000.000000000007</v>
      </c>
      <c r="T350" s="10">
        <f t="shared" si="58"/>
        <v>-9.1730368311327311E-3</v>
      </c>
      <c r="U350" s="14" t="str">
        <f t="shared" si="59"/>
        <v/>
      </c>
    </row>
    <row r="351" spans="1:21" s="1" customFormat="1" hidden="1" x14ac:dyDescent="0.25">
      <c r="A351" s="1" t="s">
        <v>568</v>
      </c>
      <c r="B351" s="1" t="s">
        <v>569</v>
      </c>
      <c r="C351" s="1" t="s">
        <v>572</v>
      </c>
      <c r="D351" s="6">
        <v>2.81E-2</v>
      </c>
      <c r="E351" s="1">
        <v>0.1318</v>
      </c>
      <c r="F351" s="1">
        <v>161.15</v>
      </c>
      <c r="G351" s="1">
        <v>10.58</v>
      </c>
      <c r="H351" s="1">
        <v>10.64</v>
      </c>
      <c r="I351" s="1">
        <v>128.86000000000001</v>
      </c>
      <c r="J351" s="1">
        <v>10.66</v>
      </c>
      <c r="K351" s="9">
        <f t="shared" si="60"/>
        <v>160.74</v>
      </c>
      <c r="L351" s="20">
        <f t="shared" si="55"/>
        <v>0.99745578653428479</v>
      </c>
      <c r="M351" s="14" t="str">
        <f t="shared" si="56"/>
        <v/>
      </c>
      <c r="N351" s="7">
        <f t="shared" si="61"/>
        <v>100781.73858661664</v>
      </c>
      <c r="O351" s="7">
        <f t="shared" si="62"/>
        <v>6616.6353971232029</v>
      </c>
      <c r="P351" s="7">
        <f t="shared" si="63"/>
        <v>6654.1588492808014</v>
      </c>
      <c r="Q351" s="1">
        <f t="shared" si="64"/>
        <v>80587.867417135727</v>
      </c>
      <c r="R351" s="1">
        <f t="shared" si="65"/>
        <v>6666.666666666667</v>
      </c>
      <c r="S351" s="14">
        <f t="shared" si="57"/>
        <v>100525.32833020641</v>
      </c>
      <c r="T351" s="10">
        <f t="shared" si="58"/>
        <v>2.5442134657149684E-3</v>
      </c>
      <c r="U351" s="14" t="str">
        <f t="shared" si="59"/>
        <v/>
      </c>
    </row>
    <row r="352" spans="1:21" s="1" customFormat="1" hidden="1" x14ac:dyDescent="0.25">
      <c r="A352" s="1" t="s">
        <v>573</v>
      </c>
      <c r="B352" s="1" t="s">
        <v>574</v>
      </c>
      <c r="C352" s="1" t="s">
        <v>575</v>
      </c>
      <c r="D352" s="6">
        <v>1.3949</v>
      </c>
      <c r="E352" s="1">
        <v>1.1999999999999999E-3</v>
      </c>
      <c r="F352" s="1">
        <v>67.936599999999999</v>
      </c>
      <c r="G352" s="1">
        <v>34.18</v>
      </c>
      <c r="H352" s="1">
        <v>33.869999999999997</v>
      </c>
      <c r="I352" s="1">
        <v>0</v>
      </c>
      <c r="J352" s="1">
        <v>0</v>
      </c>
      <c r="K352" s="9">
        <f t="shared" si="60"/>
        <v>68.05</v>
      </c>
      <c r="L352" s="20">
        <f t="shared" si="55"/>
        <v>1.0016692033454722</v>
      </c>
      <c r="M352" s="14" t="str">
        <f t="shared" si="56"/>
        <v/>
      </c>
      <c r="N352" s="7">
        <f t="shared" si="61"/>
        <v>4866.1700451257066</v>
      </c>
      <c r="O352" s="7">
        <f t="shared" si="62"/>
        <v>2448.2486927870491</v>
      </c>
      <c r="P352" s="7">
        <f t="shared" si="63"/>
        <v>2426.043979657617</v>
      </c>
      <c r="Q352" s="1">
        <f t="shared" si="64"/>
        <v>0</v>
      </c>
      <c r="R352" s="1">
        <f t="shared" si="65"/>
        <v>0</v>
      </c>
      <c r="S352" s="14">
        <f t="shared" si="57"/>
        <v>4874.2926724446661</v>
      </c>
      <c r="T352" s="10">
        <f t="shared" si="58"/>
        <v>-1.669203345472014E-3</v>
      </c>
      <c r="U352" s="14" t="str">
        <f t="shared" si="59"/>
        <v/>
      </c>
    </row>
    <row r="353" spans="1:21" s="1" customFormat="1" hidden="1" x14ac:dyDescent="0.25">
      <c r="A353" s="1" t="s">
        <v>576</v>
      </c>
      <c r="B353" s="1" t="s">
        <v>577</v>
      </c>
      <c r="C353" s="1" t="s">
        <v>578</v>
      </c>
      <c r="D353" s="6">
        <v>2.5999999999999999E-3</v>
      </c>
      <c r="E353" s="1">
        <v>1.7100000000000001E-2</v>
      </c>
      <c r="F353" s="1">
        <v>20.961300000000001</v>
      </c>
      <c r="G353" s="1">
        <v>2.12</v>
      </c>
      <c r="H353" s="1">
        <v>2.17</v>
      </c>
      <c r="I353" s="1">
        <v>14.84</v>
      </c>
      <c r="J353" s="1">
        <v>2.13</v>
      </c>
      <c r="K353" s="9">
        <f t="shared" si="60"/>
        <v>21.259999999999998</v>
      </c>
      <c r="L353" s="20">
        <f t="shared" si="55"/>
        <v>1.0142500703677728</v>
      </c>
      <c r="M353" s="14" t="str">
        <f t="shared" si="56"/>
        <v/>
      </c>
      <c r="N353" s="7">
        <f t="shared" si="61"/>
        <v>106402.53807106598</v>
      </c>
      <c r="O353" s="7">
        <f t="shared" si="62"/>
        <v>10761.421319796953</v>
      </c>
      <c r="P353" s="7">
        <f t="shared" si="63"/>
        <v>11015.228426395937</v>
      </c>
      <c r="Q353" s="1">
        <f t="shared" si="64"/>
        <v>75329.949238578673</v>
      </c>
      <c r="R353" s="1">
        <f t="shared" si="65"/>
        <v>10812.182741116751</v>
      </c>
      <c r="S353" s="14">
        <f t="shared" si="57"/>
        <v>107918.7817258883</v>
      </c>
      <c r="T353" s="10">
        <f t="shared" si="58"/>
        <v>-1.4250070367772847E-2</v>
      </c>
      <c r="U353" s="14" t="str">
        <f t="shared" si="59"/>
        <v/>
      </c>
    </row>
    <row r="354" spans="1:21" s="1" customFormat="1" hidden="1" x14ac:dyDescent="0.25">
      <c r="A354" s="1" t="s">
        <v>576</v>
      </c>
      <c r="B354" s="1" t="s">
        <v>577</v>
      </c>
      <c r="C354" s="1" t="s">
        <v>579</v>
      </c>
      <c r="D354" s="6">
        <v>2.7000000000000001E-3</v>
      </c>
      <c r="E354" s="1">
        <v>6.1100000000000002E-2</v>
      </c>
      <c r="F354" s="1">
        <v>15.8504</v>
      </c>
      <c r="G354" s="1">
        <v>2.19</v>
      </c>
      <c r="H354" s="1">
        <v>2.16</v>
      </c>
      <c r="I354" s="1">
        <v>9.9600000000000009</v>
      </c>
      <c r="J354" s="1">
        <v>2.13</v>
      </c>
      <c r="K354" s="9">
        <f t="shared" si="60"/>
        <v>16.440000000000001</v>
      </c>
      <c r="L354" s="20">
        <f t="shared" si="55"/>
        <v>1.0371977994246202</v>
      </c>
      <c r="M354" s="14" t="str">
        <f t="shared" si="56"/>
        <v/>
      </c>
      <c r="N354" s="7">
        <f t="shared" si="61"/>
        <v>24843.887147335427</v>
      </c>
      <c r="O354" s="7">
        <f t="shared" si="62"/>
        <v>3432.6018808777435</v>
      </c>
      <c r="P354" s="7">
        <f t="shared" si="63"/>
        <v>3385.5799373040759</v>
      </c>
      <c r="Q354" s="1">
        <f t="shared" si="64"/>
        <v>15611.285266457682</v>
      </c>
      <c r="R354" s="1">
        <f t="shared" si="65"/>
        <v>3338.5579937304074</v>
      </c>
      <c r="S354" s="14">
        <f t="shared" si="57"/>
        <v>25768.025078369908</v>
      </c>
      <c r="T354" s="10">
        <f t="shared" si="58"/>
        <v>-3.7197799424620155E-2</v>
      </c>
      <c r="U354" s="14" t="str">
        <f t="shared" si="59"/>
        <v/>
      </c>
    </row>
  </sheetData>
  <autoFilter ref="A1:U354" xr:uid="{00000000-0009-0000-0000-000001000000}">
    <filterColumn colId="0">
      <filters>
        <filter val="Iva"/>
      </filters>
    </filterColumn>
  </autoFilter>
  <pageMargins left="0.7" right="0.7" top="0.75" bottom="0.75" header="0.3" footer="0.3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2DCE-A9B6-43AD-B702-770AE699A4F5}">
  <dimension ref="A1:X354"/>
  <sheetViews>
    <sheetView tabSelected="1" workbookViewId="0">
      <pane ySplit="1" topLeftCell="A98" activePane="bottomLeft" state="frozen"/>
      <selection pane="bottomLeft" activeCell="N1" sqref="N1"/>
    </sheetView>
  </sheetViews>
  <sheetFormatPr defaultRowHeight="15" x14ac:dyDescent="0.25"/>
  <cols>
    <col min="1" max="1" width="9.140625" style="2"/>
    <col min="2" max="2" width="9.140625" style="2" customWidth="1"/>
    <col min="3" max="3" width="9.7109375" style="2" customWidth="1"/>
    <col min="4" max="4" width="9.140625" style="2"/>
    <col min="5" max="5" width="12.140625" style="2" customWidth="1"/>
    <col min="6" max="8" width="9.140625" style="67"/>
    <col min="9" max="9" width="9.140625" style="70"/>
    <col min="10" max="11" width="9.140625" style="67"/>
    <col min="12" max="12" width="10.85546875" style="2" customWidth="1"/>
    <col min="13" max="13" width="10.140625" style="2" customWidth="1"/>
    <col min="14" max="14" width="12" style="2" customWidth="1"/>
    <col min="15" max="15" width="9.85546875" style="2" customWidth="1"/>
    <col min="16" max="16" width="10.7109375" style="2" customWidth="1"/>
    <col min="17" max="17" width="9" style="2" customWidth="1"/>
    <col min="18" max="18" width="11.42578125" style="2" customWidth="1"/>
    <col min="19" max="19" width="10.7109375" style="2" customWidth="1"/>
    <col min="20" max="20" width="11" style="2" customWidth="1"/>
    <col min="21" max="21" width="11.140625" style="2" customWidth="1"/>
    <col min="22" max="22" width="10.28515625" style="2" customWidth="1"/>
    <col min="23" max="23" width="8.140625" style="2" customWidth="1"/>
    <col min="24" max="16384" width="9.140625" style="2"/>
  </cols>
  <sheetData>
    <row r="1" spans="1:24" s="16" customFormat="1" ht="75" x14ac:dyDescent="0.25">
      <c r="A1" s="16" t="s">
        <v>714</v>
      </c>
      <c r="B1" s="16" t="s">
        <v>720</v>
      </c>
      <c r="C1" s="15" t="s">
        <v>0</v>
      </c>
      <c r="D1" s="15" t="s">
        <v>1</v>
      </c>
      <c r="E1" s="15" t="s">
        <v>654</v>
      </c>
      <c r="F1" s="65" t="s">
        <v>656</v>
      </c>
      <c r="G1" s="65" t="s">
        <v>692</v>
      </c>
      <c r="H1" s="65" t="s">
        <v>658</v>
      </c>
      <c r="I1" s="68" t="s">
        <v>691</v>
      </c>
      <c r="J1" s="65" t="s">
        <v>657</v>
      </c>
      <c r="K1" s="65" t="s">
        <v>709</v>
      </c>
      <c r="L1" s="15" t="s">
        <v>580</v>
      </c>
      <c r="M1" s="15" t="s">
        <v>582</v>
      </c>
      <c r="N1" s="15" t="s">
        <v>583</v>
      </c>
      <c r="O1" s="15" t="s">
        <v>585</v>
      </c>
      <c r="P1" s="15" t="s">
        <v>587</v>
      </c>
      <c r="Q1" s="15" t="s">
        <v>591</v>
      </c>
      <c r="R1" s="15" t="s">
        <v>589</v>
      </c>
      <c r="S1" s="15" t="s">
        <v>584</v>
      </c>
      <c r="T1" s="15" t="s">
        <v>586</v>
      </c>
      <c r="U1" s="68" t="s">
        <v>588</v>
      </c>
      <c r="V1" s="15" t="s">
        <v>592</v>
      </c>
      <c r="W1" s="68" t="s">
        <v>590</v>
      </c>
      <c r="X1" s="71" t="s">
        <v>730</v>
      </c>
    </row>
    <row r="2" spans="1:24" x14ac:dyDescent="0.25">
      <c r="A2" s="2" t="s">
        <v>724</v>
      </c>
      <c r="B2" s="2">
        <v>1</v>
      </c>
      <c r="C2" s="2" t="s">
        <v>3</v>
      </c>
      <c r="D2" s="2" t="s">
        <v>4</v>
      </c>
      <c r="E2" s="2" t="s">
        <v>5</v>
      </c>
      <c r="F2" s="66" t="s">
        <v>729</v>
      </c>
      <c r="G2" s="66" t="s">
        <v>729</v>
      </c>
      <c r="H2" s="66" t="s">
        <v>729</v>
      </c>
      <c r="I2" s="69" t="s">
        <v>729</v>
      </c>
      <c r="J2" s="66" t="s">
        <v>729</v>
      </c>
      <c r="K2" s="66" t="s">
        <v>729</v>
      </c>
      <c r="L2" s="19">
        <v>0.08</v>
      </c>
      <c r="M2" s="2">
        <v>0.84130000000000005</v>
      </c>
      <c r="N2" s="2">
        <v>32.362699999999997</v>
      </c>
      <c r="O2" s="2">
        <v>16.29</v>
      </c>
      <c r="P2" s="2">
        <v>15.85</v>
      </c>
      <c r="Q2" s="2">
        <v>0</v>
      </c>
      <c r="R2" s="2">
        <v>0</v>
      </c>
      <c r="S2" s="64">
        <f>(N2/(L2+M2))*100</f>
        <v>3512.7211548898294</v>
      </c>
      <c r="T2" s="64">
        <f>(O2/(L2+M2))*100</f>
        <v>1768.1536958645393</v>
      </c>
      <c r="U2" s="72">
        <f>(P2/(L2+M2))*100</f>
        <v>1720.3950938890696</v>
      </c>
      <c r="V2" s="2">
        <f>(Q2/(L2+M2))*100</f>
        <v>0</v>
      </c>
      <c r="W2" s="70">
        <f>(R2/(L2+M2))*100</f>
        <v>0</v>
      </c>
      <c r="X2" s="2" t="s">
        <v>675</v>
      </c>
    </row>
    <row r="3" spans="1:24" x14ac:dyDescent="0.25">
      <c r="A3" s="2">
        <v>1</v>
      </c>
      <c r="B3" s="2">
        <v>2</v>
      </c>
      <c r="C3" s="2" t="s">
        <v>3</v>
      </c>
      <c r="D3" s="2" t="s">
        <v>4</v>
      </c>
      <c r="E3" s="2" t="s">
        <v>6</v>
      </c>
      <c r="F3" s="66" t="s">
        <v>729</v>
      </c>
      <c r="G3" s="66" t="s">
        <v>729</v>
      </c>
      <c r="H3" s="66" t="s">
        <v>729</v>
      </c>
      <c r="I3" s="69" t="s">
        <v>729</v>
      </c>
      <c r="J3" s="66" t="s">
        <v>729</v>
      </c>
      <c r="K3" s="66" t="s">
        <v>729</v>
      </c>
      <c r="L3" s="19">
        <v>7.4099999999999999E-2</v>
      </c>
      <c r="M3" s="2">
        <v>1.6240000000000001</v>
      </c>
      <c r="N3" s="2">
        <v>155.58000000000001</v>
      </c>
      <c r="O3" s="2">
        <v>51.8</v>
      </c>
      <c r="P3" s="2">
        <v>51.92</v>
      </c>
      <c r="Q3" s="2">
        <v>0</v>
      </c>
      <c r="R3" s="2">
        <v>51.86</v>
      </c>
      <c r="S3" s="64">
        <f>(N3/(L3+M3))*100</f>
        <v>9162.0045933690599</v>
      </c>
      <c r="T3" s="64">
        <f>(O3/(L3+M3))*100</f>
        <v>3050.4681703079905</v>
      </c>
      <c r="U3" s="72">
        <f>(P3/(L3+M3))*100</f>
        <v>3057.5348919380481</v>
      </c>
      <c r="V3" s="2">
        <f>(Q3/(L3+M3))*100</f>
        <v>0</v>
      </c>
      <c r="W3" s="70">
        <f>(R3/(L3+M3))*100</f>
        <v>3054.0015311230195</v>
      </c>
      <c r="X3" s="2" t="s">
        <v>675</v>
      </c>
    </row>
    <row r="4" spans="1:24" x14ac:dyDescent="0.25">
      <c r="A4" s="2">
        <v>1</v>
      </c>
      <c r="B4" s="2">
        <v>2</v>
      </c>
      <c r="C4" s="2" t="s">
        <v>7</v>
      </c>
      <c r="D4" s="2" t="s">
        <v>8</v>
      </c>
      <c r="E4" s="2" t="s">
        <v>9</v>
      </c>
      <c r="F4" s="66">
        <v>0.32727272727272727</v>
      </c>
      <c r="G4" s="66">
        <v>0.32727272727272727</v>
      </c>
      <c r="H4" s="66">
        <v>0.2</v>
      </c>
      <c r="I4" s="69">
        <v>0.52727272727272723</v>
      </c>
      <c r="J4" s="66">
        <v>0.42727272727272725</v>
      </c>
      <c r="K4" s="66">
        <v>4.5454545454545525E-2</v>
      </c>
      <c r="L4" s="19">
        <v>9.6699999999999994E-2</v>
      </c>
      <c r="M4" s="2">
        <v>0</v>
      </c>
      <c r="N4" s="2">
        <v>63.094000000000001</v>
      </c>
      <c r="O4" s="2">
        <v>3.77</v>
      </c>
      <c r="P4" s="2">
        <v>3.71</v>
      </c>
      <c r="Q4" s="2">
        <v>51.78</v>
      </c>
      <c r="R4" s="2">
        <v>3.71</v>
      </c>
      <c r="S4" s="64">
        <f>(N4/(L4+M4))*100</f>
        <v>65247.156153050673</v>
      </c>
      <c r="T4" s="64">
        <f>(O4/(L4+M4))*100</f>
        <v>3898.6556359875904</v>
      </c>
      <c r="U4" s="72">
        <f>(P4/(L4+M4))*100</f>
        <v>3836.6080661840747</v>
      </c>
      <c r="V4" s="2">
        <f>(Q4/(L4+M4))*100</f>
        <v>53547.05274043433</v>
      </c>
      <c r="W4" s="70">
        <f>(R4/(L4+M4))*100</f>
        <v>3836.6080661840747</v>
      </c>
    </row>
    <row r="5" spans="1:24" x14ac:dyDescent="0.25">
      <c r="A5" s="2">
        <v>1</v>
      </c>
      <c r="B5" s="2">
        <v>1</v>
      </c>
      <c r="C5" s="2" t="s">
        <v>7</v>
      </c>
      <c r="D5" s="2" t="s">
        <v>8</v>
      </c>
      <c r="E5" s="2" t="s">
        <v>10</v>
      </c>
      <c r="F5" s="66">
        <v>0.27</v>
      </c>
      <c r="G5" s="66">
        <v>0.27</v>
      </c>
      <c r="H5" s="66">
        <v>0.13</v>
      </c>
      <c r="I5" s="69">
        <v>0.4</v>
      </c>
      <c r="J5" s="66">
        <v>0.56999999999999995</v>
      </c>
      <c r="K5" s="66">
        <v>3.0000000000000027E-2</v>
      </c>
      <c r="L5" s="19">
        <v>9.7000000000000003E-2</v>
      </c>
      <c r="M5" s="2">
        <v>0</v>
      </c>
      <c r="N5" s="2">
        <v>75.703699999999998</v>
      </c>
      <c r="O5" s="2">
        <v>4.21</v>
      </c>
      <c r="P5" s="2">
        <v>4.2300000000000004</v>
      </c>
      <c r="Q5" s="2">
        <v>63.74</v>
      </c>
      <c r="R5" s="2">
        <v>4.26</v>
      </c>
      <c r="S5" s="64">
        <f>(N5/(L5+M5))*100</f>
        <v>78045.05154639174</v>
      </c>
      <c r="T5" s="64">
        <f>(O5/(L5+M5))*100</f>
        <v>4340.2061855670099</v>
      </c>
      <c r="U5" s="72">
        <f>(P5/(L5+M5))*100</f>
        <v>4360.8247422680415</v>
      </c>
      <c r="V5" s="2">
        <f>(Q5/(L5+M5))*100</f>
        <v>65711.340206185574</v>
      </c>
      <c r="W5" s="70">
        <f>(R5/(L5+M5))*100</f>
        <v>4391.7525773195866</v>
      </c>
    </row>
    <row r="6" spans="1:24" x14ac:dyDescent="0.25">
      <c r="A6" s="2">
        <v>1</v>
      </c>
      <c r="B6" s="2">
        <v>2</v>
      </c>
      <c r="C6" s="2" t="s">
        <v>11</v>
      </c>
      <c r="D6" s="2" t="s">
        <v>12</v>
      </c>
      <c r="E6" s="2" t="s">
        <v>13</v>
      </c>
      <c r="F6" s="66">
        <v>0.22</v>
      </c>
      <c r="G6" s="66">
        <v>0.22</v>
      </c>
      <c r="H6" s="66">
        <v>0</v>
      </c>
      <c r="I6" s="69">
        <v>0.22</v>
      </c>
      <c r="J6" s="66">
        <v>0.76</v>
      </c>
      <c r="K6" s="66">
        <v>2.0000000000000018E-2</v>
      </c>
      <c r="L6" s="19">
        <v>0.20979999999999999</v>
      </c>
      <c r="M6" s="2">
        <v>0</v>
      </c>
      <c r="N6" s="2">
        <v>49.263199999999998</v>
      </c>
      <c r="O6" s="2">
        <v>7.03</v>
      </c>
      <c r="P6" s="2">
        <v>7.03</v>
      </c>
      <c r="Q6" s="2">
        <v>28.25</v>
      </c>
      <c r="R6" s="2">
        <v>7.06</v>
      </c>
      <c r="S6" s="64">
        <f>(N6/(L6+M6))*100</f>
        <v>23481.029551954241</v>
      </c>
      <c r="T6" s="64">
        <f>(O6/(L6+M6))*100</f>
        <v>3350.8102955195427</v>
      </c>
      <c r="U6" s="72">
        <f>(P6/(L6+M6))*100</f>
        <v>3350.8102955195427</v>
      </c>
      <c r="V6" s="2">
        <f>(Q6/(L6+M6))*100</f>
        <v>13465.204957102003</v>
      </c>
      <c r="W6" s="70">
        <f>(R6/(L6+M6))*100</f>
        <v>3365.1096282173498</v>
      </c>
    </row>
    <row r="7" spans="1:24" x14ac:dyDescent="0.25">
      <c r="A7" s="2">
        <v>1</v>
      </c>
      <c r="B7" s="2">
        <v>2</v>
      </c>
      <c r="C7" s="2" t="s">
        <v>14</v>
      </c>
      <c r="D7" s="2" t="s">
        <v>15</v>
      </c>
      <c r="E7" s="2" t="s">
        <v>16</v>
      </c>
      <c r="F7" s="66">
        <v>0.41</v>
      </c>
      <c r="G7" s="66">
        <v>0.43</v>
      </c>
      <c r="H7" s="66">
        <v>0</v>
      </c>
      <c r="I7" s="69">
        <v>0.43</v>
      </c>
      <c r="J7" s="66">
        <v>0.56999999999999995</v>
      </c>
      <c r="K7" s="66">
        <v>1.1102230246251565E-16</v>
      </c>
      <c r="L7" s="19">
        <v>3.39E-2</v>
      </c>
      <c r="M7" s="2">
        <v>0.10879999999999999</v>
      </c>
      <c r="N7" s="2">
        <v>78.400000000000006</v>
      </c>
      <c r="O7" s="2">
        <v>4.91</v>
      </c>
      <c r="P7" s="2">
        <v>4.9800000000000004</v>
      </c>
      <c r="Q7" s="2">
        <v>63.08</v>
      </c>
      <c r="R7" s="2">
        <v>5.05</v>
      </c>
      <c r="S7" s="64">
        <f>(N7/(L7+M7))*100</f>
        <v>54940.434477925723</v>
      </c>
      <c r="T7" s="64">
        <f>(O7/(L7+M7))*100</f>
        <v>3440.7848633496847</v>
      </c>
      <c r="U7" s="72">
        <f>(P7/(L7+M7))*100</f>
        <v>3489.8388227049759</v>
      </c>
      <c r="V7" s="2">
        <f>(Q7/(L7+M7))*100</f>
        <v>44204.625087596352</v>
      </c>
      <c r="W7" s="70">
        <f>(R7/(L7+M7))*100</f>
        <v>3538.8927820602662</v>
      </c>
    </row>
    <row r="8" spans="1:24" x14ac:dyDescent="0.25">
      <c r="A8" s="2">
        <v>3</v>
      </c>
      <c r="B8" s="2">
        <v>1</v>
      </c>
      <c r="C8" s="2" t="s">
        <v>17</v>
      </c>
      <c r="D8" s="2" t="s">
        <v>18</v>
      </c>
      <c r="E8" s="2" t="s">
        <v>19</v>
      </c>
      <c r="F8" s="66">
        <v>0.22</v>
      </c>
      <c r="G8" s="66">
        <v>0.4</v>
      </c>
      <c r="H8" s="66">
        <v>0.37</v>
      </c>
      <c r="I8" s="69">
        <v>0.77</v>
      </c>
      <c r="J8" s="66">
        <v>0</v>
      </c>
      <c r="K8" s="66">
        <v>0.22999999999999998</v>
      </c>
      <c r="L8" s="19">
        <v>0.4481</v>
      </c>
      <c r="M8" s="2">
        <v>1.9355</v>
      </c>
      <c r="N8" s="2">
        <v>333.65</v>
      </c>
      <c r="O8" s="2">
        <v>80.17</v>
      </c>
      <c r="P8" s="2">
        <v>81.790000000000006</v>
      </c>
      <c r="Q8" s="2">
        <v>69.94</v>
      </c>
      <c r="R8" s="2">
        <v>80.23</v>
      </c>
      <c r="S8" s="64">
        <f>(N8/(L8+M8))*100</f>
        <v>13997.734519214631</v>
      </c>
      <c r="T8" s="64">
        <f>(O8/(L8+M8))*100</f>
        <v>3363.3998993119653</v>
      </c>
      <c r="U8" s="72">
        <f>(P8/(L8+M8))*100</f>
        <v>3431.3643228729652</v>
      </c>
      <c r="V8" s="2">
        <f>(Q8/(L8+M8))*100</f>
        <v>2934.2171505286119</v>
      </c>
      <c r="W8" s="70">
        <f>(R8/(L8+M8))*100</f>
        <v>3365.9171001845948</v>
      </c>
    </row>
    <row r="9" spans="1:24" x14ac:dyDescent="0.25">
      <c r="A9" s="2">
        <v>3</v>
      </c>
      <c r="B9" s="2">
        <v>1</v>
      </c>
      <c r="C9" s="2" t="s">
        <v>17</v>
      </c>
      <c r="D9" s="2" t="s">
        <v>18</v>
      </c>
      <c r="E9" s="2" t="s">
        <v>20</v>
      </c>
      <c r="F9" s="66">
        <v>0.77884615384615385</v>
      </c>
      <c r="G9" s="66">
        <v>0.81730769230769229</v>
      </c>
      <c r="H9" s="66">
        <v>0.14423076923076922</v>
      </c>
      <c r="I9" s="69">
        <v>0.96153846153846156</v>
      </c>
      <c r="J9" s="66">
        <v>0</v>
      </c>
      <c r="K9" s="66">
        <v>3.8461538461538436E-2</v>
      </c>
      <c r="L9" s="19">
        <v>0.57420000000000004</v>
      </c>
      <c r="M9" s="2">
        <v>1.2928999999999999</v>
      </c>
      <c r="N9" s="2">
        <v>590.76</v>
      </c>
      <c r="O9" s="2">
        <v>63.61</v>
      </c>
      <c r="P9" s="2">
        <v>66.430000000000007</v>
      </c>
      <c r="Q9" s="19">
        <v>391.92</v>
      </c>
      <c r="R9" s="2">
        <v>66.72</v>
      </c>
      <c r="S9" s="64">
        <f>(N9/(L9+M9))*100</f>
        <v>31640.512023994434</v>
      </c>
      <c r="T9" s="64">
        <f>(O9/(L9+M9))*100</f>
        <v>3406.8876867869958</v>
      </c>
      <c r="U9" s="72">
        <f>(P9/(L9+M9))*100</f>
        <v>3557.9240533447596</v>
      </c>
      <c r="V9" s="2">
        <f>(Q9/(L9+M9))*100</f>
        <v>20990.841411815116</v>
      </c>
      <c r="W9" s="70">
        <f>(R9/(L9+M9))*100</f>
        <v>3573.4561619624019</v>
      </c>
    </row>
    <row r="10" spans="1:24" x14ac:dyDescent="0.25">
      <c r="A10" s="2">
        <v>3</v>
      </c>
      <c r="B10" s="2">
        <v>1</v>
      </c>
      <c r="C10" s="2" t="s">
        <v>17</v>
      </c>
      <c r="D10" s="2" t="s">
        <v>18</v>
      </c>
      <c r="E10" s="2" t="s">
        <v>21</v>
      </c>
      <c r="F10" s="66">
        <v>0.96</v>
      </c>
      <c r="G10" s="66">
        <v>0.96</v>
      </c>
      <c r="H10" s="66">
        <v>0.01</v>
      </c>
      <c r="I10" s="69">
        <v>0.97</v>
      </c>
      <c r="J10" s="66">
        <v>0</v>
      </c>
      <c r="K10" s="66">
        <v>3.0000000000000027E-2</v>
      </c>
      <c r="L10" s="19">
        <v>0.88119999999999998</v>
      </c>
      <c r="M10" s="2">
        <v>1.1614</v>
      </c>
      <c r="N10" s="2">
        <v>304.29000000000002</v>
      </c>
      <c r="O10" s="2">
        <v>68.22</v>
      </c>
      <c r="P10" s="2">
        <v>68.12</v>
      </c>
      <c r="Q10" s="2">
        <v>98.12</v>
      </c>
      <c r="R10" s="2">
        <v>68.09</v>
      </c>
      <c r="S10" s="64">
        <f>(N10/(L10+M10))*100</f>
        <v>14897.189856065799</v>
      </c>
      <c r="T10" s="64">
        <f>(O10/(L10+M10))*100</f>
        <v>3339.8609615196315</v>
      </c>
      <c r="U10" s="72">
        <f>(P10/(L10+M10))*100</f>
        <v>3334.9652403799078</v>
      </c>
      <c r="V10" s="2">
        <f>(Q10/(L10+M10))*100</f>
        <v>4803.6815822970721</v>
      </c>
      <c r="W10" s="70">
        <f>(R10/(L10+M10))*100</f>
        <v>3333.4965240379906</v>
      </c>
    </row>
    <row r="11" spans="1:24" x14ac:dyDescent="0.25">
      <c r="A11" s="2" t="s">
        <v>724</v>
      </c>
      <c r="B11" s="2">
        <v>2</v>
      </c>
      <c r="C11" s="2" t="s">
        <v>22</v>
      </c>
      <c r="D11" s="2" t="s">
        <v>23</v>
      </c>
      <c r="E11" s="2" t="s">
        <v>24</v>
      </c>
      <c r="F11" s="66">
        <v>0.25</v>
      </c>
      <c r="G11" s="66">
        <v>0.27</v>
      </c>
      <c r="H11" s="66">
        <v>0.39</v>
      </c>
      <c r="I11" s="69">
        <v>0.66</v>
      </c>
      <c r="J11" s="66">
        <v>0.18</v>
      </c>
      <c r="K11" s="66">
        <v>0.15999999999999998</v>
      </c>
      <c r="L11" s="19">
        <v>0.1115</v>
      </c>
      <c r="M11" s="2">
        <v>1.254</v>
      </c>
      <c r="N11" s="2">
        <v>68.489400000000003</v>
      </c>
      <c r="O11" s="2">
        <v>34.29</v>
      </c>
      <c r="P11" s="2">
        <v>34.29</v>
      </c>
      <c r="Q11" s="2">
        <v>0</v>
      </c>
      <c r="R11" s="2">
        <v>0</v>
      </c>
      <c r="S11" s="64">
        <f>(N11/(L11+M11))*100</f>
        <v>5015.7012083485906</v>
      </c>
      <c r="T11" s="64">
        <f>(O11/(L11+M11))*100</f>
        <v>2511.1680703039178</v>
      </c>
      <c r="U11" s="72">
        <f>(P11/(L11+M11))*100</f>
        <v>2511.1680703039178</v>
      </c>
      <c r="V11" s="2">
        <f>(Q11/(L11+M11))*100</f>
        <v>0</v>
      </c>
      <c r="W11" s="70">
        <f>(R11/(L11+M11))*100</f>
        <v>0</v>
      </c>
    </row>
    <row r="12" spans="1:24" x14ac:dyDescent="0.25">
      <c r="A12" s="2" t="s">
        <v>724</v>
      </c>
      <c r="B12" s="2">
        <v>2</v>
      </c>
      <c r="C12" s="2" t="s">
        <v>22</v>
      </c>
      <c r="D12" s="2" t="s">
        <v>23</v>
      </c>
      <c r="E12" s="2" t="s">
        <v>25</v>
      </c>
      <c r="F12" s="66">
        <v>0.41</v>
      </c>
      <c r="G12" s="66">
        <v>0.45</v>
      </c>
      <c r="H12" s="66">
        <v>0.23</v>
      </c>
      <c r="I12" s="69">
        <v>0.68</v>
      </c>
      <c r="J12" s="66">
        <v>0.25</v>
      </c>
      <c r="K12" s="66">
        <v>6.9999999999999951E-2</v>
      </c>
      <c r="L12" s="19">
        <v>0.14949999999999999</v>
      </c>
      <c r="M12" s="2">
        <v>1.7298</v>
      </c>
      <c r="N12" s="2">
        <v>42.01782</v>
      </c>
      <c r="O12" s="2">
        <v>21.11</v>
      </c>
      <c r="P12" s="2">
        <v>21.05</v>
      </c>
      <c r="Q12" s="2">
        <v>0</v>
      </c>
      <c r="R12" s="2">
        <v>0</v>
      </c>
      <c r="S12" s="64">
        <f>(N12/(L12+M12))*100</f>
        <v>2235.8229127866762</v>
      </c>
      <c r="T12" s="64">
        <f>(O12/(L12+M12))*100</f>
        <v>1123.290586920662</v>
      </c>
      <c r="U12" s="72">
        <f>(P12/(L12+M12))*100</f>
        <v>1120.0979087958283</v>
      </c>
      <c r="V12" s="2">
        <f>(Q12/(L12+M12))*100</f>
        <v>0</v>
      </c>
      <c r="W12" s="70">
        <f>(R12/(L12+M12))*100</f>
        <v>0</v>
      </c>
    </row>
    <row r="13" spans="1:24" x14ac:dyDescent="0.25">
      <c r="A13" s="2" t="s">
        <v>725</v>
      </c>
      <c r="B13" s="2">
        <v>2</v>
      </c>
      <c r="C13" s="2" t="s">
        <v>26</v>
      </c>
      <c r="D13" s="2" t="s">
        <v>27</v>
      </c>
      <c r="E13" s="2" t="s">
        <v>28</v>
      </c>
      <c r="F13" s="66">
        <v>0.14166666666666666</v>
      </c>
      <c r="G13" s="66">
        <v>0.19166666666666668</v>
      </c>
      <c r="H13" s="66">
        <v>6.6666666666666666E-2</v>
      </c>
      <c r="I13" s="69">
        <v>0.25833333333333336</v>
      </c>
      <c r="J13" s="66">
        <v>0.49166666666666664</v>
      </c>
      <c r="K13" s="66">
        <v>0.25000000000000006</v>
      </c>
      <c r="L13" s="19">
        <v>1.4200000000000001E-2</v>
      </c>
      <c r="M13" s="2">
        <v>0.53449999999999998</v>
      </c>
      <c r="N13" s="2">
        <v>41.096499999999999</v>
      </c>
      <c r="O13" s="2">
        <v>16.12</v>
      </c>
      <c r="P13" s="2">
        <v>16.09</v>
      </c>
      <c r="Q13" s="2">
        <v>0</v>
      </c>
      <c r="R13" s="2">
        <v>8.06</v>
      </c>
      <c r="S13" s="64">
        <f>(N13/(L13+M13))*100</f>
        <v>7489.7940586841632</v>
      </c>
      <c r="T13" s="64">
        <f>(O13/(L13+M13))*100</f>
        <v>2937.8531073446334</v>
      </c>
      <c r="U13" s="72">
        <f>(P13/(L13+M13))*100</f>
        <v>2932.3856387825772</v>
      </c>
      <c r="V13" s="2">
        <f>(Q13/(L13+M13))*100</f>
        <v>0</v>
      </c>
      <c r="W13" s="70">
        <f>(R13/(L13+M13))*100</f>
        <v>1468.9265536723167</v>
      </c>
    </row>
    <row r="14" spans="1:24" x14ac:dyDescent="0.25">
      <c r="A14" s="2">
        <v>1</v>
      </c>
      <c r="B14" s="2">
        <v>2</v>
      </c>
      <c r="C14" s="2" t="s">
        <v>29</v>
      </c>
      <c r="D14" s="2" t="s">
        <v>30</v>
      </c>
      <c r="E14" s="2" t="s">
        <v>31</v>
      </c>
      <c r="F14" s="66">
        <v>0.27</v>
      </c>
      <c r="G14" s="66">
        <v>0.27</v>
      </c>
      <c r="H14" s="66">
        <v>0</v>
      </c>
      <c r="I14" s="69">
        <v>0.27</v>
      </c>
      <c r="J14" s="66">
        <v>0.73</v>
      </c>
      <c r="K14" s="66">
        <v>0</v>
      </c>
      <c r="L14" s="19">
        <v>9.1999999999999998E-3</v>
      </c>
      <c r="M14" s="2">
        <v>0.12590000000000001</v>
      </c>
      <c r="N14" s="2">
        <v>159.58179999999999</v>
      </c>
      <c r="O14" s="2">
        <v>4.5999999999999996</v>
      </c>
      <c r="P14" s="2">
        <v>4.51</v>
      </c>
      <c r="Q14" s="2">
        <v>146.26</v>
      </c>
      <c r="R14" s="2">
        <v>4.5</v>
      </c>
      <c r="S14" s="64">
        <f>(N14/(L14+M14))*100</f>
        <v>118121.24352331605</v>
      </c>
      <c r="T14" s="64">
        <f>(O14/(L14+M14))*100</f>
        <v>3404.8852701702444</v>
      </c>
      <c r="U14" s="72">
        <f>(P14/(L14+M14))*100</f>
        <v>3338.2679496669134</v>
      </c>
      <c r="V14" s="2">
        <f>(Q14/(L14+M14))*100</f>
        <v>108260.54774241302</v>
      </c>
      <c r="W14" s="70">
        <f>(R14/(L14+M14))*100</f>
        <v>3330.8660251665437</v>
      </c>
    </row>
    <row r="15" spans="1:24" x14ac:dyDescent="0.25">
      <c r="A15" s="2">
        <v>2</v>
      </c>
      <c r="B15" s="2">
        <v>2</v>
      </c>
      <c r="C15" s="2" t="s">
        <v>32</v>
      </c>
      <c r="D15" s="2" t="s">
        <v>33</v>
      </c>
      <c r="E15" s="2" t="s">
        <v>34</v>
      </c>
      <c r="F15" s="66">
        <v>0.3</v>
      </c>
      <c r="G15" s="66">
        <v>0.3</v>
      </c>
      <c r="H15" s="66">
        <v>0.47272727272727272</v>
      </c>
      <c r="I15" s="69">
        <v>0.77272727272727271</v>
      </c>
      <c r="J15" s="66">
        <v>2.7272727272727271E-2</v>
      </c>
      <c r="K15" s="66">
        <v>0.2</v>
      </c>
      <c r="L15" s="19">
        <v>0.31640000000000001</v>
      </c>
      <c r="M15" s="2">
        <v>0.79249999999999998</v>
      </c>
      <c r="N15" s="2">
        <v>141.2586</v>
      </c>
      <c r="O15" s="2">
        <v>25.94</v>
      </c>
      <c r="P15" s="2">
        <v>25.94</v>
      </c>
      <c r="Q15" s="2">
        <v>62.55</v>
      </c>
      <c r="R15" s="2">
        <v>25.95</v>
      </c>
      <c r="S15" s="64">
        <f>(N15/(L15+M15))*100</f>
        <v>12738.623861484353</v>
      </c>
      <c r="T15" s="64">
        <f>(O15/(L15+M15))*100</f>
        <v>2339.2551176841916</v>
      </c>
      <c r="U15" s="72">
        <f>(P15/(L15+M15))*100</f>
        <v>2339.2551176841916</v>
      </c>
      <c r="V15" s="2">
        <f>(Q15/(L15+M15))*100</f>
        <v>5640.7250428352418</v>
      </c>
      <c r="W15" s="70">
        <f>(R15/(L15+M15))*100</f>
        <v>2340.1569122553879</v>
      </c>
    </row>
    <row r="16" spans="1:24" x14ac:dyDescent="0.25">
      <c r="A16" s="2" t="s">
        <v>724</v>
      </c>
      <c r="B16" s="2">
        <v>2</v>
      </c>
      <c r="C16" s="2" t="s">
        <v>32</v>
      </c>
      <c r="D16" s="2" t="s">
        <v>33</v>
      </c>
      <c r="E16" s="2" t="s">
        <v>35</v>
      </c>
      <c r="F16" s="66">
        <v>0.03</v>
      </c>
      <c r="G16" s="66">
        <v>0.03</v>
      </c>
      <c r="H16" s="66">
        <v>0.56999999999999995</v>
      </c>
      <c r="I16" s="69">
        <v>0.6</v>
      </c>
      <c r="J16" s="66">
        <v>0</v>
      </c>
      <c r="K16" s="66">
        <v>0.4</v>
      </c>
      <c r="L16" s="19">
        <v>0.36820000000000003</v>
      </c>
      <c r="M16" s="2">
        <v>0.16320000000000001</v>
      </c>
      <c r="N16" s="2">
        <v>11.3652</v>
      </c>
      <c r="O16" s="2">
        <v>5.62</v>
      </c>
      <c r="P16" s="2">
        <v>5.68</v>
      </c>
      <c r="Q16" s="2">
        <v>0</v>
      </c>
      <c r="R16" s="2">
        <v>0</v>
      </c>
      <c r="S16" s="64">
        <f>(N16/(L16+M16))*100</f>
        <v>2138.7278885961605</v>
      </c>
      <c r="T16" s="64">
        <f>(O16/(L16+M16))*100</f>
        <v>1057.5837410613472</v>
      </c>
      <c r="U16" s="72">
        <f>(P16/(L16+M16))*100</f>
        <v>1068.8746706812192</v>
      </c>
      <c r="V16" s="2">
        <f>(Q16/(L16+M16))*100</f>
        <v>0</v>
      </c>
      <c r="W16" s="70">
        <f>(R16/(L16+M16))*100</f>
        <v>0</v>
      </c>
    </row>
    <row r="17" spans="1:23" x14ac:dyDescent="0.25">
      <c r="A17" s="2" t="s">
        <v>725</v>
      </c>
      <c r="B17" s="2">
        <v>1</v>
      </c>
      <c r="C17" s="2" t="s">
        <v>32</v>
      </c>
      <c r="D17" s="2" t="s">
        <v>33</v>
      </c>
      <c r="E17" s="41" t="s">
        <v>717</v>
      </c>
      <c r="F17" s="66">
        <v>0.01</v>
      </c>
      <c r="G17" s="66">
        <v>0.01</v>
      </c>
      <c r="H17" s="66">
        <v>0.45</v>
      </c>
      <c r="I17" s="69">
        <v>0.46</v>
      </c>
      <c r="J17" s="66">
        <v>0.03</v>
      </c>
      <c r="K17" s="66">
        <v>0.51</v>
      </c>
      <c r="L17" s="19">
        <v>0.41189999999999999</v>
      </c>
      <c r="M17" s="2">
        <v>0.4617</v>
      </c>
      <c r="N17" s="19">
        <v>527.72</v>
      </c>
      <c r="O17" s="2">
        <v>29.14</v>
      </c>
      <c r="P17" s="2">
        <v>29.16</v>
      </c>
      <c r="Q17" s="2">
        <v>403.07</v>
      </c>
      <c r="R17" s="2">
        <v>29.12</v>
      </c>
      <c r="S17" s="64">
        <f>(N17/(L17+M17))*100</f>
        <v>60407.509157509165</v>
      </c>
      <c r="T17" s="64">
        <f>(O17/(L17+M17))*100</f>
        <v>3335.6227106227111</v>
      </c>
      <c r="U17" s="72">
        <f>(P17/(L17+M17))*100</f>
        <v>3337.9120879120883</v>
      </c>
      <c r="V17" s="2">
        <f>(Q17/(L17+M17))*100</f>
        <v>46138.965201465202</v>
      </c>
      <c r="W17" s="70">
        <f>(R17/(L17+M17))*100</f>
        <v>3333.3333333333335</v>
      </c>
    </row>
    <row r="18" spans="1:23" x14ac:dyDescent="0.25">
      <c r="A18" s="2">
        <v>2</v>
      </c>
      <c r="B18" s="2">
        <v>1</v>
      </c>
      <c r="C18" s="2" t="s">
        <v>32</v>
      </c>
      <c r="D18" s="2" t="s">
        <v>33</v>
      </c>
      <c r="E18" s="2" t="s">
        <v>37</v>
      </c>
      <c r="F18" s="66">
        <v>0.43</v>
      </c>
      <c r="G18" s="66">
        <v>0.43</v>
      </c>
      <c r="H18" s="66">
        <v>0.31</v>
      </c>
      <c r="I18" s="69">
        <v>0.74</v>
      </c>
      <c r="J18" s="66">
        <v>0</v>
      </c>
      <c r="K18" s="66">
        <v>0.26</v>
      </c>
      <c r="L18" s="19">
        <v>0.35539999999999999</v>
      </c>
      <c r="M18" s="2">
        <v>0.441</v>
      </c>
      <c r="N18" s="2">
        <v>116.27</v>
      </c>
      <c r="O18" s="2">
        <v>26.56</v>
      </c>
      <c r="P18" s="2">
        <v>26.56</v>
      </c>
      <c r="Q18" s="2">
        <v>36.49</v>
      </c>
      <c r="R18" s="2">
        <v>26.5</v>
      </c>
      <c r="S18" s="64">
        <f>(N18/(L18+M18))*100</f>
        <v>14599.447513812154</v>
      </c>
      <c r="T18" s="64">
        <f>(O18/(L18+M18))*100</f>
        <v>3335.0075339025616</v>
      </c>
      <c r="U18" s="72">
        <f>(P18/(L18+M18))*100</f>
        <v>3335.0075339025616</v>
      </c>
      <c r="V18" s="2">
        <f>(Q18/(L18+M18))*100</f>
        <v>4581.8684078352589</v>
      </c>
      <c r="W18" s="70">
        <f>(R18/(L18+M18))*100</f>
        <v>3327.4736313410344</v>
      </c>
    </row>
    <row r="19" spans="1:23" x14ac:dyDescent="0.25">
      <c r="A19" s="2" t="s">
        <v>724</v>
      </c>
      <c r="B19" s="2">
        <v>1</v>
      </c>
      <c r="C19" s="2" t="s">
        <v>32</v>
      </c>
      <c r="D19" s="2" t="s">
        <v>33</v>
      </c>
      <c r="E19" s="2" t="s">
        <v>38</v>
      </c>
      <c r="F19" s="66">
        <v>0.34</v>
      </c>
      <c r="G19" s="66">
        <v>0.34</v>
      </c>
      <c r="H19" s="66">
        <v>0.27</v>
      </c>
      <c r="I19" s="69">
        <v>0.61</v>
      </c>
      <c r="J19" s="66">
        <v>0.16</v>
      </c>
      <c r="K19" s="66">
        <v>0.23</v>
      </c>
      <c r="L19" s="19">
        <v>0.29339999999999999</v>
      </c>
      <c r="M19" s="2">
        <v>0.99890000000000001</v>
      </c>
      <c r="N19" s="2">
        <v>31.4099</v>
      </c>
      <c r="O19" s="2">
        <v>15.64</v>
      </c>
      <c r="P19" s="2">
        <v>15.72</v>
      </c>
      <c r="Q19" s="2">
        <v>0</v>
      </c>
      <c r="R19" s="2">
        <v>0</v>
      </c>
      <c r="S19" s="64">
        <f>(N19/(L19+M19))*100</f>
        <v>2430.5424437050219</v>
      </c>
      <c r="T19" s="64">
        <f>(O19/(L19+M19))*100</f>
        <v>1210.2452990791612</v>
      </c>
      <c r="U19" s="72">
        <f>(P19/(L19+M19))*100</f>
        <v>1216.4358121179293</v>
      </c>
      <c r="V19" s="2">
        <f>(Q19/(L19+M19))*100</f>
        <v>0</v>
      </c>
      <c r="W19" s="70">
        <f>(R19/(L19+M19))*100</f>
        <v>0</v>
      </c>
    </row>
    <row r="20" spans="1:23" x14ac:dyDescent="0.25">
      <c r="A20" s="2" t="s">
        <v>725</v>
      </c>
      <c r="B20" s="2">
        <v>2</v>
      </c>
      <c r="C20" s="2" t="s">
        <v>32</v>
      </c>
      <c r="D20" s="2" t="s">
        <v>39</v>
      </c>
      <c r="E20" s="2" t="s">
        <v>40</v>
      </c>
      <c r="F20" s="66">
        <v>0.05</v>
      </c>
      <c r="G20" s="66">
        <v>0.05</v>
      </c>
      <c r="H20" s="66">
        <v>0.28000000000000003</v>
      </c>
      <c r="I20" s="69">
        <v>0.33</v>
      </c>
      <c r="J20" s="66">
        <v>0.02</v>
      </c>
      <c r="K20" s="66">
        <v>0.64999999999999991</v>
      </c>
      <c r="L20" s="19">
        <v>0.21790000000000001</v>
      </c>
      <c r="M20" s="2">
        <v>0.79110000000000003</v>
      </c>
      <c r="N20" s="2">
        <v>591.91</v>
      </c>
      <c r="O20" s="2">
        <v>33.72</v>
      </c>
      <c r="P20" s="2">
        <v>33.65</v>
      </c>
      <c r="Q20" s="2">
        <v>490.31</v>
      </c>
      <c r="R20" s="2">
        <v>33.69</v>
      </c>
      <c r="S20" s="64">
        <f>(N20/(L20+M20))*100</f>
        <v>58663.032705649151</v>
      </c>
      <c r="T20" s="64">
        <f>(O20/(L20+M20))*100</f>
        <v>3341.9226957383544</v>
      </c>
      <c r="U20" s="72">
        <f>(P20/(L20+M20))*100</f>
        <v>3334.9851337958371</v>
      </c>
      <c r="V20" s="2">
        <f>(Q20/(L20+M20))*100</f>
        <v>48593.657086223975</v>
      </c>
      <c r="W20" s="70">
        <f>(R20/(L20+M20))*100</f>
        <v>3338.9494549058468</v>
      </c>
    </row>
    <row r="21" spans="1:23" x14ac:dyDescent="0.25">
      <c r="A21" s="2">
        <v>2</v>
      </c>
      <c r="B21" s="2">
        <v>2</v>
      </c>
      <c r="C21" s="2" t="s">
        <v>32</v>
      </c>
      <c r="D21" s="2" t="s">
        <v>39</v>
      </c>
      <c r="E21" s="2" t="s">
        <v>41</v>
      </c>
      <c r="F21" s="66">
        <v>0.56000000000000005</v>
      </c>
      <c r="G21" s="66">
        <v>0.56000000000000005</v>
      </c>
      <c r="H21" s="66">
        <v>0.27</v>
      </c>
      <c r="I21" s="69">
        <v>0.83</v>
      </c>
      <c r="J21" s="66">
        <v>0.06</v>
      </c>
      <c r="K21" s="66">
        <v>0.11000000000000004</v>
      </c>
      <c r="L21" s="19">
        <v>0.3115</v>
      </c>
      <c r="M21" s="2">
        <v>0.48920000000000002</v>
      </c>
      <c r="N21" s="19">
        <v>1619.17</v>
      </c>
      <c r="O21" s="2">
        <v>26.71</v>
      </c>
      <c r="P21" s="2">
        <v>26.76</v>
      </c>
      <c r="Q21" s="2">
        <v>1653.17</v>
      </c>
      <c r="R21" s="2">
        <v>26.66</v>
      </c>
      <c r="S21" s="64">
        <f>(N21/(L21+M21))*100</f>
        <v>202219.30810540778</v>
      </c>
      <c r="T21" s="64">
        <f>(O21/(L21+M21))*100</f>
        <v>3335.8311477457228</v>
      </c>
      <c r="U21" s="72">
        <f>(P21/(L21+M21))*100</f>
        <v>3342.0756837766958</v>
      </c>
      <c r="V21" s="2">
        <f>(Q21/(L21+M21))*100</f>
        <v>206465.59260646935</v>
      </c>
      <c r="W21" s="70">
        <f>(R21/(L21+M21))*100</f>
        <v>3329.5866117147498</v>
      </c>
    </row>
    <row r="22" spans="1:23" x14ac:dyDescent="0.25">
      <c r="A22" s="2" t="s">
        <v>725</v>
      </c>
      <c r="B22" s="2">
        <v>1</v>
      </c>
      <c r="C22" s="2" t="s">
        <v>32</v>
      </c>
      <c r="D22" s="2" t="s">
        <v>39</v>
      </c>
      <c r="E22" s="2" t="s">
        <v>42</v>
      </c>
      <c r="F22" s="66">
        <v>0.4</v>
      </c>
      <c r="G22" s="66">
        <v>0.4</v>
      </c>
      <c r="H22" s="66">
        <v>0.31</v>
      </c>
      <c r="I22" s="69">
        <v>0.71</v>
      </c>
      <c r="J22" s="66">
        <v>0.09</v>
      </c>
      <c r="K22" s="66">
        <v>0.20000000000000004</v>
      </c>
      <c r="L22" s="19">
        <v>0.27100000000000002</v>
      </c>
      <c r="M22" s="2">
        <v>0.80149999999999999</v>
      </c>
      <c r="N22" s="2">
        <v>238.55</v>
      </c>
      <c r="O22" s="2">
        <v>35.83</v>
      </c>
      <c r="P22" s="2">
        <v>35.86</v>
      </c>
      <c r="Q22" s="2">
        <v>129.5</v>
      </c>
      <c r="R22" s="2">
        <v>35.83</v>
      </c>
      <c r="S22" s="64">
        <f>(N22/(L22+M22))*100</f>
        <v>22242.424242424244</v>
      </c>
      <c r="T22" s="64">
        <f>(O22/(L22+M22))*100</f>
        <v>3340.7925407925404</v>
      </c>
      <c r="U22" s="72">
        <f>(P22/(L22+M22))*100</f>
        <v>3343.5897435897436</v>
      </c>
      <c r="V22" s="2">
        <f>(Q22/(L22+M22))*100</f>
        <v>12074.592074592074</v>
      </c>
      <c r="W22" s="70">
        <f>(R22/(L22+M22))*100</f>
        <v>3340.7925407925404</v>
      </c>
    </row>
    <row r="23" spans="1:23" x14ac:dyDescent="0.25">
      <c r="A23" s="2">
        <v>2</v>
      </c>
      <c r="B23" s="2">
        <v>1</v>
      </c>
      <c r="C23" s="2" t="s">
        <v>43</v>
      </c>
      <c r="D23" s="2" t="s">
        <v>44</v>
      </c>
      <c r="E23" s="2" t="s">
        <v>45</v>
      </c>
      <c r="F23" s="66">
        <v>0.42</v>
      </c>
      <c r="G23" s="66">
        <v>0.42</v>
      </c>
      <c r="H23" s="66">
        <v>0</v>
      </c>
      <c r="I23" s="69">
        <v>0.42</v>
      </c>
      <c r="J23" s="66">
        <v>0.57999999999999996</v>
      </c>
      <c r="K23" s="66">
        <v>1.1102230246251565E-16</v>
      </c>
      <c r="L23" s="19">
        <v>3.4799999999999998E-2</v>
      </c>
      <c r="M23" s="2">
        <v>3.0200000000000001E-2</v>
      </c>
      <c r="N23" s="19">
        <v>44.449399999999997</v>
      </c>
      <c r="O23" s="2">
        <v>3.24</v>
      </c>
      <c r="P23" s="2">
        <v>3.26</v>
      </c>
      <c r="Q23" s="2">
        <v>33.71</v>
      </c>
      <c r="R23" s="2">
        <v>3.3</v>
      </c>
      <c r="S23" s="64">
        <f>(N23/(L23+M23))*100</f>
        <v>68383.692307692298</v>
      </c>
      <c r="T23" s="64">
        <f>(O23/(L23+M23))*100</f>
        <v>4984.6153846153848</v>
      </c>
      <c r="U23" s="72">
        <f>(P23/(L23+M23))*100</f>
        <v>5015.3846153846143</v>
      </c>
      <c r="V23" s="2">
        <f>(Q23/(L23+M23))*100</f>
        <v>51861.538461538461</v>
      </c>
      <c r="W23" s="70">
        <f>(R23/(L23+M23))*100</f>
        <v>5076.9230769230762</v>
      </c>
    </row>
    <row r="24" spans="1:23" x14ac:dyDescent="0.25">
      <c r="A24" s="2">
        <v>2</v>
      </c>
      <c r="B24" s="2">
        <v>2</v>
      </c>
      <c r="C24" s="2" t="s">
        <v>43</v>
      </c>
      <c r="D24" s="2" t="s">
        <v>44</v>
      </c>
      <c r="E24" s="2" t="s">
        <v>46</v>
      </c>
      <c r="F24" s="66">
        <v>0.85</v>
      </c>
      <c r="G24" s="66">
        <v>0.85</v>
      </c>
      <c r="H24" s="66">
        <v>0</v>
      </c>
      <c r="I24" s="69">
        <v>0.85</v>
      </c>
      <c r="J24" s="66">
        <v>0.15</v>
      </c>
      <c r="K24" s="66">
        <v>2.7755575615628914E-17</v>
      </c>
      <c r="L24" s="19">
        <v>2.1399999999999999E-2</v>
      </c>
      <c r="M24" s="2">
        <v>8.3999999999999995E-3</v>
      </c>
      <c r="N24" s="2">
        <v>44.8979</v>
      </c>
      <c r="O24" s="2">
        <v>2.5299999999999998</v>
      </c>
      <c r="P24" s="2">
        <v>2.59</v>
      </c>
      <c r="Q24" s="2">
        <v>37.590000000000003</v>
      </c>
      <c r="R24" s="2">
        <v>2.57</v>
      </c>
      <c r="S24" s="64">
        <f>(N24/(L24+M24))*100</f>
        <v>150664.09395973154</v>
      </c>
      <c r="T24" s="64">
        <f>(O24/(L24+M24))*100</f>
        <v>8489.9328859060388</v>
      </c>
      <c r="U24" s="72">
        <f>(P24/(L24+M24))*100</f>
        <v>8691.2751677852339</v>
      </c>
      <c r="V24" s="2">
        <f>(Q24/(L24+M24))*100</f>
        <v>126140.93959731545</v>
      </c>
      <c r="W24" s="70">
        <f>(R24/(L24+M24))*100</f>
        <v>8624.161073825504</v>
      </c>
    </row>
    <row r="25" spans="1:23" x14ac:dyDescent="0.25">
      <c r="A25" s="2">
        <v>2</v>
      </c>
      <c r="B25" s="2">
        <v>2</v>
      </c>
      <c r="C25" s="2" t="s">
        <v>43</v>
      </c>
      <c r="D25" s="2" t="s">
        <v>44</v>
      </c>
      <c r="E25" s="2" t="s">
        <v>47</v>
      </c>
      <c r="F25" s="66">
        <v>0.82</v>
      </c>
      <c r="G25" s="66">
        <v>0.82</v>
      </c>
      <c r="H25" s="66">
        <v>0</v>
      </c>
      <c r="I25" s="69">
        <v>0.82</v>
      </c>
      <c r="J25" s="66">
        <v>0.18</v>
      </c>
      <c r="K25" s="66">
        <v>5.5511151231257827E-17</v>
      </c>
      <c r="L25" s="19">
        <v>0.02</v>
      </c>
      <c r="M25" s="2">
        <v>1.77E-2</v>
      </c>
      <c r="N25" s="2">
        <v>48.338500000000003</v>
      </c>
      <c r="O25" s="2">
        <v>3.24</v>
      </c>
      <c r="P25" s="2">
        <v>3.29</v>
      </c>
      <c r="Q25" s="2">
        <v>38.75</v>
      </c>
      <c r="R25" s="2">
        <v>3.24</v>
      </c>
      <c r="S25" s="64">
        <f>(N25/(L25+M25))*100</f>
        <v>128218.83289124671</v>
      </c>
      <c r="T25" s="64">
        <f>(O25/(L25+M25))*100</f>
        <v>8594.1644562334241</v>
      </c>
      <c r="U25" s="72">
        <f>(P25/(L25+M25))*100</f>
        <v>8726.7904509283817</v>
      </c>
      <c r="V25" s="2">
        <f>(Q25/(L25+M25))*100</f>
        <v>102785.14588859415</v>
      </c>
      <c r="W25" s="70">
        <f>(R25/(L25+M25))*100</f>
        <v>8594.1644562334241</v>
      </c>
    </row>
    <row r="26" spans="1:23" x14ac:dyDescent="0.25">
      <c r="A26" s="2">
        <v>1</v>
      </c>
      <c r="B26" s="2">
        <v>2</v>
      </c>
      <c r="C26" s="2" t="s">
        <v>43</v>
      </c>
      <c r="D26" s="2" t="s">
        <v>48</v>
      </c>
      <c r="E26" s="2" t="s">
        <v>49</v>
      </c>
      <c r="F26" s="66">
        <v>1</v>
      </c>
      <c r="G26" s="66">
        <v>1</v>
      </c>
      <c r="H26" s="66">
        <v>0</v>
      </c>
      <c r="I26" s="69">
        <v>1</v>
      </c>
      <c r="J26" s="66">
        <v>0</v>
      </c>
      <c r="K26" s="66">
        <v>0</v>
      </c>
      <c r="L26" s="19">
        <v>5.3600000000000002E-2</v>
      </c>
      <c r="M26" s="2">
        <v>9.7000000000000003E-2</v>
      </c>
      <c r="N26" s="2">
        <v>237.44</v>
      </c>
      <c r="O26" s="2">
        <v>13.92</v>
      </c>
      <c r="P26" s="2">
        <v>13.92</v>
      </c>
      <c r="Q26" s="2">
        <v>196.17</v>
      </c>
      <c r="R26" s="2">
        <v>13.91</v>
      </c>
      <c r="S26" s="64">
        <f>(N26/(L26+M26))*100</f>
        <v>157662.68260292162</v>
      </c>
      <c r="T26" s="64">
        <f>(O26/(L26+M26))*100</f>
        <v>9243.0278884462132</v>
      </c>
      <c r="U26" s="72">
        <f>(P26/(L26+M26))*100</f>
        <v>9243.0278884462132</v>
      </c>
      <c r="V26" s="2">
        <f>(Q26/(L26+M26))*100</f>
        <v>130258.96414342629</v>
      </c>
      <c r="W26" s="70">
        <f>(R26/(L26+M26))*100</f>
        <v>9236.3877822045142</v>
      </c>
    </row>
    <row r="27" spans="1:23" x14ac:dyDescent="0.25">
      <c r="A27" s="2">
        <v>2</v>
      </c>
      <c r="B27" s="2">
        <v>2</v>
      </c>
      <c r="C27" s="2" t="s">
        <v>43</v>
      </c>
      <c r="D27" s="2" t="s">
        <v>50</v>
      </c>
      <c r="E27" s="2" t="s">
        <v>51</v>
      </c>
      <c r="F27" s="66">
        <v>1</v>
      </c>
      <c r="G27" s="66">
        <v>1</v>
      </c>
      <c r="H27" s="66">
        <v>0</v>
      </c>
      <c r="I27" s="69">
        <v>1</v>
      </c>
      <c r="J27" s="66">
        <v>0</v>
      </c>
      <c r="K27" s="66">
        <v>0</v>
      </c>
      <c r="L27" s="19">
        <v>9.4600000000000004E-2</v>
      </c>
      <c r="M27" s="2">
        <v>8.9300000000000004E-2</v>
      </c>
      <c r="N27" s="2">
        <v>108.82</v>
      </c>
      <c r="O27" s="2">
        <v>12.45</v>
      </c>
      <c r="P27" s="2">
        <v>12.48</v>
      </c>
      <c r="Q27" s="2">
        <v>71.72</v>
      </c>
      <c r="R27" s="2">
        <v>12.49</v>
      </c>
      <c r="S27" s="64">
        <f>(N27/(L27+M27))*100</f>
        <v>59173.463839042946</v>
      </c>
      <c r="T27" s="64">
        <f>(O27/(L27+M27))*100</f>
        <v>6769.9836867862959</v>
      </c>
      <c r="U27" s="72">
        <f>(P27/(L27+M27))*100</f>
        <v>6786.2969004893966</v>
      </c>
      <c r="V27" s="2">
        <f>(Q27/(L27+M27))*100</f>
        <v>38999.456226209892</v>
      </c>
      <c r="W27" s="70">
        <f>(R27/(L27+M27))*100</f>
        <v>6791.7346383904287</v>
      </c>
    </row>
    <row r="28" spans="1:23" x14ac:dyDescent="0.25">
      <c r="A28" s="2">
        <v>2</v>
      </c>
      <c r="B28" s="2">
        <v>2</v>
      </c>
      <c r="C28" s="2" t="s">
        <v>43</v>
      </c>
      <c r="D28" s="2" t="s">
        <v>50</v>
      </c>
      <c r="E28" s="2" t="s">
        <v>52</v>
      </c>
      <c r="F28" s="66">
        <v>0.76</v>
      </c>
      <c r="G28" s="66">
        <v>0.76</v>
      </c>
      <c r="H28" s="66">
        <v>0</v>
      </c>
      <c r="I28" s="69">
        <v>0.76</v>
      </c>
      <c r="J28" s="66">
        <v>0.24</v>
      </c>
      <c r="K28" s="66">
        <v>0</v>
      </c>
      <c r="L28" s="19">
        <v>8.8400000000000006E-2</v>
      </c>
      <c r="M28" s="2">
        <v>0.13120000000000001</v>
      </c>
      <c r="N28" s="2">
        <v>255.62</v>
      </c>
      <c r="O28" s="2">
        <v>15.21</v>
      </c>
      <c r="P28" s="2">
        <v>15.19</v>
      </c>
      <c r="Q28" s="2">
        <v>210.48</v>
      </c>
      <c r="R28" s="2">
        <v>15.23</v>
      </c>
      <c r="S28" s="64">
        <f>(N28/(L28+M28))*100</f>
        <v>116402.55009107468</v>
      </c>
      <c r="T28" s="64">
        <f>(O28/(L28+M28))*100</f>
        <v>6926.2295081967213</v>
      </c>
      <c r="U28" s="72">
        <f>(P28/(L28+M28))*100</f>
        <v>6917.1220400728589</v>
      </c>
      <c r="V28" s="2">
        <f>(Q28/(L28+M28))*100</f>
        <v>95846.994535519116</v>
      </c>
      <c r="W28" s="70">
        <f>(R28/(L28+M28))*100</f>
        <v>6935.3369763205819</v>
      </c>
    </row>
    <row r="29" spans="1:23" x14ac:dyDescent="0.25">
      <c r="A29" s="2">
        <v>2</v>
      </c>
      <c r="B29" s="2">
        <v>2</v>
      </c>
      <c r="C29" s="2" t="s">
        <v>43</v>
      </c>
      <c r="D29" s="2" t="s">
        <v>50</v>
      </c>
      <c r="E29" s="2" t="s">
        <v>53</v>
      </c>
      <c r="F29" s="66">
        <v>0.94</v>
      </c>
      <c r="G29" s="66">
        <v>0.94</v>
      </c>
      <c r="H29" s="66">
        <v>0</v>
      </c>
      <c r="I29" s="69">
        <v>0.94</v>
      </c>
      <c r="J29" s="66">
        <v>0.06</v>
      </c>
      <c r="K29" s="66">
        <v>5.5511151231257827E-17</v>
      </c>
      <c r="L29" s="19">
        <v>6.6299999999999998E-2</v>
      </c>
      <c r="M29" s="2">
        <v>0.10730000000000001</v>
      </c>
      <c r="N29" s="2">
        <v>118.38</v>
      </c>
      <c r="O29" s="2">
        <v>10.23</v>
      </c>
      <c r="P29" s="2">
        <v>10.210000000000001</v>
      </c>
      <c r="Q29" s="2">
        <v>87.73</v>
      </c>
      <c r="R29" s="2">
        <v>10.210000000000001</v>
      </c>
      <c r="S29" s="64">
        <f>(N29/(L29+M29))*100</f>
        <v>68191.244239631327</v>
      </c>
      <c r="T29" s="64">
        <f>(O29/(L29+M29))*100</f>
        <v>5892.8571428571431</v>
      </c>
      <c r="U29" s="72">
        <f>(P29/(L29+M29))*100</f>
        <v>5881.3364055299544</v>
      </c>
      <c r="V29" s="2">
        <f>(Q29/(L29+M29))*100</f>
        <v>50535.71428571429</v>
      </c>
      <c r="W29" s="70">
        <f>(R29/(L29+M29))*100</f>
        <v>5881.3364055299544</v>
      </c>
    </row>
    <row r="30" spans="1:23" x14ac:dyDescent="0.25">
      <c r="A30" s="2">
        <v>3</v>
      </c>
      <c r="B30" s="2">
        <v>1</v>
      </c>
      <c r="C30" s="2" t="s">
        <v>43</v>
      </c>
      <c r="D30" s="2" t="s">
        <v>50</v>
      </c>
      <c r="E30" s="2" t="s">
        <v>54</v>
      </c>
      <c r="F30" s="66">
        <v>0.84</v>
      </c>
      <c r="G30" s="66">
        <v>0.84</v>
      </c>
      <c r="H30" s="66">
        <v>0</v>
      </c>
      <c r="I30" s="69">
        <v>0.84</v>
      </c>
      <c r="J30" s="66">
        <v>0.16</v>
      </c>
      <c r="K30" s="66">
        <v>2.7755575615628914E-17</v>
      </c>
      <c r="L30" s="19">
        <v>7.7399999999999997E-2</v>
      </c>
      <c r="M30" s="2">
        <v>0.11020000000000001</v>
      </c>
      <c r="N30" s="2">
        <v>283.31</v>
      </c>
      <c r="O30" s="2">
        <v>15.65</v>
      </c>
      <c r="P30" s="2">
        <v>15.66</v>
      </c>
      <c r="Q30" s="19">
        <v>249.24</v>
      </c>
      <c r="R30" s="2">
        <v>15.69</v>
      </c>
      <c r="S30" s="64">
        <f>(N30/(L30+M30))*100</f>
        <v>151018.1236673774</v>
      </c>
      <c r="T30" s="64">
        <f>(O30/(L30+M30))*100</f>
        <v>8342.2174840085281</v>
      </c>
      <c r="U30" s="72">
        <f>(P30/(L30+M30))*100</f>
        <v>8347.5479744136464</v>
      </c>
      <c r="V30" s="2">
        <f>(Q30/(L30+M30))*100</f>
        <v>132857.14285714287</v>
      </c>
      <c r="W30" s="70">
        <f>(R30/(L30+M30))*100</f>
        <v>8363.5394456289978</v>
      </c>
    </row>
    <row r="31" spans="1:23" x14ac:dyDescent="0.25">
      <c r="A31" s="2" t="s">
        <v>724</v>
      </c>
      <c r="B31" s="2">
        <v>2</v>
      </c>
      <c r="C31" s="2" t="s">
        <v>43</v>
      </c>
      <c r="D31" s="2" t="s">
        <v>55</v>
      </c>
      <c r="E31" s="2" t="s">
        <v>56</v>
      </c>
      <c r="F31" s="66">
        <v>0.02</v>
      </c>
      <c r="G31" s="66">
        <v>0.02</v>
      </c>
      <c r="H31" s="66">
        <v>0.42</v>
      </c>
      <c r="I31" s="69">
        <v>0.44</v>
      </c>
      <c r="J31" s="66">
        <v>0</v>
      </c>
      <c r="K31" s="66">
        <v>0.56000000000000005</v>
      </c>
      <c r="L31" s="19">
        <v>1.6899</v>
      </c>
      <c r="M31" s="2">
        <v>0.68600000000000005</v>
      </c>
      <c r="N31" s="2">
        <v>103.24250000000001</v>
      </c>
      <c r="O31" s="2">
        <v>51.52</v>
      </c>
      <c r="P31" s="2">
        <v>51.49</v>
      </c>
      <c r="Q31" s="2">
        <v>0</v>
      </c>
      <c r="R31" s="2">
        <v>0</v>
      </c>
      <c r="S31" s="64">
        <f>(N31/(L31+M31))*100</f>
        <v>4345.405951428932</v>
      </c>
      <c r="T31" s="64">
        <f>(O31/(L31+M31))*100</f>
        <v>2168.4414327202321</v>
      </c>
      <c r="U31" s="72">
        <f>(P31/(L31+M31))*100</f>
        <v>2167.1787533145334</v>
      </c>
      <c r="V31" s="2">
        <f>(Q31/(L31+M31))*100</f>
        <v>0</v>
      </c>
      <c r="W31" s="70">
        <f>(R31/(L31+M31))*100</f>
        <v>0</v>
      </c>
    </row>
    <row r="32" spans="1:23" x14ac:dyDescent="0.25">
      <c r="A32" s="2">
        <v>2</v>
      </c>
      <c r="B32" s="2">
        <v>2</v>
      </c>
      <c r="C32" s="2" t="s">
        <v>43</v>
      </c>
      <c r="D32" s="2" t="s">
        <v>57</v>
      </c>
      <c r="E32" s="2" t="s">
        <v>58</v>
      </c>
      <c r="F32" s="66">
        <v>0</v>
      </c>
      <c r="G32" s="66">
        <v>0</v>
      </c>
      <c r="H32" s="66">
        <v>0.57894736842105265</v>
      </c>
      <c r="I32" s="69">
        <v>0.57894736842105265</v>
      </c>
      <c r="J32" s="66">
        <v>0</v>
      </c>
      <c r="K32" s="66">
        <v>0.42105263157894735</v>
      </c>
      <c r="L32" s="19">
        <v>0.45390000000000003</v>
      </c>
      <c r="M32" s="2">
        <v>0.81020000000000003</v>
      </c>
      <c r="N32" s="2">
        <v>150.1</v>
      </c>
      <c r="O32" s="2">
        <v>42.24</v>
      </c>
      <c r="P32" s="2">
        <v>42.23</v>
      </c>
      <c r="Q32" s="2">
        <v>23.36</v>
      </c>
      <c r="R32" s="2">
        <v>42.23</v>
      </c>
      <c r="S32" s="64">
        <f>(N32/(L32+M32))*100</f>
        <v>11874.060596471798</v>
      </c>
      <c r="T32" s="64">
        <f>(O32/(L32+M32))*100</f>
        <v>3341.5077921050552</v>
      </c>
      <c r="U32" s="72">
        <f>(P32/(L32+M32))*100</f>
        <v>3340.7167154497265</v>
      </c>
      <c r="V32" s="2">
        <f>(Q32/(L32+M32))*100</f>
        <v>1847.9550668459772</v>
      </c>
      <c r="W32" s="70">
        <f>(R32/(L32+M32))*100</f>
        <v>3340.7167154497265</v>
      </c>
    </row>
    <row r="33" spans="1:23" x14ac:dyDescent="0.25">
      <c r="A33" s="2">
        <v>3</v>
      </c>
      <c r="B33" s="2">
        <v>1</v>
      </c>
      <c r="C33" s="2" t="s">
        <v>43</v>
      </c>
      <c r="D33" s="2" t="s">
        <v>59</v>
      </c>
      <c r="E33" s="2" t="s">
        <v>60</v>
      </c>
      <c r="F33" s="66">
        <v>0.20689655172413793</v>
      </c>
      <c r="G33" s="66">
        <v>0.20689655172413793</v>
      </c>
      <c r="H33" s="66">
        <v>0.51724137931034486</v>
      </c>
      <c r="I33" s="69">
        <v>0.72413793103448276</v>
      </c>
      <c r="J33" s="66">
        <v>0.10344827586206896</v>
      </c>
      <c r="K33" s="66">
        <v>0.17241379310344829</v>
      </c>
      <c r="L33" s="19">
        <v>0.12820000000000001</v>
      </c>
      <c r="M33" s="2">
        <v>0.83309999999999995</v>
      </c>
      <c r="N33" s="2">
        <v>224.7</v>
      </c>
      <c r="O33" s="2">
        <v>12.97</v>
      </c>
      <c r="P33" s="2">
        <v>12.22</v>
      </c>
      <c r="Q33" s="2">
        <v>187.3</v>
      </c>
      <c r="R33" s="2">
        <v>12.19</v>
      </c>
      <c r="S33" s="64">
        <f>(N33/(L33+M33))*100</f>
        <v>23374.596900031207</v>
      </c>
      <c r="T33" s="64">
        <f>(O33/(L33+M33))*100</f>
        <v>1349.2146052220953</v>
      </c>
      <c r="U33" s="72">
        <f>(P33/(L33+M33))*100</f>
        <v>1271.1952564235933</v>
      </c>
      <c r="V33" s="2">
        <f>(Q33/(L33+M33))*100</f>
        <v>19484.032039945909</v>
      </c>
      <c r="W33" s="70">
        <f>(R33/(L33+M33))*100</f>
        <v>1268.074482471653</v>
      </c>
    </row>
    <row r="34" spans="1:23" x14ac:dyDescent="0.25">
      <c r="A34" s="2">
        <v>1</v>
      </c>
      <c r="B34" s="2">
        <v>2</v>
      </c>
      <c r="C34" s="2" t="s">
        <v>43</v>
      </c>
      <c r="D34" s="2" t="s">
        <v>59</v>
      </c>
      <c r="E34" s="2" t="s">
        <v>61</v>
      </c>
      <c r="F34" s="66">
        <v>0.23636363636363636</v>
      </c>
      <c r="G34" s="66">
        <v>0.23636363636363636</v>
      </c>
      <c r="H34" s="66">
        <v>0.47272727272727272</v>
      </c>
      <c r="I34" s="69">
        <v>0.70909090909090911</v>
      </c>
      <c r="J34" s="66">
        <v>7.2727272727272724E-2</v>
      </c>
      <c r="K34" s="66">
        <v>0.21818181818181817</v>
      </c>
      <c r="L34" s="19">
        <v>0.14610000000000001</v>
      </c>
      <c r="M34" s="2">
        <v>0.47199999999999998</v>
      </c>
      <c r="N34" s="2">
        <v>86.98</v>
      </c>
      <c r="O34" s="2">
        <v>20.61</v>
      </c>
      <c r="P34" s="2">
        <v>20.61</v>
      </c>
      <c r="Q34" s="2">
        <v>25.15</v>
      </c>
      <c r="R34" s="2">
        <v>20.61</v>
      </c>
      <c r="S34" s="64">
        <f>(N34/(L34+M34))*100</f>
        <v>14072.156608962954</v>
      </c>
      <c r="T34" s="64">
        <f>(O34/(L34+M34))*100</f>
        <v>3334.4119074583405</v>
      </c>
      <c r="U34" s="72">
        <f>(P34/(L34+M34))*100</f>
        <v>3334.4119074583405</v>
      </c>
      <c r="V34" s="2">
        <f>(Q34/(L34+M34))*100</f>
        <v>4068.9208865879309</v>
      </c>
      <c r="W34" s="70">
        <f>(R34/(L34+M34))*100</f>
        <v>3334.4119074583405</v>
      </c>
    </row>
    <row r="35" spans="1:23" x14ac:dyDescent="0.25">
      <c r="A35" s="2">
        <v>2</v>
      </c>
      <c r="B35" s="2">
        <v>1</v>
      </c>
      <c r="C35" s="2" t="s">
        <v>43</v>
      </c>
      <c r="D35" s="2" t="s">
        <v>59</v>
      </c>
      <c r="E35" s="2" t="s">
        <v>62</v>
      </c>
      <c r="F35" s="66">
        <v>9.6491228070175433E-2</v>
      </c>
      <c r="G35" s="66">
        <v>9.6491228070175433E-2</v>
      </c>
      <c r="H35" s="66">
        <v>0.42105263157894735</v>
      </c>
      <c r="I35" s="69">
        <v>0.51754385964912286</v>
      </c>
      <c r="J35" s="66">
        <v>0.19298245614035087</v>
      </c>
      <c r="K35" s="66">
        <v>0.28947368421052627</v>
      </c>
      <c r="L35" s="19">
        <v>0.1217</v>
      </c>
      <c r="M35" s="2">
        <v>0.22289999999999999</v>
      </c>
      <c r="N35" s="2">
        <v>68.58</v>
      </c>
      <c r="O35" s="2">
        <v>11.48</v>
      </c>
      <c r="P35" s="2">
        <v>11.48</v>
      </c>
      <c r="Q35" s="2">
        <v>34.21</v>
      </c>
      <c r="R35" s="2">
        <v>11.48</v>
      </c>
      <c r="S35" s="64">
        <f>(N35/(L35+M35))*100</f>
        <v>19901.334881021474</v>
      </c>
      <c r="T35" s="64">
        <f>(O35/(L35+M35))*100</f>
        <v>3331.3987231572837</v>
      </c>
      <c r="U35" s="72">
        <f>(P35/(L35+M35))*100</f>
        <v>3331.3987231572837</v>
      </c>
      <c r="V35" s="2">
        <f>(Q35/(L35+M35))*100</f>
        <v>9927.4521183981415</v>
      </c>
      <c r="W35" s="70">
        <f>(R35/(L35+M35))*100</f>
        <v>3331.3987231572837</v>
      </c>
    </row>
    <row r="36" spans="1:23" x14ac:dyDescent="0.25">
      <c r="A36" s="2">
        <v>2</v>
      </c>
      <c r="B36" s="2">
        <v>1</v>
      </c>
      <c r="C36" s="2" t="s">
        <v>43</v>
      </c>
      <c r="D36" s="2" t="s">
        <v>59</v>
      </c>
      <c r="E36" s="2" t="s">
        <v>63</v>
      </c>
      <c r="F36" s="66">
        <v>0.45</v>
      </c>
      <c r="G36" s="66">
        <v>0.45</v>
      </c>
      <c r="H36" s="66">
        <v>0.34</v>
      </c>
      <c r="I36" s="69">
        <v>0.79</v>
      </c>
      <c r="J36" s="66">
        <v>0.06</v>
      </c>
      <c r="K36" s="66">
        <v>0.14999999999999997</v>
      </c>
      <c r="L36" s="19">
        <v>0.14330000000000001</v>
      </c>
      <c r="M36" s="2">
        <v>0.71120000000000005</v>
      </c>
      <c r="N36" s="2">
        <v>192.1</v>
      </c>
      <c r="O36" s="2">
        <v>28.5</v>
      </c>
      <c r="P36" s="2">
        <v>28.47</v>
      </c>
      <c r="Q36" s="2">
        <v>105.75</v>
      </c>
      <c r="R36" s="2">
        <v>28.48</v>
      </c>
      <c r="S36" s="64">
        <f>(N36/(L36+M36))*100</f>
        <v>22480.983031012285</v>
      </c>
      <c r="T36" s="64">
        <f>(O36/(L36+M36))*100</f>
        <v>3335.2837916910476</v>
      </c>
      <c r="U36" s="72">
        <f>(P36/(L36+M36))*100</f>
        <v>3331.7729666471623</v>
      </c>
      <c r="V36" s="2">
        <f>(Q36/(L36+M36))*100</f>
        <v>12375.658279695728</v>
      </c>
      <c r="W36" s="70">
        <f>(R36/(L36+M36))*100</f>
        <v>3332.9432416617906</v>
      </c>
    </row>
    <row r="37" spans="1:23" x14ac:dyDescent="0.25">
      <c r="A37" s="2" t="s">
        <v>724</v>
      </c>
      <c r="B37" s="2">
        <v>1</v>
      </c>
      <c r="C37" s="2" t="s">
        <v>43</v>
      </c>
      <c r="D37" s="2" t="s">
        <v>59</v>
      </c>
      <c r="E37" s="2" t="s">
        <v>64</v>
      </c>
      <c r="F37" s="66">
        <v>0.57999999999999996</v>
      </c>
      <c r="G37" s="66">
        <v>0.57999999999999996</v>
      </c>
      <c r="H37" s="66">
        <v>0.13</v>
      </c>
      <c r="I37" s="69">
        <v>0.71</v>
      </c>
      <c r="J37" s="66">
        <v>0.09</v>
      </c>
      <c r="K37" s="66">
        <v>0.20000000000000004</v>
      </c>
      <c r="L37" s="19">
        <v>0.15079999999999999</v>
      </c>
      <c r="M37" s="2">
        <v>0.80640000000000001</v>
      </c>
      <c r="N37" s="2">
        <v>49.31</v>
      </c>
      <c r="O37" s="2">
        <v>24.79</v>
      </c>
      <c r="P37" s="2">
        <v>24.77</v>
      </c>
      <c r="Q37" s="2">
        <v>0</v>
      </c>
      <c r="R37" s="2">
        <v>0</v>
      </c>
      <c r="S37" s="64">
        <f>(N37/(L37+M37))*100</f>
        <v>5151.4834935227746</v>
      </c>
      <c r="T37" s="64">
        <f>(O37/(L37+M37))*100</f>
        <v>2589.8453823652317</v>
      </c>
      <c r="U37" s="72">
        <f>(P37/(L37+M37))*100</f>
        <v>2587.7559548683662</v>
      </c>
      <c r="V37" s="2">
        <f>(Q37/(L37+M37))*100</f>
        <v>0</v>
      </c>
      <c r="W37" s="70">
        <f>(R37/(L37+M37))*100</f>
        <v>0</v>
      </c>
    </row>
    <row r="38" spans="1:23" x14ac:dyDescent="0.25">
      <c r="A38" s="2">
        <v>2</v>
      </c>
      <c r="B38" s="2">
        <v>2</v>
      </c>
      <c r="C38" s="2" t="s">
        <v>43</v>
      </c>
      <c r="D38" s="2" t="s">
        <v>59</v>
      </c>
      <c r="E38" s="2" t="s">
        <v>65</v>
      </c>
      <c r="F38" s="66">
        <v>0.57999999999999996</v>
      </c>
      <c r="G38" s="66">
        <v>0.57999999999999996</v>
      </c>
      <c r="H38" s="66">
        <v>0.19</v>
      </c>
      <c r="I38" s="69">
        <v>0.77</v>
      </c>
      <c r="J38" s="66">
        <v>0.11</v>
      </c>
      <c r="K38" s="66">
        <v>0.11999999999999998</v>
      </c>
      <c r="L38" s="19">
        <v>0.13150000000000001</v>
      </c>
      <c r="M38" s="2">
        <v>0.66210000000000002</v>
      </c>
      <c r="N38" s="2">
        <v>76.23</v>
      </c>
      <c r="O38" s="2">
        <v>25.47</v>
      </c>
      <c r="P38" s="2">
        <v>25.48</v>
      </c>
      <c r="Q38" s="2">
        <v>0</v>
      </c>
      <c r="R38" s="2">
        <v>25.4</v>
      </c>
      <c r="S38" s="64">
        <f>(N38/(L38+M38))*100</f>
        <v>9605.5947580645152</v>
      </c>
      <c r="T38" s="64">
        <f>(O38/(L38+M38))*100</f>
        <v>3209.4254032258059</v>
      </c>
      <c r="U38" s="72">
        <f>(P38/(L38+M38))*100</f>
        <v>3210.6854838709673</v>
      </c>
      <c r="V38" s="2">
        <f>(Q38/(L38+M38))*100</f>
        <v>0</v>
      </c>
      <c r="W38" s="70">
        <f>(R38/(L38+M38))*100</f>
        <v>3200.6048387096771</v>
      </c>
    </row>
    <row r="39" spans="1:23" x14ac:dyDescent="0.25">
      <c r="A39" s="2">
        <v>2</v>
      </c>
      <c r="B39" s="2">
        <v>1</v>
      </c>
      <c r="C39" s="2" t="s">
        <v>43</v>
      </c>
      <c r="D39" s="2" t="s">
        <v>59</v>
      </c>
      <c r="E39" s="2" t="s">
        <v>66</v>
      </c>
      <c r="F39" s="66">
        <v>0.5982142857142857</v>
      </c>
      <c r="G39" s="66">
        <v>0.5982142857142857</v>
      </c>
      <c r="H39" s="66">
        <v>0.21428571428571427</v>
      </c>
      <c r="I39" s="69">
        <v>0.8125</v>
      </c>
      <c r="J39" s="66">
        <v>8.9285714285714288E-2</v>
      </c>
      <c r="K39" s="66">
        <v>9.8214285714285712E-2</v>
      </c>
      <c r="L39" s="19">
        <v>0.1517</v>
      </c>
      <c r="M39" s="2">
        <v>0.55310000000000004</v>
      </c>
      <c r="N39" s="19">
        <v>166.71</v>
      </c>
      <c r="O39" s="2">
        <v>23.46</v>
      </c>
      <c r="P39" s="2">
        <v>23.5</v>
      </c>
      <c r="Q39" s="2">
        <v>95.94</v>
      </c>
      <c r="R39" s="2">
        <v>23.51</v>
      </c>
      <c r="S39" s="64">
        <f>(N39/(L39+M39))*100</f>
        <v>23653.518728717365</v>
      </c>
      <c r="T39" s="64">
        <f>(O39/(L39+M39))*100</f>
        <v>3328.6038592508512</v>
      </c>
      <c r="U39" s="72">
        <f>(P39/(L39+M39))*100</f>
        <v>3334.2792281498291</v>
      </c>
      <c r="V39" s="2">
        <f>(Q39/(L39+M39))*100</f>
        <v>13612.372304199773</v>
      </c>
      <c r="W39" s="70">
        <f>(R39/(L39+M39))*100</f>
        <v>3335.6980703745739</v>
      </c>
    </row>
    <row r="40" spans="1:23" x14ac:dyDescent="0.25">
      <c r="A40" s="2">
        <v>1</v>
      </c>
      <c r="B40" s="2">
        <v>2</v>
      </c>
      <c r="C40" s="2" t="s">
        <v>43</v>
      </c>
      <c r="D40" s="2" t="s">
        <v>67</v>
      </c>
      <c r="E40" s="2" t="s">
        <v>68</v>
      </c>
      <c r="F40" s="66">
        <v>0.53</v>
      </c>
      <c r="G40" s="66">
        <v>0.53</v>
      </c>
      <c r="H40" s="66">
        <v>0.11</v>
      </c>
      <c r="I40" s="69">
        <v>0.64</v>
      </c>
      <c r="J40" s="66">
        <v>0.19</v>
      </c>
      <c r="K40" s="66">
        <v>0.16999999999999998</v>
      </c>
      <c r="L40" s="19">
        <v>1.8499999999999999E-2</v>
      </c>
      <c r="M40" s="2">
        <v>0.69869999999999999</v>
      </c>
      <c r="N40" s="19">
        <v>177.81</v>
      </c>
      <c r="O40" s="2">
        <v>23.4</v>
      </c>
      <c r="P40" s="2">
        <v>23.39</v>
      </c>
      <c r="Q40" s="2">
        <v>108.33</v>
      </c>
      <c r="R40" s="2">
        <v>23.4</v>
      </c>
      <c r="S40" s="64">
        <f>(N40/(L40+M40))*100</f>
        <v>24792.247629670946</v>
      </c>
      <c r="T40" s="64">
        <f>(O40/(L40+M40))*100</f>
        <v>3262.688232013385</v>
      </c>
      <c r="U40" s="72">
        <f>(P40/(L40+M40))*100</f>
        <v>3261.2939208031235</v>
      </c>
      <c r="V40" s="2">
        <f>(Q40/(L40+M40))*100</f>
        <v>15104.573340769661</v>
      </c>
      <c r="W40" s="70">
        <f>(R40/(L40+M40))*100</f>
        <v>3262.688232013385</v>
      </c>
    </row>
    <row r="41" spans="1:23" x14ac:dyDescent="0.25">
      <c r="A41" s="2">
        <v>2</v>
      </c>
      <c r="B41" s="2">
        <v>2</v>
      </c>
      <c r="C41" s="2" t="s">
        <v>43</v>
      </c>
      <c r="D41" s="2" t="s">
        <v>67</v>
      </c>
      <c r="E41" s="2" t="s">
        <v>69</v>
      </c>
      <c r="F41" s="66">
        <v>0.26</v>
      </c>
      <c r="G41" s="66">
        <v>0.26</v>
      </c>
      <c r="H41" s="66">
        <v>0.05</v>
      </c>
      <c r="I41" s="69">
        <v>0.31</v>
      </c>
      <c r="J41" s="66">
        <v>0.35</v>
      </c>
      <c r="K41" s="66">
        <v>0.33999999999999997</v>
      </c>
      <c r="L41" s="19">
        <v>2.1000000000000001E-2</v>
      </c>
      <c r="M41" s="2">
        <v>0.8901</v>
      </c>
      <c r="N41" s="2">
        <v>97.61</v>
      </c>
      <c r="O41" s="2">
        <v>17.829999999999998</v>
      </c>
      <c r="P41" s="2">
        <v>17.89</v>
      </c>
      <c r="Q41" s="2">
        <v>44.16</v>
      </c>
      <c r="R41" s="2">
        <v>17.86</v>
      </c>
      <c r="S41" s="64">
        <f>(N41/(L41+M41))*100</f>
        <v>10713.423334430909</v>
      </c>
      <c r="T41" s="64">
        <f>(O41/(L41+M41))*100</f>
        <v>1956.9750850620128</v>
      </c>
      <c r="U41" s="72">
        <f>(P41/(L41+M41))*100</f>
        <v>1963.5605312259904</v>
      </c>
      <c r="V41" s="2">
        <f>(Q41/(L41+M41))*100</f>
        <v>4846.8883766875206</v>
      </c>
      <c r="W41" s="70">
        <f>(R41/(L41+M41))*100</f>
        <v>1960.2678081440015</v>
      </c>
    </row>
    <row r="42" spans="1:23" x14ac:dyDescent="0.25">
      <c r="A42" s="2">
        <v>1</v>
      </c>
      <c r="B42" s="2">
        <v>2</v>
      </c>
      <c r="C42" s="2" t="s">
        <v>43</v>
      </c>
      <c r="D42" s="2" t="s">
        <v>67</v>
      </c>
      <c r="E42" s="2" t="s">
        <v>70</v>
      </c>
      <c r="F42" s="66">
        <v>0.7</v>
      </c>
      <c r="G42" s="66">
        <v>0.7</v>
      </c>
      <c r="H42" s="66">
        <v>0.06</v>
      </c>
      <c r="I42" s="69">
        <v>0.76</v>
      </c>
      <c r="J42" s="66">
        <v>0.18</v>
      </c>
      <c r="K42" s="66">
        <v>0.06</v>
      </c>
      <c r="L42" s="19">
        <v>1.49E-2</v>
      </c>
      <c r="M42" s="2">
        <v>0.63919999999999999</v>
      </c>
      <c r="N42" s="2">
        <v>55.48</v>
      </c>
      <c r="O42" s="2">
        <v>18.57</v>
      </c>
      <c r="P42" s="2">
        <v>18.61</v>
      </c>
      <c r="Q42" s="2">
        <v>0</v>
      </c>
      <c r="R42" s="2">
        <v>18.489999999999998</v>
      </c>
      <c r="S42" s="64">
        <f>(N42/(L42+M42))*100</f>
        <v>8481.8835040513677</v>
      </c>
      <c r="T42" s="64">
        <f>(O42/(L42+M42))*100</f>
        <v>2839.0154410640571</v>
      </c>
      <c r="U42" s="72">
        <f>(P42/(L42+M42))*100</f>
        <v>2845.1307139581104</v>
      </c>
      <c r="V42" s="2">
        <f>(Q42/(L42+M42))*100</f>
        <v>0</v>
      </c>
      <c r="W42" s="70">
        <f>(R42/(L42+M42))*100</f>
        <v>2826.7848952759514</v>
      </c>
    </row>
    <row r="43" spans="1:23" x14ac:dyDescent="0.25">
      <c r="A43" s="2" t="s">
        <v>724</v>
      </c>
      <c r="B43" s="2">
        <v>1</v>
      </c>
      <c r="C43" s="2" t="s">
        <v>43</v>
      </c>
      <c r="D43" s="2" t="s">
        <v>67</v>
      </c>
      <c r="E43" s="2" t="s">
        <v>71</v>
      </c>
      <c r="F43" s="66">
        <v>0.58333333333333337</v>
      </c>
      <c r="G43" s="66">
        <v>0.58333333333333337</v>
      </c>
      <c r="H43" s="66">
        <v>3.7037037037037035E-2</v>
      </c>
      <c r="I43" s="69">
        <v>0.62037037037037035</v>
      </c>
      <c r="J43" s="66">
        <v>0.19444444444444445</v>
      </c>
      <c r="K43" s="66">
        <v>0.1851851851851852</v>
      </c>
      <c r="L43" s="19">
        <v>1.8200000000000001E-2</v>
      </c>
      <c r="M43" s="2">
        <v>0.72170000000000001</v>
      </c>
      <c r="N43" s="2">
        <v>48.06</v>
      </c>
      <c r="O43" s="2">
        <v>24.17</v>
      </c>
      <c r="P43" s="2">
        <v>24.21</v>
      </c>
      <c r="Q43" s="2">
        <v>0</v>
      </c>
      <c r="R43" s="2">
        <v>0</v>
      </c>
      <c r="S43" s="64">
        <f>(N43/(L43+M43))*100</f>
        <v>6495.4723611298832</v>
      </c>
      <c r="T43" s="64">
        <f>(O43/(L43+M43))*100</f>
        <v>3266.6576564400602</v>
      </c>
      <c r="U43" s="72">
        <f>(P43/(L43+M43))*100</f>
        <v>3272.0637924043795</v>
      </c>
      <c r="V43" s="2">
        <f>(Q43/(L43+M43))*100</f>
        <v>0</v>
      </c>
      <c r="W43" s="70">
        <f>(R43/(L43+M43))*100</f>
        <v>0</v>
      </c>
    </row>
    <row r="44" spans="1:23" x14ac:dyDescent="0.25">
      <c r="A44" s="2">
        <v>1</v>
      </c>
      <c r="B44" s="2">
        <v>2</v>
      </c>
      <c r="C44" s="2" t="s">
        <v>43</v>
      </c>
      <c r="D44" s="2" t="s">
        <v>72</v>
      </c>
      <c r="E44" s="2" t="s">
        <v>73</v>
      </c>
      <c r="F44" s="66">
        <v>0</v>
      </c>
      <c r="G44" s="66">
        <v>0</v>
      </c>
      <c r="H44" s="66">
        <v>0</v>
      </c>
      <c r="I44" s="69">
        <v>0</v>
      </c>
      <c r="J44" s="66">
        <v>1</v>
      </c>
      <c r="K44" s="66">
        <v>0</v>
      </c>
      <c r="L44" s="19">
        <v>1.5599999999999999E-2</v>
      </c>
      <c r="M44" s="2">
        <v>0.9032</v>
      </c>
      <c r="N44" s="2">
        <v>103.78</v>
      </c>
      <c r="O44" s="2">
        <v>17.29</v>
      </c>
      <c r="P44" s="2">
        <v>17.309999999999999</v>
      </c>
      <c r="Q44" s="2">
        <v>52.03</v>
      </c>
      <c r="R44" s="2">
        <v>17.329999999999998</v>
      </c>
      <c r="S44" s="64">
        <f>(N44/(L44+M44))*100</f>
        <v>11295.167609925991</v>
      </c>
      <c r="T44" s="64">
        <f>(O44/(L44+M44))*100</f>
        <v>1881.8023508924687</v>
      </c>
      <c r="U44" s="72">
        <f>(P44/(L44+M44))*100</f>
        <v>1883.9791031780583</v>
      </c>
      <c r="V44" s="2">
        <f>(Q44/(L44+M44))*100</f>
        <v>5662.8210709621253</v>
      </c>
      <c r="W44" s="70">
        <f>(R44/(L44+M44))*100</f>
        <v>1886.1558554636481</v>
      </c>
    </row>
    <row r="45" spans="1:23" x14ac:dyDescent="0.25">
      <c r="A45" s="2">
        <v>1</v>
      </c>
      <c r="B45" s="2">
        <v>1</v>
      </c>
      <c r="C45" s="2" t="s">
        <v>74</v>
      </c>
      <c r="D45" s="2" t="s">
        <v>75</v>
      </c>
      <c r="E45" s="2" t="s">
        <v>76</v>
      </c>
      <c r="F45" s="66">
        <v>0</v>
      </c>
      <c r="G45" s="66">
        <v>0</v>
      </c>
      <c r="H45" s="66">
        <v>0.77</v>
      </c>
      <c r="I45" s="69">
        <v>0.77</v>
      </c>
      <c r="J45" s="66">
        <v>0</v>
      </c>
      <c r="K45" s="66">
        <v>0.22999999999999998</v>
      </c>
      <c r="L45" s="19">
        <v>1.3983000000000001</v>
      </c>
      <c r="M45" s="2">
        <v>3.1699999999999999E-2</v>
      </c>
      <c r="N45" s="2">
        <v>94.134500000000003</v>
      </c>
      <c r="O45" s="2">
        <v>36.86</v>
      </c>
      <c r="P45" s="2">
        <v>36.76</v>
      </c>
      <c r="Q45" s="2">
        <v>0</v>
      </c>
      <c r="R45" s="2">
        <v>18.489999999999998</v>
      </c>
      <c r="S45" s="64">
        <f>(N45/(L45+M45))*100</f>
        <v>6582.8321678321672</v>
      </c>
      <c r="T45" s="64">
        <f>(O45/(L45+M45))*100</f>
        <v>2577.6223776223774</v>
      </c>
      <c r="U45" s="72">
        <f>(P45/(L45+M45))*100</f>
        <v>2570.6293706293704</v>
      </c>
      <c r="V45" s="2">
        <f>(Q45/(L45+M45))*100</f>
        <v>0</v>
      </c>
      <c r="W45" s="70">
        <f>(R45/(L45+M45))*100</f>
        <v>1293.0069930069928</v>
      </c>
    </row>
    <row r="46" spans="1:23" x14ac:dyDescent="0.25">
      <c r="A46" s="2">
        <v>1</v>
      </c>
      <c r="B46" s="2">
        <v>2</v>
      </c>
      <c r="C46" s="2" t="s">
        <v>77</v>
      </c>
      <c r="D46" s="2" t="s">
        <v>78</v>
      </c>
      <c r="E46" s="2" t="s">
        <v>79</v>
      </c>
      <c r="F46" s="66">
        <v>0.98</v>
      </c>
      <c r="G46" s="66">
        <v>0.98</v>
      </c>
      <c r="H46" s="66">
        <v>0</v>
      </c>
      <c r="I46" s="69">
        <v>0.98</v>
      </c>
      <c r="J46" s="66">
        <v>0.02</v>
      </c>
      <c r="K46" s="66">
        <v>1.7347234759768071E-17</v>
      </c>
      <c r="L46" s="19">
        <v>0.44209999999999999</v>
      </c>
      <c r="M46" s="2">
        <v>0</v>
      </c>
      <c r="N46" s="2">
        <v>265.45119999999997</v>
      </c>
      <c r="O46" s="2">
        <v>14.72</v>
      </c>
      <c r="P46" s="2">
        <v>14.8</v>
      </c>
      <c r="Q46" s="2">
        <v>226.93</v>
      </c>
      <c r="R46" s="2">
        <v>14.76</v>
      </c>
      <c r="S46" s="64">
        <f>(N46/(L46+M46))*100</f>
        <v>60043.248133906352</v>
      </c>
      <c r="T46" s="64">
        <f>(O46/(L46+M46))*100</f>
        <v>3329.5634471838953</v>
      </c>
      <c r="U46" s="72">
        <f>(P46/(L46+M46))*100</f>
        <v>3347.6589007011989</v>
      </c>
      <c r="V46" s="2">
        <f>(Q46/(L46+M46))*100</f>
        <v>51330.015833521829</v>
      </c>
      <c r="W46" s="70">
        <f>(R46/(L46+M46))*100</f>
        <v>3338.6111739425464</v>
      </c>
    </row>
    <row r="47" spans="1:23" x14ac:dyDescent="0.25">
      <c r="A47" s="2">
        <v>1</v>
      </c>
      <c r="B47" s="2">
        <v>2</v>
      </c>
      <c r="C47" s="2" t="s">
        <v>77</v>
      </c>
      <c r="D47" s="2" t="s">
        <v>78</v>
      </c>
      <c r="E47" s="2" t="s">
        <v>80</v>
      </c>
      <c r="F47" s="66">
        <v>0.9732142857142857</v>
      </c>
      <c r="G47" s="66">
        <v>1</v>
      </c>
      <c r="H47" s="66">
        <v>0</v>
      </c>
      <c r="I47" s="69">
        <v>1</v>
      </c>
      <c r="J47" s="66">
        <v>0</v>
      </c>
      <c r="K47" s="66">
        <v>0</v>
      </c>
      <c r="L47" s="19">
        <v>0.1734</v>
      </c>
      <c r="M47" s="2">
        <v>0.12189999999999999</v>
      </c>
      <c r="N47" s="2">
        <v>198.48480000000001</v>
      </c>
      <c r="O47" s="2">
        <v>10.09</v>
      </c>
      <c r="P47" s="2">
        <v>9.9600000000000009</v>
      </c>
      <c r="Q47" s="2">
        <v>168.18</v>
      </c>
      <c r="R47" s="2">
        <v>10.1</v>
      </c>
      <c r="S47" s="64">
        <f>(N47/(L47+M47))*100</f>
        <v>67214.629190653563</v>
      </c>
      <c r="T47" s="64">
        <f>(O47/(L47+M47))*100</f>
        <v>3416.8642058923124</v>
      </c>
      <c r="U47" s="72">
        <f>(P47/(L47+M47))*100</f>
        <v>3372.8411784625805</v>
      </c>
      <c r="V47" s="2">
        <f>(Q47/(L47+M47))*100</f>
        <v>56952.251947172364</v>
      </c>
      <c r="W47" s="70">
        <f>(R47/(L47+M47))*100</f>
        <v>3420.2505926176768</v>
      </c>
    </row>
    <row r="48" spans="1:23" x14ac:dyDescent="0.25">
      <c r="A48" s="2" t="s">
        <v>724</v>
      </c>
      <c r="B48" s="2">
        <v>2</v>
      </c>
      <c r="C48" s="2" t="s">
        <v>81</v>
      </c>
      <c r="D48" s="2" t="s">
        <v>82</v>
      </c>
      <c r="E48" s="2" t="s">
        <v>83</v>
      </c>
      <c r="F48" s="66">
        <v>0.1</v>
      </c>
      <c r="G48" s="66">
        <v>0.1</v>
      </c>
      <c r="H48" s="66">
        <v>0.05</v>
      </c>
      <c r="I48" s="69">
        <v>0.15</v>
      </c>
      <c r="J48" s="66">
        <v>0.45</v>
      </c>
      <c r="K48" s="66">
        <v>0.39999999999999997</v>
      </c>
      <c r="L48" s="19">
        <v>0.13619999999999999</v>
      </c>
      <c r="M48" s="2">
        <v>1.2452000000000001</v>
      </c>
      <c r="N48" s="2">
        <v>77.890199999999993</v>
      </c>
      <c r="O48" s="2">
        <v>38.9</v>
      </c>
      <c r="P48" s="2">
        <v>38.79</v>
      </c>
      <c r="Q48" s="2">
        <v>0</v>
      </c>
      <c r="R48" s="2">
        <v>0</v>
      </c>
      <c r="S48" s="64">
        <f>(N48/(L48+M48))*100</f>
        <v>5638.4971767771813</v>
      </c>
      <c r="T48" s="64">
        <f>(O48/(L48+M48))*100</f>
        <v>2815.9837845663815</v>
      </c>
      <c r="U48" s="72">
        <f>(P48/(L48+M48))*100</f>
        <v>2808.0208484146515</v>
      </c>
      <c r="V48" s="2">
        <f>(Q48/(L48+M48))*100</f>
        <v>0</v>
      </c>
      <c r="W48" s="70">
        <f>(R48/(L48+M48))*100</f>
        <v>0</v>
      </c>
    </row>
    <row r="49" spans="1:23" x14ac:dyDescent="0.25">
      <c r="A49" s="2">
        <v>1</v>
      </c>
      <c r="B49" s="2">
        <v>2</v>
      </c>
      <c r="C49" s="2" t="s">
        <v>84</v>
      </c>
      <c r="D49" s="2" t="s">
        <v>85</v>
      </c>
      <c r="E49" s="2" t="s">
        <v>86</v>
      </c>
      <c r="F49" s="66">
        <v>0.19791666666666666</v>
      </c>
      <c r="G49" s="66">
        <v>0.19791666666666666</v>
      </c>
      <c r="H49" s="66">
        <v>0.29166666666666669</v>
      </c>
      <c r="I49" s="69">
        <v>0.48958333333333331</v>
      </c>
      <c r="J49" s="66">
        <v>0</v>
      </c>
      <c r="K49" s="66">
        <v>0.51041666666666674</v>
      </c>
      <c r="L49" s="19">
        <v>1.15E-2</v>
      </c>
      <c r="M49" s="2">
        <v>9.2999999999999999E-2</v>
      </c>
      <c r="N49" s="2">
        <v>65.270899999999997</v>
      </c>
      <c r="O49" s="2">
        <v>5.59</v>
      </c>
      <c r="P49" s="2">
        <v>5.63</v>
      </c>
      <c r="Q49" s="2">
        <v>48.64</v>
      </c>
      <c r="R49" s="2">
        <v>5.62</v>
      </c>
      <c r="S49" s="64">
        <f>(N49/(L49+M49))*100</f>
        <v>62460.191387559811</v>
      </c>
      <c r="T49" s="64">
        <f>(O49/(L49+M49))*100</f>
        <v>5349.2822966507174</v>
      </c>
      <c r="U49" s="72">
        <f>(P49/(L49+M49))*100</f>
        <v>5387.559808612441</v>
      </c>
      <c r="V49" s="2">
        <f>(Q49/(L49+M49))*100</f>
        <v>46545.454545454551</v>
      </c>
      <c r="W49" s="70">
        <f>(R49/(L49+M49))*100</f>
        <v>5377.9904306220096</v>
      </c>
    </row>
    <row r="50" spans="1:23" x14ac:dyDescent="0.25">
      <c r="A50" s="2">
        <v>1</v>
      </c>
      <c r="B50" s="2">
        <v>2</v>
      </c>
      <c r="C50" s="2" t="s">
        <v>84</v>
      </c>
      <c r="D50" s="2" t="s">
        <v>85</v>
      </c>
      <c r="E50" s="2" t="s">
        <v>713</v>
      </c>
      <c r="F50" s="66">
        <v>0.15454545454545454</v>
      </c>
      <c r="G50" s="66">
        <v>0.15454545454545454</v>
      </c>
      <c r="H50" s="66">
        <v>0.39090909090909093</v>
      </c>
      <c r="I50" s="69">
        <v>0.54545454545454541</v>
      </c>
      <c r="J50" s="66">
        <v>0</v>
      </c>
      <c r="K50" s="66">
        <v>0.45454545454545459</v>
      </c>
      <c r="L50" s="19">
        <v>9.1000000000000004E-3</v>
      </c>
      <c r="M50" s="2">
        <v>0.14560000000000001</v>
      </c>
      <c r="N50" s="2">
        <v>60.674199999999999</v>
      </c>
      <c r="O50" s="2">
        <v>5.79</v>
      </c>
      <c r="P50" s="2">
        <v>5.78</v>
      </c>
      <c r="Q50" s="2">
        <v>42.98</v>
      </c>
      <c r="R50" s="2">
        <v>5.81</v>
      </c>
      <c r="S50" s="64">
        <f>(N50/(L50+M50))*100</f>
        <v>39220.555914673561</v>
      </c>
      <c r="T50" s="64">
        <f>(O50/(L50+M50))*100</f>
        <v>3742.7278603749196</v>
      </c>
      <c r="U50" s="72">
        <f>(P50/(L50+M50))*100</f>
        <v>3736.2637362637365</v>
      </c>
      <c r="V50" s="2">
        <f>(Q50/(L50+M50))*100</f>
        <v>27782.805429864249</v>
      </c>
      <c r="W50" s="70">
        <f>(R50/(L50+M50))*100</f>
        <v>3755.6561085972844</v>
      </c>
    </row>
    <row r="51" spans="1:23" x14ac:dyDescent="0.25">
      <c r="A51" s="2">
        <v>1</v>
      </c>
      <c r="B51" s="2">
        <v>2</v>
      </c>
      <c r="C51" s="2" t="s">
        <v>88</v>
      </c>
      <c r="D51" s="2" t="s">
        <v>89</v>
      </c>
      <c r="E51" s="2" t="s">
        <v>90</v>
      </c>
      <c r="F51" s="66">
        <v>0.01</v>
      </c>
      <c r="G51" s="66">
        <v>0.01</v>
      </c>
      <c r="H51" s="66">
        <v>0.08</v>
      </c>
      <c r="I51" s="69">
        <v>0.09</v>
      </c>
      <c r="J51" s="66">
        <v>0.76</v>
      </c>
      <c r="K51" s="66">
        <v>0.15000000000000002</v>
      </c>
      <c r="L51" s="19">
        <v>1.0200000000000001E-2</v>
      </c>
      <c r="M51" s="2">
        <v>0.1017</v>
      </c>
      <c r="N51" s="2">
        <v>131.92089999999999</v>
      </c>
      <c r="O51" s="2">
        <v>8.15</v>
      </c>
      <c r="P51" s="2">
        <v>8.16</v>
      </c>
      <c r="Q51" s="2">
        <v>109.77</v>
      </c>
      <c r="R51" s="2">
        <v>8.15</v>
      </c>
      <c r="S51" s="64">
        <f>(N51/(L51+M51))*100</f>
        <v>117891.7783735478</v>
      </c>
      <c r="T51" s="64">
        <f>(O51/(L51+M51))*100</f>
        <v>7283.2886505808756</v>
      </c>
      <c r="U51" s="72">
        <f>(P51/(L51+M51))*100</f>
        <v>7292.2252010723869</v>
      </c>
      <c r="V51" s="2">
        <f>(Q51/(L51+M51))*100</f>
        <v>98096.514745308305</v>
      </c>
      <c r="W51" s="70">
        <f>(R51/(L51+M51))*100</f>
        <v>7283.2886505808756</v>
      </c>
    </row>
    <row r="52" spans="1:23" x14ac:dyDescent="0.25">
      <c r="A52" s="2">
        <v>1</v>
      </c>
      <c r="B52" s="2">
        <v>1</v>
      </c>
      <c r="C52" s="2" t="s">
        <v>88</v>
      </c>
      <c r="D52" s="2" t="s">
        <v>89</v>
      </c>
      <c r="E52" s="2" t="s">
        <v>91</v>
      </c>
      <c r="F52" s="66">
        <v>0</v>
      </c>
      <c r="G52" s="66">
        <v>0</v>
      </c>
      <c r="H52" s="66">
        <v>0.05</v>
      </c>
      <c r="I52" s="69">
        <v>0.05</v>
      </c>
      <c r="J52" s="66">
        <v>0.77</v>
      </c>
      <c r="K52" s="66">
        <v>0.17999999999999994</v>
      </c>
      <c r="L52" s="19">
        <v>9.1999999999999998E-3</v>
      </c>
      <c r="M52" s="2">
        <v>0.11310000000000001</v>
      </c>
      <c r="N52" s="2">
        <v>101.89</v>
      </c>
      <c r="O52" s="2">
        <v>8.8699999999999992</v>
      </c>
      <c r="P52" s="2">
        <v>8.86</v>
      </c>
      <c r="Q52" s="2">
        <v>75.25</v>
      </c>
      <c r="R52" s="2">
        <v>8.84</v>
      </c>
      <c r="S52" s="64">
        <f>(N52/(L52+M52))*100</f>
        <v>83311.529026982826</v>
      </c>
      <c r="T52" s="64">
        <f>(O52/(L52+M52))*100</f>
        <v>7252.6573998364665</v>
      </c>
      <c r="U52" s="72">
        <f>(P52/(L52+M52))*100</f>
        <v>7244.480784955027</v>
      </c>
      <c r="V52" s="2">
        <f>(Q52/(L52+M52))*100</f>
        <v>61529.026982829098</v>
      </c>
      <c r="W52" s="70">
        <f>(R52/(L52+M52))*100</f>
        <v>7228.1275551921499</v>
      </c>
    </row>
    <row r="53" spans="1:23" x14ac:dyDescent="0.25">
      <c r="A53" s="2">
        <v>1</v>
      </c>
      <c r="B53" s="2">
        <v>1</v>
      </c>
      <c r="C53" s="2" t="s">
        <v>88</v>
      </c>
      <c r="D53" s="2" t="s">
        <v>89</v>
      </c>
      <c r="E53" s="2" t="s">
        <v>92</v>
      </c>
      <c r="F53" s="66">
        <v>0</v>
      </c>
      <c r="G53" s="66">
        <v>0</v>
      </c>
      <c r="H53" s="66">
        <v>0.17</v>
      </c>
      <c r="I53" s="69">
        <v>0.17</v>
      </c>
      <c r="J53" s="66">
        <v>0.65</v>
      </c>
      <c r="K53" s="66">
        <v>0.17999999999999994</v>
      </c>
      <c r="L53" s="19">
        <v>3.6299999999999999E-2</v>
      </c>
      <c r="M53" s="2">
        <v>0.20330000000000001</v>
      </c>
      <c r="N53" s="2">
        <v>159.6474</v>
      </c>
      <c r="O53" s="2">
        <v>13.32</v>
      </c>
      <c r="P53" s="2">
        <v>13.28</v>
      </c>
      <c r="Q53" s="2">
        <v>120.11</v>
      </c>
      <c r="R53" s="2">
        <v>13.36</v>
      </c>
      <c r="S53" s="64">
        <f>(N53/(L53+M53))*100</f>
        <v>66630.801335559256</v>
      </c>
      <c r="T53" s="64">
        <f>(O53/(L53+M53))*100</f>
        <v>5559.2654424040065</v>
      </c>
      <c r="U53" s="72">
        <f>(P53/(L53+M53))*100</f>
        <v>5542.5709515859762</v>
      </c>
      <c r="V53" s="2">
        <f>(Q53/(L53+M53))*100</f>
        <v>50129.382303839731</v>
      </c>
      <c r="W53" s="70">
        <f>(R53/(L53+M53))*100</f>
        <v>5575.9599332220359</v>
      </c>
    </row>
    <row r="54" spans="1:23" x14ac:dyDescent="0.25">
      <c r="A54" s="2" t="s">
        <v>724</v>
      </c>
      <c r="B54" s="2">
        <v>1</v>
      </c>
      <c r="C54" s="2" t="s">
        <v>88</v>
      </c>
      <c r="D54" s="2" t="s">
        <v>89</v>
      </c>
      <c r="E54" s="2" t="s">
        <v>93</v>
      </c>
      <c r="F54" s="66">
        <v>0</v>
      </c>
      <c r="G54" s="66">
        <v>0</v>
      </c>
      <c r="H54" s="66">
        <v>0.14000000000000001</v>
      </c>
      <c r="I54" s="69">
        <v>0.14000000000000001</v>
      </c>
      <c r="J54" s="66">
        <v>0.75</v>
      </c>
      <c r="K54" s="66">
        <v>0.10999999999999999</v>
      </c>
      <c r="L54" s="19">
        <v>4.2299999999999997E-2</v>
      </c>
      <c r="M54" s="2">
        <v>0.91720000000000002</v>
      </c>
      <c r="N54" s="2">
        <v>49.812899999999999</v>
      </c>
      <c r="O54" s="2">
        <v>26.27</v>
      </c>
      <c r="P54" s="2">
        <v>25.77</v>
      </c>
      <c r="Q54" s="2">
        <v>0</v>
      </c>
      <c r="R54" s="2">
        <v>0</v>
      </c>
      <c r="S54" s="64">
        <f>(N54/(L54+M54))*100</f>
        <v>5191.5476810838973</v>
      </c>
      <c r="T54" s="64">
        <f>(O54/(L54+M54))*100</f>
        <v>2737.8843147472639</v>
      </c>
      <c r="U54" s="72">
        <f>(P54/(L54+M54))*100</f>
        <v>2685.7738405419491</v>
      </c>
      <c r="V54" s="2">
        <f>(Q54/(L54+M54))*100</f>
        <v>0</v>
      </c>
      <c r="W54" s="70">
        <f>(R54/(L54+M54))*100</f>
        <v>0</v>
      </c>
    </row>
    <row r="55" spans="1:23" x14ac:dyDescent="0.25">
      <c r="A55" s="2">
        <v>1</v>
      </c>
      <c r="B55" s="2">
        <v>1</v>
      </c>
      <c r="C55" s="2" t="s">
        <v>88</v>
      </c>
      <c r="D55" s="2" t="s">
        <v>89</v>
      </c>
      <c r="E55" s="2" t="s">
        <v>94</v>
      </c>
      <c r="F55" s="66">
        <v>0.01</v>
      </c>
      <c r="G55" s="66">
        <v>0.01</v>
      </c>
      <c r="H55" s="66">
        <v>0.11</v>
      </c>
      <c r="I55" s="69">
        <v>0.12</v>
      </c>
      <c r="J55" s="66">
        <v>0.8</v>
      </c>
      <c r="K55" s="66">
        <v>7.999999999999996E-2</v>
      </c>
      <c r="L55" s="19">
        <v>5.1499999999999997E-2</v>
      </c>
      <c r="M55" s="2">
        <v>0.56659999999999999</v>
      </c>
      <c r="N55" s="2">
        <v>152.82140000000001</v>
      </c>
      <c r="O55" s="2">
        <v>20.61</v>
      </c>
      <c r="P55" s="2">
        <v>20.62</v>
      </c>
      <c r="Q55" s="2">
        <v>92.5</v>
      </c>
      <c r="R55" s="2">
        <v>20.61</v>
      </c>
      <c r="S55" s="64">
        <f>(N55/(L55+M55))*100</f>
        <v>24724.381168095781</v>
      </c>
      <c r="T55" s="64">
        <f>(O55/(L55+M55))*100</f>
        <v>3334.4119074583405</v>
      </c>
      <c r="U55" s="72">
        <f>(P55/(L55+M55))*100</f>
        <v>3336.0297686458503</v>
      </c>
      <c r="V55" s="2">
        <f>(Q55/(L55+M55))*100</f>
        <v>14965.215984468534</v>
      </c>
      <c r="W55" s="70">
        <f>(R55/(L55+M55))*100</f>
        <v>3334.4119074583405</v>
      </c>
    </row>
    <row r="56" spans="1:23" x14ac:dyDescent="0.25">
      <c r="A56" s="2">
        <v>1</v>
      </c>
      <c r="B56" s="2">
        <v>1</v>
      </c>
      <c r="C56" s="2" t="s">
        <v>88</v>
      </c>
      <c r="D56" s="2" t="s">
        <v>89</v>
      </c>
      <c r="E56" s="2" t="s">
        <v>95</v>
      </c>
      <c r="F56" s="66">
        <v>0</v>
      </c>
      <c r="G56" s="66">
        <v>0</v>
      </c>
      <c r="H56" s="66">
        <v>0.09</v>
      </c>
      <c r="I56" s="69">
        <v>0.09</v>
      </c>
      <c r="J56" s="66">
        <v>0.74</v>
      </c>
      <c r="K56" s="66">
        <v>0.17000000000000004</v>
      </c>
      <c r="L56" s="19">
        <v>5.1400000000000001E-2</v>
      </c>
      <c r="M56" s="2">
        <v>0.3987</v>
      </c>
      <c r="N56" s="2">
        <v>71.722200000000001</v>
      </c>
      <c r="O56" s="2">
        <v>15.42</v>
      </c>
      <c r="P56" s="2">
        <v>15.43</v>
      </c>
      <c r="Q56" s="2">
        <v>26.46</v>
      </c>
      <c r="R56" s="2">
        <v>15.45</v>
      </c>
      <c r="S56" s="64">
        <f>(N56/(L56+M56))*100</f>
        <v>15934.725616529662</v>
      </c>
      <c r="T56" s="64">
        <f>(O56/(L56+M56))*100</f>
        <v>3425.9053543656969</v>
      </c>
      <c r="U56" s="72">
        <f>(P56/(L56+M56))*100</f>
        <v>3428.1270828704733</v>
      </c>
      <c r="V56" s="2">
        <f>(Q56/(L56+M56))*100</f>
        <v>5878.6936236391921</v>
      </c>
      <c r="W56" s="70">
        <f>(R56/(L56+M56))*100</f>
        <v>3432.5705398800264</v>
      </c>
    </row>
    <row r="57" spans="1:23" x14ac:dyDescent="0.25">
      <c r="A57" s="2">
        <v>1</v>
      </c>
      <c r="B57" s="2">
        <v>1</v>
      </c>
      <c r="C57" s="2" t="s">
        <v>88</v>
      </c>
      <c r="D57" s="2" t="s">
        <v>89</v>
      </c>
      <c r="E57" s="2" t="s">
        <v>96</v>
      </c>
      <c r="F57" s="66">
        <v>0</v>
      </c>
      <c r="G57" s="66">
        <v>0</v>
      </c>
      <c r="H57" s="66">
        <v>0.1</v>
      </c>
      <c r="I57" s="69">
        <v>0.1</v>
      </c>
      <c r="J57" s="66">
        <v>0.81</v>
      </c>
      <c r="K57" s="66">
        <v>8.9999999999999969E-2</v>
      </c>
      <c r="L57" s="19">
        <v>7.6899999999999996E-2</v>
      </c>
      <c r="M57" s="2">
        <v>0.40910000000000002</v>
      </c>
      <c r="N57" s="2">
        <v>83.525800000000004</v>
      </c>
      <c r="O57" s="2">
        <v>16.32</v>
      </c>
      <c r="P57" s="2">
        <v>16.39</v>
      </c>
      <c r="Q57" s="2">
        <v>36.94</v>
      </c>
      <c r="R57" s="2">
        <v>16.37</v>
      </c>
      <c r="S57" s="64">
        <f>(N57/(L57+M57))*100</f>
        <v>17186.378600823049</v>
      </c>
      <c r="T57" s="64">
        <f>(O57/(L57+M57))*100</f>
        <v>3358.0246913580245</v>
      </c>
      <c r="U57" s="72">
        <f>(P57/(L57+M57))*100</f>
        <v>3372.4279835390944</v>
      </c>
      <c r="V57" s="2">
        <f>(Q57/(L57+M57))*100</f>
        <v>7600.8230452674898</v>
      </c>
      <c r="W57" s="70">
        <f>(R57/(L57+M57))*100</f>
        <v>3368.3127572016465</v>
      </c>
    </row>
    <row r="58" spans="1:23" x14ac:dyDescent="0.25">
      <c r="A58" s="2">
        <v>2</v>
      </c>
      <c r="B58" s="2">
        <v>1</v>
      </c>
      <c r="C58" s="2" t="s">
        <v>97</v>
      </c>
      <c r="D58" s="2" t="s">
        <v>98</v>
      </c>
      <c r="E58" s="2" t="s">
        <v>99</v>
      </c>
      <c r="F58" s="66">
        <v>0.49166666666666664</v>
      </c>
      <c r="G58" s="66">
        <v>0.49166666666666664</v>
      </c>
      <c r="H58" s="66">
        <v>0.16666666666666666</v>
      </c>
      <c r="I58" s="69">
        <v>0.65833333333333333</v>
      </c>
      <c r="J58" s="66">
        <v>8.3333333333333329E-2</v>
      </c>
      <c r="K58" s="66">
        <v>0.25833333333333336</v>
      </c>
      <c r="L58" s="19">
        <v>1.32E-2</v>
      </c>
      <c r="M58" s="2">
        <v>8.9800000000000005E-2</v>
      </c>
      <c r="N58" s="2">
        <v>308.85000000000002</v>
      </c>
      <c r="O58" s="2">
        <v>12.74</v>
      </c>
      <c r="P58" s="2">
        <v>12.78</v>
      </c>
      <c r="Q58" s="2">
        <v>246.11</v>
      </c>
      <c r="R58" s="2">
        <v>12.78</v>
      </c>
      <c r="S58" s="64">
        <f>(N58/(L58+M58))*100</f>
        <v>299854.36893203884</v>
      </c>
      <c r="T58" s="64">
        <f>(O58/(L58+M58))*100</f>
        <v>12368.93203883495</v>
      </c>
      <c r="U58" s="72">
        <f>(P58/(L58+M58))*100</f>
        <v>12407.76699029126</v>
      </c>
      <c r="V58" s="2">
        <f>(Q58/(L58+M58))*100</f>
        <v>238941.74757281554</v>
      </c>
      <c r="W58" s="70">
        <f>(R58/(L58+M58))*100</f>
        <v>12407.76699029126</v>
      </c>
    </row>
    <row r="59" spans="1:23" x14ac:dyDescent="0.25">
      <c r="A59" s="2">
        <v>1</v>
      </c>
      <c r="B59" s="2">
        <v>2</v>
      </c>
      <c r="C59" s="2" t="s">
        <v>97</v>
      </c>
      <c r="D59" s="2" t="s">
        <v>100</v>
      </c>
      <c r="E59" s="2" t="s">
        <v>101</v>
      </c>
      <c r="F59" s="66">
        <v>0.06</v>
      </c>
      <c r="G59" s="66">
        <v>0.06</v>
      </c>
      <c r="H59" s="66">
        <v>0.54</v>
      </c>
      <c r="I59" s="69">
        <v>0.6</v>
      </c>
      <c r="J59" s="66">
        <v>0.21</v>
      </c>
      <c r="K59" s="66">
        <v>0.19000000000000003</v>
      </c>
      <c r="L59" s="19">
        <v>1.0699999999999999E-2</v>
      </c>
      <c r="M59" s="2">
        <v>9.1700000000000004E-2</v>
      </c>
      <c r="N59" s="2">
        <v>23.98</v>
      </c>
      <c r="O59" s="2">
        <v>3.44</v>
      </c>
      <c r="P59" s="2">
        <v>3.46</v>
      </c>
      <c r="Q59" s="2">
        <v>11.95</v>
      </c>
      <c r="R59" s="2">
        <v>3.42</v>
      </c>
      <c r="S59" s="64">
        <f>(N59/(L59+M59))*100</f>
        <v>23417.96875</v>
      </c>
      <c r="T59" s="64">
        <f>(O59/(L59+M59))*100</f>
        <v>3359.375</v>
      </c>
      <c r="U59" s="72">
        <f>(P59/(L59+M59))*100</f>
        <v>3378.90625</v>
      </c>
      <c r="V59" s="2">
        <f>(Q59/(L59+M59))*100</f>
        <v>11669.921874999998</v>
      </c>
      <c r="W59" s="70">
        <f>(R59/(L59+M59))*100</f>
        <v>3339.84375</v>
      </c>
    </row>
    <row r="60" spans="1:23" x14ac:dyDescent="0.25">
      <c r="A60" s="2">
        <v>1</v>
      </c>
      <c r="B60" s="2">
        <v>2</v>
      </c>
      <c r="C60" s="2" t="s">
        <v>97</v>
      </c>
      <c r="D60" s="2" t="s">
        <v>102</v>
      </c>
      <c r="E60" s="2" t="s">
        <v>103</v>
      </c>
      <c r="F60" s="66">
        <v>9.8039215686274508E-3</v>
      </c>
      <c r="G60" s="66">
        <v>9.8039215686274508E-3</v>
      </c>
      <c r="H60" s="66">
        <v>0.72549019607843135</v>
      </c>
      <c r="I60" s="69">
        <v>0.73529411764705888</v>
      </c>
      <c r="J60" s="66">
        <v>0.12745098039215685</v>
      </c>
      <c r="K60" s="66">
        <v>0.13725490196078427</v>
      </c>
      <c r="L60" s="19">
        <v>4.6600000000000003E-2</v>
      </c>
      <c r="M60" s="2">
        <v>6.1100000000000002E-2</v>
      </c>
      <c r="N60" s="2">
        <v>66.27</v>
      </c>
      <c r="O60" s="2">
        <v>4.6399999999999997</v>
      </c>
      <c r="P60" s="2">
        <v>4.68</v>
      </c>
      <c r="Q60" s="2">
        <v>49.83</v>
      </c>
      <c r="R60" s="2">
        <v>4.6100000000000003</v>
      </c>
      <c r="S60" s="64">
        <f>(N60/(L60+M60))*100</f>
        <v>61532.033426183843</v>
      </c>
      <c r="T60" s="64">
        <f>(O60/(L60+M60))*100</f>
        <v>4308.2636954503241</v>
      </c>
      <c r="U60" s="72">
        <f>(P60/(L60+M60))*100</f>
        <v>4345.4038997214484</v>
      </c>
      <c r="V60" s="2">
        <f>(Q60/(L60+M60))*100</f>
        <v>46267.409470752085</v>
      </c>
      <c r="W60" s="70">
        <f>(R60/(L60+M60))*100</f>
        <v>4280.4085422469825</v>
      </c>
    </row>
    <row r="61" spans="1:23" x14ac:dyDescent="0.25">
      <c r="A61" s="2">
        <v>1</v>
      </c>
      <c r="B61" s="2">
        <v>2</v>
      </c>
      <c r="C61" s="2" t="s">
        <v>97</v>
      </c>
      <c r="D61" s="2" t="s">
        <v>102</v>
      </c>
      <c r="E61" s="2" t="s">
        <v>104</v>
      </c>
      <c r="F61" s="66">
        <v>0</v>
      </c>
      <c r="G61" s="66">
        <v>0</v>
      </c>
      <c r="H61" s="66">
        <v>0.61</v>
      </c>
      <c r="I61" s="69">
        <v>0.61</v>
      </c>
      <c r="J61" s="66">
        <v>0.26</v>
      </c>
      <c r="K61" s="66">
        <v>0.13</v>
      </c>
      <c r="L61" s="19">
        <v>4.6100000000000002E-2</v>
      </c>
      <c r="M61" s="2">
        <v>8.7300000000000003E-2</v>
      </c>
      <c r="N61" s="2">
        <v>44.83</v>
      </c>
      <c r="O61" s="2">
        <v>4.47</v>
      </c>
      <c r="P61" s="2">
        <v>4.45</v>
      </c>
      <c r="Q61" s="2">
        <v>30.57</v>
      </c>
      <c r="R61" s="2">
        <v>4.45</v>
      </c>
      <c r="S61" s="64">
        <f>(N61/(L61+M61))*100</f>
        <v>33605.697151424283</v>
      </c>
      <c r="T61" s="64">
        <f>(O61/(L61+M61))*100</f>
        <v>3350.8245877061463</v>
      </c>
      <c r="U61" s="72">
        <f>(P61/(L61+M61))*100</f>
        <v>3335.832083958021</v>
      </c>
      <c r="V61" s="2">
        <f>(Q61/(L61+M61))*100</f>
        <v>22916.041979010493</v>
      </c>
      <c r="W61" s="70">
        <f>(R61/(L61+M61))*100</f>
        <v>3335.832083958021</v>
      </c>
    </row>
    <row r="62" spans="1:23" x14ac:dyDescent="0.25">
      <c r="A62" s="2">
        <v>2</v>
      </c>
      <c r="B62" s="2">
        <v>2</v>
      </c>
      <c r="C62" s="2" t="s">
        <v>97</v>
      </c>
      <c r="D62" s="2" t="s">
        <v>102</v>
      </c>
      <c r="E62" s="2" t="s">
        <v>105</v>
      </c>
      <c r="F62" s="66">
        <v>0.08</v>
      </c>
      <c r="G62" s="66">
        <v>0.08</v>
      </c>
      <c r="H62" s="66">
        <v>0.64</v>
      </c>
      <c r="I62" s="69">
        <v>0.72</v>
      </c>
      <c r="J62" s="66">
        <v>0.12</v>
      </c>
      <c r="K62" s="66">
        <v>0.16000000000000003</v>
      </c>
      <c r="L62" s="19">
        <v>5.21E-2</v>
      </c>
      <c r="M62" s="2">
        <v>5.8299999999999998E-2</v>
      </c>
      <c r="N62" s="2">
        <v>177.37</v>
      </c>
      <c r="O62" s="2">
        <v>3.65</v>
      </c>
      <c r="P62" s="2">
        <v>3.7</v>
      </c>
      <c r="Q62" s="2">
        <v>168.25</v>
      </c>
      <c r="R62" s="2">
        <v>3.66</v>
      </c>
      <c r="S62" s="64">
        <f>(N62/(L62+M62))*100</f>
        <v>160661.23188405798</v>
      </c>
      <c r="T62" s="64">
        <f>(O62/(L62+M62))*100</f>
        <v>3306.1594202898546</v>
      </c>
      <c r="U62" s="72">
        <f>(P62/(L62+M62))*100</f>
        <v>3351.449275362319</v>
      </c>
      <c r="V62" s="2">
        <f>(Q62/(L62+M62))*100</f>
        <v>152400.36231884058</v>
      </c>
      <c r="W62" s="70">
        <f>(R62/(L62+M62))*100</f>
        <v>3315.2173913043475</v>
      </c>
    </row>
    <row r="63" spans="1:23" x14ac:dyDescent="0.25">
      <c r="A63" s="2">
        <v>2</v>
      </c>
      <c r="B63" s="2" t="s">
        <v>726</v>
      </c>
      <c r="C63" s="2" t="s">
        <v>97</v>
      </c>
      <c r="D63" s="2" t="s">
        <v>106</v>
      </c>
      <c r="E63" s="2" t="s">
        <v>107</v>
      </c>
      <c r="F63" s="66">
        <v>0</v>
      </c>
      <c r="G63" s="66">
        <v>0</v>
      </c>
      <c r="H63" s="66">
        <v>0.51</v>
      </c>
      <c r="I63" s="69">
        <v>0.51</v>
      </c>
      <c r="J63" s="66">
        <v>0.28999999999999998</v>
      </c>
      <c r="K63" s="66">
        <v>0.2</v>
      </c>
      <c r="L63" s="19">
        <v>4.1500000000000002E-2</v>
      </c>
      <c r="M63" s="2">
        <v>6.9199999999999998E-2</v>
      </c>
      <c r="N63" s="19">
        <v>26.81</v>
      </c>
      <c r="O63" s="2">
        <v>3.71</v>
      </c>
      <c r="P63" s="2">
        <v>3.84</v>
      </c>
      <c r="Q63" s="2">
        <v>16</v>
      </c>
      <c r="R63" s="2">
        <v>3.83</v>
      </c>
      <c r="S63" s="64">
        <f>(N63/(L63+M63))*100</f>
        <v>24218.608852755195</v>
      </c>
      <c r="T63" s="64">
        <f>(O63/(L63+M63))*100</f>
        <v>3351.4001806684732</v>
      </c>
      <c r="U63" s="72">
        <f>(P63/(L63+M63))*100</f>
        <v>3468.8346883468839</v>
      </c>
      <c r="V63" s="2">
        <f>(Q63/(L63+M63))*100</f>
        <v>14453.477868112015</v>
      </c>
      <c r="W63" s="70">
        <f>(R63/(L63+M63))*100</f>
        <v>3459.8012646793136</v>
      </c>
    </row>
    <row r="64" spans="1:23" x14ac:dyDescent="0.25">
      <c r="A64" s="2">
        <v>1</v>
      </c>
      <c r="B64" s="2">
        <v>1</v>
      </c>
      <c r="C64" s="2" t="s">
        <v>97</v>
      </c>
      <c r="D64" s="2" t="s">
        <v>108</v>
      </c>
      <c r="E64" s="2" t="s">
        <v>109</v>
      </c>
      <c r="F64" s="66">
        <v>0.98</v>
      </c>
      <c r="G64" s="66">
        <v>0.98</v>
      </c>
      <c r="H64" s="66">
        <v>0</v>
      </c>
      <c r="I64" s="69">
        <v>0.98</v>
      </c>
      <c r="J64" s="66">
        <v>0.02</v>
      </c>
      <c r="K64" s="66">
        <v>1.7347234759768071E-17</v>
      </c>
      <c r="L64" s="19">
        <v>1.52E-2</v>
      </c>
      <c r="M64" s="2">
        <v>4.1300000000000003E-2</v>
      </c>
      <c r="N64" s="2">
        <v>614.99</v>
      </c>
      <c r="O64" s="2">
        <v>11.42</v>
      </c>
      <c r="P64" s="2">
        <v>11.47</v>
      </c>
      <c r="Q64" s="2">
        <v>567.59</v>
      </c>
      <c r="R64" s="2">
        <v>11.45</v>
      </c>
      <c r="S64" s="64">
        <f>(N64/(L64+M64))*100</f>
        <v>1088477.8761061947</v>
      </c>
      <c r="T64" s="64">
        <f>(O64/(L64+M64))*100</f>
        <v>20212.389380530974</v>
      </c>
      <c r="U64" s="72">
        <f>(P64/(L64+M64))*100</f>
        <v>20300.884955752212</v>
      </c>
      <c r="V64" s="2">
        <f>(Q64/(L64+M64))*100</f>
        <v>1004584.0707964603</v>
      </c>
      <c r="W64" s="70">
        <f>(R64/(L64+M64))*100</f>
        <v>20265.486725663715</v>
      </c>
    </row>
    <row r="65" spans="1:24" x14ac:dyDescent="0.25">
      <c r="A65" s="2">
        <v>1</v>
      </c>
      <c r="B65" s="2">
        <v>2</v>
      </c>
      <c r="C65" s="2" t="s">
        <v>97</v>
      </c>
      <c r="D65" s="2" t="s">
        <v>110</v>
      </c>
      <c r="E65" s="2" t="s">
        <v>111</v>
      </c>
      <c r="F65" s="66">
        <v>0.54</v>
      </c>
      <c r="G65" s="66">
        <v>0.54</v>
      </c>
      <c r="H65" s="66">
        <v>0.31</v>
      </c>
      <c r="I65" s="69">
        <v>0.85</v>
      </c>
      <c r="J65" s="66">
        <v>0.08</v>
      </c>
      <c r="K65" s="66">
        <v>7.0000000000000021E-2</v>
      </c>
      <c r="L65" s="19">
        <v>2.8400000000000002E-2</v>
      </c>
      <c r="M65" s="2">
        <v>7.7299999999999994E-2</v>
      </c>
      <c r="N65" s="2">
        <v>70.89</v>
      </c>
      <c r="O65" s="2">
        <v>5.17</v>
      </c>
      <c r="P65" s="2">
        <v>5.2</v>
      </c>
      <c r="Q65" s="2">
        <v>55.21</v>
      </c>
      <c r="R65" s="2">
        <v>5.16</v>
      </c>
      <c r="S65" s="64">
        <f>(N65/(L65+M65))*100</f>
        <v>67067.17123935667</v>
      </c>
      <c r="T65" s="64">
        <f>(O65/(L65+M65))*100</f>
        <v>4891.2015137180706</v>
      </c>
      <c r="U65" s="72">
        <f>(P65/(L65+M65))*100</f>
        <v>4919.5837275307485</v>
      </c>
      <c r="V65" s="2">
        <f>(Q65/(L65+M65))*100</f>
        <v>52232.734153263962</v>
      </c>
      <c r="W65" s="70">
        <f>(R65/(L65+M65))*100</f>
        <v>4881.7407757805113</v>
      </c>
    </row>
    <row r="66" spans="1:24" x14ac:dyDescent="0.25">
      <c r="A66" s="2">
        <v>1</v>
      </c>
      <c r="B66" s="2">
        <v>2</v>
      </c>
      <c r="C66" s="2" t="s">
        <v>112</v>
      </c>
      <c r="D66" s="2" t="s">
        <v>113</v>
      </c>
      <c r="E66" s="2" t="s">
        <v>114</v>
      </c>
      <c r="F66" s="66" t="s">
        <v>729</v>
      </c>
      <c r="G66" s="66" t="s">
        <v>729</v>
      </c>
      <c r="H66" s="66" t="s">
        <v>729</v>
      </c>
      <c r="I66" s="69">
        <v>0</v>
      </c>
      <c r="J66" s="66" t="s">
        <v>729</v>
      </c>
      <c r="K66" s="66">
        <v>1</v>
      </c>
      <c r="L66" s="19">
        <v>7.1900000000000006E-2</v>
      </c>
      <c r="M66" s="2">
        <v>0.46779999999999999</v>
      </c>
      <c r="N66" s="2">
        <v>161.08359999999999</v>
      </c>
      <c r="O66" s="2">
        <v>18.05</v>
      </c>
      <c r="P66" s="2">
        <v>18.04</v>
      </c>
      <c r="Q66" s="2">
        <v>107.52</v>
      </c>
      <c r="R66" s="2">
        <v>18.02</v>
      </c>
      <c r="S66" s="64">
        <f>(N66/(L66+M66))*100</f>
        <v>29846.87789512692</v>
      </c>
      <c r="T66" s="64">
        <f>(O66/(L66+M66))*100</f>
        <v>3344.4506207152122</v>
      </c>
      <c r="U66" s="72">
        <f>(P66/(L66+M66))*100</f>
        <v>3342.5977394848992</v>
      </c>
      <c r="V66" s="2">
        <f>(Q66/(L66+M66))*100</f>
        <v>19922.17898832685</v>
      </c>
      <c r="W66" s="70">
        <f>(R66/(L66+M66))*100</f>
        <v>3338.8919770242728</v>
      </c>
      <c r="X66" s="2" t="s">
        <v>689</v>
      </c>
    </row>
    <row r="67" spans="1:24" x14ac:dyDescent="0.25">
      <c r="A67" s="2">
        <v>1</v>
      </c>
      <c r="B67" s="2">
        <v>2</v>
      </c>
      <c r="C67" s="2" t="s">
        <v>112</v>
      </c>
      <c r="D67" s="2" t="s">
        <v>113</v>
      </c>
      <c r="E67" s="2" t="s">
        <v>115</v>
      </c>
      <c r="F67" s="66" t="s">
        <v>729</v>
      </c>
      <c r="G67" s="66" t="s">
        <v>729</v>
      </c>
      <c r="H67" s="66" t="s">
        <v>729</v>
      </c>
      <c r="I67" s="69">
        <v>0</v>
      </c>
      <c r="J67" s="66" t="s">
        <v>729</v>
      </c>
      <c r="K67" s="66">
        <v>1</v>
      </c>
      <c r="L67" s="19">
        <v>4.2439999999999999E-2</v>
      </c>
      <c r="M67" s="2">
        <v>0.72360000000000002</v>
      </c>
      <c r="N67" s="2">
        <v>74.066100000000006</v>
      </c>
      <c r="O67" s="2">
        <v>24.66</v>
      </c>
      <c r="P67" s="2">
        <v>24.69</v>
      </c>
      <c r="Q67" s="2">
        <v>0</v>
      </c>
      <c r="R67" s="2">
        <v>22.81</v>
      </c>
      <c r="S67" s="64">
        <f>(N67/(L67+M67))*100</f>
        <v>9668.6987624667127</v>
      </c>
      <c r="T67" s="64">
        <f>(O67/(L67+M67))*100</f>
        <v>3219.1530468382853</v>
      </c>
      <c r="U67" s="72">
        <f>(P67/(L67+M67))*100</f>
        <v>3223.0692914208134</v>
      </c>
      <c r="V67" s="2">
        <f>(Q67/(L67+M67))*100</f>
        <v>0</v>
      </c>
      <c r="W67" s="70">
        <f>(R67/(L67+M67))*100</f>
        <v>2977.6512975823712</v>
      </c>
      <c r="X67" s="2" t="s">
        <v>689</v>
      </c>
    </row>
    <row r="68" spans="1:24" x14ac:dyDescent="0.25">
      <c r="A68" s="2">
        <v>3</v>
      </c>
      <c r="B68" s="2">
        <v>1</v>
      </c>
      <c r="C68" s="2" t="s">
        <v>116</v>
      </c>
      <c r="D68" s="2" t="s">
        <v>117</v>
      </c>
      <c r="E68" s="2" t="s">
        <v>118</v>
      </c>
      <c r="F68" s="66">
        <v>2.5862068965517241E-2</v>
      </c>
      <c r="G68" s="66">
        <v>2.5862068965517241E-2</v>
      </c>
      <c r="H68" s="66">
        <v>8.6206896551724144E-2</v>
      </c>
      <c r="I68" s="69">
        <v>0.11206896551724138</v>
      </c>
      <c r="J68" s="66">
        <v>0.59482758620689657</v>
      </c>
      <c r="K68" s="66">
        <v>0.2931034482758621</v>
      </c>
      <c r="L68" s="19">
        <v>6.6400000000000001E-2</v>
      </c>
      <c r="M68" s="2">
        <v>0.1187</v>
      </c>
      <c r="N68" s="19">
        <v>91.71</v>
      </c>
      <c r="O68" s="2">
        <v>6.45</v>
      </c>
      <c r="P68" s="2">
        <v>6.5</v>
      </c>
      <c r="Q68" s="2">
        <v>65.34</v>
      </c>
      <c r="R68" s="2">
        <v>6.46</v>
      </c>
      <c r="S68" s="64">
        <f>(N68/(L68+M68))*100</f>
        <v>49546.191247974071</v>
      </c>
      <c r="T68" s="64">
        <f>(O68/(L68+M68))*100</f>
        <v>3484.6029173419779</v>
      </c>
      <c r="U68" s="72">
        <f>(P68/(L68+M68))*100</f>
        <v>3511.6153430578065</v>
      </c>
      <c r="V68" s="2">
        <f>(Q68/(L68+M68))*100</f>
        <v>35299.83792544571</v>
      </c>
      <c r="W68" s="70">
        <f>(R68/(L68+M68))*100</f>
        <v>3490.0054024851433</v>
      </c>
    </row>
    <row r="69" spans="1:24" x14ac:dyDescent="0.25">
      <c r="A69" s="2">
        <v>3</v>
      </c>
      <c r="B69" s="2">
        <v>1</v>
      </c>
      <c r="C69" s="2" t="s">
        <v>119</v>
      </c>
      <c r="D69" s="2" t="s">
        <v>120</v>
      </c>
      <c r="E69" s="2" t="s">
        <v>121</v>
      </c>
      <c r="F69" s="66">
        <v>0.34905660377358488</v>
      </c>
      <c r="G69" s="66">
        <v>0.40566037735849059</v>
      </c>
      <c r="H69" s="66">
        <v>0</v>
      </c>
      <c r="I69" s="69">
        <v>0.40566037735849059</v>
      </c>
      <c r="J69" s="66">
        <v>0.59433962264150941</v>
      </c>
      <c r="K69" s="66">
        <v>0</v>
      </c>
      <c r="L69" s="19">
        <v>2.9499999999999998E-2</v>
      </c>
      <c r="M69" s="2">
        <v>0.31609999999999999</v>
      </c>
      <c r="N69" s="2">
        <v>415.56</v>
      </c>
      <c r="O69" s="2">
        <v>25.55</v>
      </c>
      <c r="P69" s="2">
        <v>27.79</v>
      </c>
      <c r="Q69" s="2">
        <v>339.43</v>
      </c>
      <c r="R69" s="2">
        <v>25</v>
      </c>
      <c r="S69" s="64">
        <f>(N69/(L69+M69))*100</f>
        <v>120243.05555555555</v>
      </c>
      <c r="T69" s="64">
        <f>(O69/(L69+M69))*100</f>
        <v>7392.9398148148157</v>
      </c>
      <c r="U69" s="72">
        <f>(P69/(L69+M69))*100</f>
        <v>8041.0879629629617</v>
      </c>
      <c r="V69" s="2">
        <f>(Q69/(L69+M69))*100</f>
        <v>98214.699074074073</v>
      </c>
      <c r="W69" s="70">
        <f>(R69/(L69+M69))*100</f>
        <v>7233.7962962962965</v>
      </c>
    </row>
    <row r="70" spans="1:24" x14ac:dyDescent="0.25">
      <c r="A70" s="2">
        <v>2</v>
      </c>
      <c r="B70" s="2">
        <v>2</v>
      </c>
      <c r="C70" s="2" t="s">
        <v>122</v>
      </c>
      <c r="D70" s="2" t="s">
        <v>123</v>
      </c>
      <c r="E70" s="2" t="s">
        <v>124</v>
      </c>
      <c r="F70" s="66">
        <v>0.68</v>
      </c>
      <c r="G70" s="66">
        <v>0.68</v>
      </c>
      <c r="H70" s="66">
        <v>0.03</v>
      </c>
      <c r="I70" s="69">
        <v>0.71</v>
      </c>
      <c r="J70" s="66">
        <v>0.01</v>
      </c>
      <c r="K70" s="66">
        <v>0.28000000000000003</v>
      </c>
      <c r="L70" s="19">
        <v>31.938600000000001</v>
      </c>
      <c r="M70" s="2">
        <v>0</v>
      </c>
      <c r="N70" s="2">
        <v>1978.48</v>
      </c>
      <c r="O70" s="2">
        <v>782.53</v>
      </c>
      <c r="P70" s="2">
        <v>781.31</v>
      </c>
      <c r="R70" s="2">
        <v>391.82</v>
      </c>
      <c r="S70" s="64">
        <f>(N70/(L70+M70))*100</f>
        <v>6194.6359577439207</v>
      </c>
      <c r="T70" s="64">
        <f>(O70/(L70+M70))*100</f>
        <v>2450.1073935613954</v>
      </c>
      <c r="U70" s="72">
        <f>(P70/(L70+M70))*100</f>
        <v>2446.287564263931</v>
      </c>
      <c r="V70" s="2">
        <f>(Q70/(L70+M70))*100</f>
        <v>0</v>
      </c>
      <c r="W70" s="70">
        <f>(R70/(L70+M70))*100</f>
        <v>1226.7914060102821</v>
      </c>
    </row>
    <row r="71" spans="1:24" x14ac:dyDescent="0.25">
      <c r="A71" s="2">
        <v>3</v>
      </c>
      <c r="B71" s="2">
        <v>1</v>
      </c>
      <c r="C71" s="2" t="s">
        <v>125</v>
      </c>
      <c r="D71" s="2" t="s">
        <v>126</v>
      </c>
      <c r="E71" s="2" t="s">
        <v>127</v>
      </c>
      <c r="F71" s="66">
        <v>0.65476190476190477</v>
      </c>
      <c r="G71" s="66">
        <v>0.65476190476190477</v>
      </c>
      <c r="H71" s="66">
        <v>0.14285714285714285</v>
      </c>
      <c r="I71" s="69">
        <v>0.79761904761904767</v>
      </c>
      <c r="J71" s="66">
        <v>0</v>
      </c>
      <c r="K71" s="66">
        <v>0.20238095238095233</v>
      </c>
      <c r="L71" s="19">
        <v>7.7799999999999994E-2</v>
      </c>
      <c r="M71" s="2">
        <v>0.2135</v>
      </c>
      <c r="N71" s="2">
        <v>1269</v>
      </c>
      <c r="O71" s="2">
        <v>18.12</v>
      </c>
      <c r="P71" s="2">
        <v>24.87</v>
      </c>
      <c r="Q71" s="2">
        <v>1083.6300000000001</v>
      </c>
      <c r="R71" s="2">
        <v>26.95</v>
      </c>
      <c r="S71" s="64">
        <f>(N71/(L71+M71))*100</f>
        <v>435633.36766220391</v>
      </c>
      <c r="T71" s="64">
        <f>(O71/(L71+M71))*100</f>
        <v>6220.391349124614</v>
      </c>
      <c r="U71" s="72">
        <f>(P71/(L71+M71))*100</f>
        <v>8537.5901132852741</v>
      </c>
      <c r="V71" s="2">
        <f>(Q71/(L71+M71))*100</f>
        <v>371997.9402677652</v>
      </c>
      <c r="W71" s="70">
        <f>(R71/(L71+M71))*100</f>
        <v>9251.6306213525568</v>
      </c>
    </row>
    <row r="72" spans="1:24" x14ac:dyDescent="0.25">
      <c r="A72" s="2">
        <v>3</v>
      </c>
      <c r="B72" s="2">
        <v>1</v>
      </c>
      <c r="C72" s="2" t="s">
        <v>125</v>
      </c>
      <c r="D72" s="2" t="s">
        <v>126</v>
      </c>
      <c r="E72" s="2" t="s">
        <v>128</v>
      </c>
      <c r="F72" s="66">
        <v>0.77083333333333337</v>
      </c>
      <c r="G72" s="66">
        <v>0.77083333333333337</v>
      </c>
      <c r="H72" s="66">
        <v>0</v>
      </c>
      <c r="I72" s="69">
        <v>0.77083333333333337</v>
      </c>
      <c r="J72" s="66">
        <v>0.22916666666666666</v>
      </c>
      <c r="K72" s="66">
        <v>-2.7755575615628914E-17</v>
      </c>
      <c r="L72" s="19">
        <v>9.2499999999999999E-2</v>
      </c>
      <c r="M72" s="2">
        <v>0.11020000000000001</v>
      </c>
      <c r="N72" s="2">
        <v>235.96</v>
      </c>
      <c r="O72" s="2">
        <v>7.55</v>
      </c>
      <c r="P72" s="2">
        <v>7.55</v>
      </c>
      <c r="Q72" s="2">
        <v>223.94</v>
      </c>
      <c r="R72" s="2">
        <v>7.57</v>
      </c>
      <c r="S72" s="64">
        <f>(N72/(L72+M72))*100</f>
        <v>116408.48544647262</v>
      </c>
      <c r="T72" s="64">
        <f>(O72/(L72+M72))*100</f>
        <v>3724.7163295510609</v>
      </c>
      <c r="U72" s="72">
        <f>(P72/(L72+M72))*100</f>
        <v>3724.7163295510609</v>
      </c>
      <c r="V72" s="2">
        <f>(Q72/(L72+M72))*100</f>
        <v>110478.53971386285</v>
      </c>
      <c r="W72" s="70">
        <f>(R72/(L72+M72))*100</f>
        <v>3734.5831277750372</v>
      </c>
    </row>
    <row r="73" spans="1:24" x14ac:dyDescent="0.25">
      <c r="A73" s="2">
        <v>3</v>
      </c>
      <c r="B73" s="2">
        <v>1</v>
      </c>
      <c r="C73" s="2" t="s">
        <v>125</v>
      </c>
      <c r="D73" s="2" t="s">
        <v>126</v>
      </c>
      <c r="E73" s="2" t="s">
        <v>129</v>
      </c>
      <c r="F73" s="66">
        <v>0.72</v>
      </c>
      <c r="G73" s="66">
        <v>0.72</v>
      </c>
      <c r="H73" s="66">
        <v>0.03</v>
      </c>
      <c r="I73" s="69">
        <v>0.75</v>
      </c>
      <c r="J73" s="66">
        <v>0.02</v>
      </c>
      <c r="K73" s="66">
        <v>0.23</v>
      </c>
      <c r="L73" s="19">
        <v>7.6600000000000001E-2</v>
      </c>
      <c r="M73" s="2">
        <v>0.37209999999999999</v>
      </c>
      <c r="N73" s="2">
        <v>249.55</v>
      </c>
      <c r="O73" s="2">
        <v>15.24</v>
      </c>
      <c r="P73" s="2">
        <v>15.35</v>
      </c>
      <c r="Q73" s="2">
        <v>205.15</v>
      </c>
      <c r="R73" s="2">
        <v>15.54</v>
      </c>
      <c r="S73" s="64">
        <f>(N73/(L73+M73))*100</f>
        <v>55616.224648985961</v>
      </c>
      <c r="T73" s="64">
        <f>(O73/(L73+M73))*100</f>
        <v>3396.4787162915086</v>
      </c>
      <c r="U73" s="72">
        <f>(P73/(L73+M73))*100</f>
        <v>3420.9939826164473</v>
      </c>
      <c r="V73" s="2">
        <f>(Q73/(L73+M73))*100</f>
        <v>45720.971696010703</v>
      </c>
      <c r="W73" s="70">
        <f>(R73/(L73+M73))*100</f>
        <v>3463.3385335413413</v>
      </c>
    </row>
    <row r="74" spans="1:24" x14ac:dyDescent="0.25">
      <c r="A74" s="2">
        <v>3</v>
      </c>
      <c r="B74" s="2">
        <v>1</v>
      </c>
      <c r="C74" s="2" t="s">
        <v>125</v>
      </c>
      <c r="D74" s="2" t="s">
        <v>126</v>
      </c>
      <c r="E74" s="2" t="s">
        <v>130</v>
      </c>
      <c r="F74" s="66">
        <v>0.67021276595744683</v>
      </c>
      <c r="G74" s="66">
        <v>0.67021276595744683</v>
      </c>
      <c r="H74" s="66">
        <v>3.1914893617021274E-2</v>
      </c>
      <c r="I74" s="69">
        <v>0.7021276595744681</v>
      </c>
      <c r="J74" s="66">
        <v>0.18085106382978725</v>
      </c>
      <c r="K74" s="66">
        <v>0.11702127659574466</v>
      </c>
      <c r="L74" s="19">
        <v>0.11559999999999999</v>
      </c>
      <c r="M74" s="2">
        <v>0.37109999999999999</v>
      </c>
      <c r="N74" s="2">
        <v>31.19</v>
      </c>
      <c r="O74" s="2">
        <v>13.21</v>
      </c>
      <c r="P74" s="2">
        <v>13.22</v>
      </c>
      <c r="Q74" s="2">
        <v>0</v>
      </c>
      <c r="R74" s="2">
        <v>6.66</v>
      </c>
      <c r="S74" s="64">
        <f>(N74/(L74+M74))*100</f>
        <v>6408.4651736182468</v>
      </c>
      <c r="T74" s="64">
        <f>(O74/(L74+M74))*100</f>
        <v>2714.197657694679</v>
      </c>
      <c r="U74" s="72">
        <f>(P74/(L74+M74))*100</f>
        <v>2716.2523114855153</v>
      </c>
      <c r="V74" s="2">
        <f>(Q74/(L74+M74))*100</f>
        <v>0</v>
      </c>
      <c r="W74" s="70">
        <f>(R74/(L74+M74))*100</f>
        <v>1368.3994246969387</v>
      </c>
    </row>
    <row r="75" spans="1:24" x14ac:dyDescent="0.25">
      <c r="A75" s="2">
        <v>3</v>
      </c>
      <c r="B75" s="2">
        <v>1</v>
      </c>
      <c r="C75" s="2" t="s">
        <v>125</v>
      </c>
      <c r="D75" s="2" t="s">
        <v>126</v>
      </c>
      <c r="E75" s="2" t="s">
        <v>131</v>
      </c>
      <c r="F75" s="66">
        <v>0.86842105263157898</v>
      </c>
      <c r="G75" s="66">
        <v>0.86842105263157898</v>
      </c>
      <c r="H75" s="66">
        <v>8.771929824561403E-3</v>
      </c>
      <c r="I75" s="69">
        <v>0.8771929824561403</v>
      </c>
      <c r="J75" s="66">
        <v>6.1403508771929821E-2</v>
      </c>
      <c r="K75" s="66">
        <v>6.1403508771929877E-2</v>
      </c>
      <c r="L75" s="19">
        <v>0.1138</v>
      </c>
      <c r="M75" s="2">
        <v>0.2351</v>
      </c>
      <c r="N75" s="2">
        <v>118.65</v>
      </c>
      <c r="O75" s="2">
        <v>15.44</v>
      </c>
      <c r="P75" s="2">
        <v>15.47</v>
      </c>
      <c r="Q75" s="2">
        <v>74.22</v>
      </c>
      <c r="R75" s="2">
        <v>15.44</v>
      </c>
      <c r="S75" s="64">
        <f>(N75/(L75+M75))*100</f>
        <v>34006.878761822874</v>
      </c>
      <c r="T75" s="64">
        <f>(O75/(L75+M75))*100</f>
        <v>4425.3367727142449</v>
      </c>
      <c r="U75" s="72">
        <f>(P75/(L75+M75))*100</f>
        <v>4433.9352249928343</v>
      </c>
      <c r="V75" s="2">
        <f>(Q75/(L75+M75))*100</f>
        <v>21272.570937231299</v>
      </c>
      <c r="W75" s="70">
        <f>(R75/(L75+M75))*100</f>
        <v>4425.3367727142449</v>
      </c>
    </row>
    <row r="76" spans="1:24" x14ac:dyDescent="0.25">
      <c r="A76" s="2">
        <v>3</v>
      </c>
      <c r="B76" s="2">
        <v>1</v>
      </c>
      <c r="C76" s="2" t="s">
        <v>125</v>
      </c>
      <c r="D76" s="2" t="s">
        <v>126</v>
      </c>
      <c r="E76" s="2" t="s">
        <v>132</v>
      </c>
      <c r="F76" s="66">
        <v>0.6</v>
      </c>
      <c r="G76" s="66">
        <v>0.6</v>
      </c>
      <c r="H76" s="66">
        <v>4.6153846153846156E-2</v>
      </c>
      <c r="I76" s="69">
        <v>0.64615384615384619</v>
      </c>
      <c r="J76" s="66">
        <v>0.1076923076923077</v>
      </c>
      <c r="K76" s="66">
        <v>0.24615384615384611</v>
      </c>
      <c r="L76" s="19">
        <v>9.9299999999999999E-2</v>
      </c>
      <c r="M76" s="2">
        <v>9.8199999999999996E-2</v>
      </c>
      <c r="N76" s="2">
        <v>149.09</v>
      </c>
      <c r="O76" s="2">
        <v>6.85</v>
      </c>
      <c r="P76" s="2">
        <v>6.9</v>
      </c>
      <c r="Q76" s="2">
        <v>129.61000000000001</v>
      </c>
      <c r="R76" s="2">
        <v>6.94</v>
      </c>
      <c r="S76" s="64">
        <f>(N76/(L76+M76))*100</f>
        <v>75488.607594936708</v>
      </c>
      <c r="T76" s="64">
        <f>(O76/(L76+M76))*100</f>
        <v>3468.3544303797466</v>
      </c>
      <c r="U76" s="72">
        <f>(P76/(L76+M76))*100</f>
        <v>3493.6708860759495</v>
      </c>
      <c r="V76" s="2">
        <f>(Q76/(L76+M76))*100</f>
        <v>65625.3164556962</v>
      </c>
      <c r="W76" s="70">
        <f>(R76/(L76+M76))*100</f>
        <v>3513.9240506329115</v>
      </c>
    </row>
    <row r="77" spans="1:24" x14ac:dyDescent="0.25">
      <c r="A77" s="2">
        <v>3</v>
      </c>
      <c r="B77" s="2">
        <v>1</v>
      </c>
      <c r="C77" s="2" t="s">
        <v>125</v>
      </c>
      <c r="D77" s="2" t="s">
        <v>126</v>
      </c>
      <c r="E77" s="2" t="s">
        <v>133</v>
      </c>
      <c r="F77" s="66">
        <v>0.76</v>
      </c>
      <c r="G77" s="66">
        <v>0.76</v>
      </c>
      <c r="H77" s="66">
        <v>0.06</v>
      </c>
      <c r="I77" s="69">
        <v>0.82</v>
      </c>
      <c r="J77" s="66">
        <v>0.04</v>
      </c>
      <c r="K77" s="66">
        <v>0.14000000000000004</v>
      </c>
      <c r="L77" s="19">
        <v>0.123</v>
      </c>
      <c r="M77" s="2">
        <v>0.1792</v>
      </c>
      <c r="N77" s="2">
        <v>34.534500000000001</v>
      </c>
      <c r="O77" s="2">
        <v>10.1</v>
      </c>
      <c r="P77" s="2">
        <v>10.09</v>
      </c>
      <c r="Q77" s="2">
        <v>4.22</v>
      </c>
      <c r="R77" s="2">
        <v>10.09</v>
      </c>
      <c r="S77" s="64">
        <f>(N77/(L77+M77))*100</f>
        <v>11427.696889477167</v>
      </c>
      <c r="T77" s="64">
        <f>(O77/(L77+M77))*100</f>
        <v>3342.1575115817332</v>
      </c>
      <c r="U77" s="72">
        <f>(P77/(L77+M77))*100</f>
        <v>3338.8484447385836</v>
      </c>
      <c r="V77" s="2">
        <f>(Q77/(L77+M77))*100</f>
        <v>1396.4262078093975</v>
      </c>
      <c r="W77" s="70">
        <f>(R77/(L77+M77))*100</f>
        <v>3338.8484447385836</v>
      </c>
    </row>
    <row r="78" spans="1:24" x14ac:dyDescent="0.25">
      <c r="A78" s="2">
        <v>3</v>
      </c>
      <c r="B78" s="2">
        <v>1</v>
      </c>
      <c r="C78" s="2" t="s">
        <v>125</v>
      </c>
      <c r="D78" s="2" t="s">
        <v>126</v>
      </c>
      <c r="E78" s="2" t="s">
        <v>134</v>
      </c>
      <c r="F78" s="66" t="s">
        <v>729</v>
      </c>
      <c r="G78" s="66" t="s">
        <v>729</v>
      </c>
      <c r="H78" s="66" t="s">
        <v>729</v>
      </c>
      <c r="I78" s="69">
        <v>0</v>
      </c>
      <c r="J78" s="66" t="s">
        <v>729</v>
      </c>
      <c r="K78" s="66">
        <v>1</v>
      </c>
      <c r="L78" s="19">
        <v>0.1011</v>
      </c>
      <c r="M78" s="2">
        <v>0.18090000000000001</v>
      </c>
      <c r="N78" s="2">
        <v>21.69</v>
      </c>
      <c r="O78" s="2">
        <v>7.5</v>
      </c>
      <c r="P78" s="2">
        <v>7.48</v>
      </c>
      <c r="Q78" s="2">
        <v>0</v>
      </c>
      <c r="R78" s="2">
        <v>7.53</v>
      </c>
      <c r="S78" s="64">
        <f>(N78/(L78+M78))*100</f>
        <v>7691.489361702128</v>
      </c>
      <c r="T78" s="64">
        <f>(O78/(L78+M78))*100</f>
        <v>2659.5744680851062</v>
      </c>
      <c r="U78" s="72">
        <f>(P78/(L78+M78))*100</f>
        <v>2652.4822695035459</v>
      </c>
      <c r="V78" s="2">
        <f>(Q78/(L78+M78))*100</f>
        <v>0</v>
      </c>
      <c r="W78" s="70">
        <f>(R78/(L78+M78))*100</f>
        <v>2670.2127659574467</v>
      </c>
      <c r="X78" s="2" t="s">
        <v>689</v>
      </c>
    </row>
    <row r="79" spans="1:24" x14ac:dyDescent="0.25">
      <c r="A79" s="2">
        <v>3</v>
      </c>
      <c r="B79" s="2">
        <v>1</v>
      </c>
      <c r="C79" s="2" t="s">
        <v>125</v>
      </c>
      <c r="D79" s="2" t="s">
        <v>126</v>
      </c>
      <c r="E79" s="2" t="s">
        <v>135</v>
      </c>
      <c r="F79" s="66" t="s">
        <v>729</v>
      </c>
      <c r="G79" s="66" t="s">
        <v>729</v>
      </c>
      <c r="H79" s="66" t="s">
        <v>729</v>
      </c>
      <c r="I79" s="69">
        <v>0</v>
      </c>
      <c r="J79" s="66" t="s">
        <v>729</v>
      </c>
      <c r="K79" s="66">
        <v>1</v>
      </c>
      <c r="L79" s="19">
        <v>9.2299999999999993E-2</v>
      </c>
      <c r="M79" s="2">
        <v>7.0999999999999994E-2</v>
      </c>
      <c r="N79" s="2">
        <v>20.492599999999999</v>
      </c>
      <c r="O79" s="2">
        <v>5.46</v>
      </c>
      <c r="P79" s="2">
        <v>5.47</v>
      </c>
      <c r="Q79" s="2">
        <v>4.32</v>
      </c>
      <c r="R79" s="2">
        <v>5.48</v>
      </c>
      <c r="S79" s="64">
        <f>(N79/(L79+M79))*100</f>
        <v>12549.050826699326</v>
      </c>
      <c r="T79" s="64">
        <f>(O79/(L79+M79))*100</f>
        <v>3343.5394978567056</v>
      </c>
      <c r="U79" s="72">
        <f>(P79/(L79+M79))*100</f>
        <v>3349.6631965707288</v>
      </c>
      <c r="V79" s="2">
        <f>(Q79/(L79+M79))*100</f>
        <v>2645.4378444580525</v>
      </c>
      <c r="W79" s="70">
        <f>(R79/(L79+M79))*100</f>
        <v>3355.7868952847521</v>
      </c>
      <c r="X79" s="2" t="s">
        <v>689</v>
      </c>
    </row>
    <row r="80" spans="1:24" x14ac:dyDescent="0.25">
      <c r="A80" s="2">
        <v>3</v>
      </c>
      <c r="B80" s="2">
        <v>1</v>
      </c>
      <c r="C80" s="2" t="s">
        <v>136</v>
      </c>
      <c r="D80" s="2" t="s">
        <v>137</v>
      </c>
      <c r="E80" s="2" t="s">
        <v>138</v>
      </c>
      <c r="F80" s="66">
        <v>0.1</v>
      </c>
      <c r="G80" s="66">
        <v>0.1</v>
      </c>
      <c r="H80" s="66">
        <v>0</v>
      </c>
      <c r="I80" s="69">
        <v>0.1</v>
      </c>
      <c r="J80" s="66">
        <v>0.80909090909090908</v>
      </c>
      <c r="K80" s="66">
        <v>9.0909090909090939E-2</v>
      </c>
      <c r="L80" s="19">
        <v>4.1099999999999998E-2</v>
      </c>
      <c r="M80" s="2">
        <v>0.214</v>
      </c>
      <c r="N80" s="2">
        <v>25.4194</v>
      </c>
      <c r="O80" s="2">
        <v>8.48</v>
      </c>
      <c r="P80" s="2">
        <v>8.48</v>
      </c>
      <c r="Q80" s="2">
        <v>0</v>
      </c>
      <c r="R80" s="2">
        <v>8.68</v>
      </c>
      <c r="S80" s="64">
        <f>(N80/(L80+M80))*100</f>
        <v>9964.4845158761273</v>
      </c>
      <c r="T80" s="64">
        <f>(O80/(L80+M80))*100</f>
        <v>3324.1865934927482</v>
      </c>
      <c r="U80" s="72">
        <f>(P80/(L80+M80))*100</f>
        <v>3324.1865934927482</v>
      </c>
      <c r="V80" s="2">
        <f>(Q80/(L80+M80))*100</f>
        <v>0</v>
      </c>
      <c r="W80" s="70">
        <f>(R80/(L80+M80))*100</f>
        <v>3402.5872206977651</v>
      </c>
    </row>
    <row r="81" spans="1:24" x14ac:dyDescent="0.25">
      <c r="A81" s="2">
        <v>3</v>
      </c>
      <c r="B81" s="2">
        <v>1</v>
      </c>
      <c r="C81" s="2" t="s">
        <v>139</v>
      </c>
      <c r="D81" s="2" t="s">
        <v>140</v>
      </c>
      <c r="E81" s="2" t="s">
        <v>141</v>
      </c>
      <c r="F81" s="66">
        <v>0</v>
      </c>
      <c r="G81" s="66">
        <v>0</v>
      </c>
      <c r="H81" s="66">
        <v>0.5</v>
      </c>
      <c r="I81" s="69">
        <v>0.5</v>
      </c>
      <c r="J81" s="66">
        <v>0.42</v>
      </c>
      <c r="K81" s="66">
        <v>8.0000000000000016E-2</v>
      </c>
      <c r="L81" s="19">
        <v>0.11749999999999999</v>
      </c>
      <c r="M81" s="2">
        <v>0.10349999999999999</v>
      </c>
      <c r="N81" s="2">
        <v>27.89</v>
      </c>
      <c r="O81" s="2">
        <v>7.39</v>
      </c>
      <c r="P81" s="2">
        <v>7.35</v>
      </c>
      <c r="Q81" s="2">
        <v>6.5</v>
      </c>
      <c r="R81" s="2">
        <v>7.37</v>
      </c>
      <c r="S81" s="64">
        <f>(N81/(L81+M81))*100</f>
        <v>12619.909502262444</v>
      </c>
      <c r="T81" s="64">
        <f>(O81/(L81+M81))*100</f>
        <v>3343.8914027149322</v>
      </c>
      <c r="U81" s="72">
        <f>(P81/(L81+M81))*100</f>
        <v>3325.7918552036203</v>
      </c>
      <c r="V81" s="2">
        <f>(Q81/(L81+M81))*100</f>
        <v>2941.1764705882356</v>
      </c>
      <c r="W81" s="70">
        <f>(R81/(L81+M81))*100</f>
        <v>3334.841628959276</v>
      </c>
    </row>
    <row r="82" spans="1:24" x14ac:dyDescent="0.25">
      <c r="A82" s="2">
        <v>3</v>
      </c>
      <c r="B82" s="2">
        <v>1</v>
      </c>
      <c r="C82" s="2" t="s">
        <v>139</v>
      </c>
      <c r="D82" s="2" t="s">
        <v>140</v>
      </c>
      <c r="E82" s="2" t="s">
        <v>142</v>
      </c>
      <c r="F82" s="66">
        <v>9.433962264150943E-3</v>
      </c>
      <c r="G82" s="66">
        <v>9.433962264150943E-3</v>
      </c>
      <c r="H82" s="66">
        <v>0.64150943396226412</v>
      </c>
      <c r="I82" s="69">
        <v>0.65094339622641506</v>
      </c>
      <c r="J82" s="66">
        <v>0.19811320754716982</v>
      </c>
      <c r="K82" s="66">
        <v>0.15094339622641512</v>
      </c>
      <c r="L82" s="19">
        <v>0.12670000000000001</v>
      </c>
      <c r="M82" s="2">
        <v>0.1101</v>
      </c>
      <c r="N82" s="2">
        <v>80.81</v>
      </c>
      <c r="O82" s="2">
        <v>7.95</v>
      </c>
      <c r="P82" s="2">
        <v>7.98</v>
      </c>
      <c r="Q82" s="2">
        <v>53.44</v>
      </c>
      <c r="R82" s="2">
        <v>8.01</v>
      </c>
      <c r="S82" s="64">
        <f>(N82/(L82+M82))*100</f>
        <v>34125.844594594593</v>
      </c>
      <c r="T82" s="64">
        <f>(O82/(L82+M82))*100</f>
        <v>3357.2635135135138</v>
      </c>
      <c r="U82" s="72">
        <f>(P82/(L82+M82))*100</f>
        <v>3369.9324324324325</v>
      </c>
      <c r="V82" s="2">
        <f>(Q82/(L82+M82))*100</f>
        <v>22567.567567567567</v>
      </c>
      <c r="W82" s="70">
        <f>(R82/(L82+M82))*100</f>
        <v>3382.6013513513508</v>
      </c>
    </row>
    <row r="83" spans="1:24" x14ac:dyDescent="0.25">
      <c r="A83" s="2" t="s">
        <v>724</v>
      </c>
      <c r="B83" s="2">
        <v>1</v>
      </c>
      <c r="C83" s="2" t="s">
        <v>139</v>
      </c>
      <c r="D83" s="2" t="s">
        <v>140</v>
      </c>
      <c r="E83" s="2" t="s">
        <v>143</v>
      </c>
      <c r="F83" s="66">
        <v>9.2592592592592587E-3</v>
      </c>
      <c r="G83" s="66">
        <v>9.2592592592592587E-3</v>
      </c>
      <c r="H83" s="66">
        <v>0.61111111111111116</v>
      </c>
      <c r="I83" s="69">
        <v>0.62037037037037035</v>
      </c>
      <c r="J83" s="66">
        <v>4.6296296296296294E-2</v>
      </c>
      <c r="K83" s="66">
        <v>0.33333333333333337</v>
      </c>
      <c r="L83" s="19">
        <v>0.1012</v>
      </c>
      <c r="M83" s="2">
        <v>0.95569999999999999</v>
      </c>
      <c r="N83" s="2">
        <v>42.359099999999998</v>
      </c>
      <c r="O83" s="2">
        <v>21.35</v>
      </c>
      <c r="P83" s="2">
        <v>21.32</v>
      </c>
      <c r="Q83" s="2">
        <v>0</v>
      </c>
      <c r="R83" s="2">
        <v>0</v>
      </c>
      <c r="S83" s="64">
        <f>(N83/(L83+M83))*100</f>
        <v>4007.8626170877092</v>
      </c>
      <c r="T83" s="64">
        <f>(O83/(L83+M83))*100</f>
        <v>2020.0586621250832</v>
      </c>
      <c r="U83" s="72">
        <f>(P83/(L83+M83))*100</f>
        <v>2017.2201722017221</v>
      </c>
      <c r="V83" s="2">
        <f>(Q83/(L83+M83))*100</f>
        <v>0</v>
      </c>
      <c r="W83" s="70">
        <f>(R83/(L83+M83))*100</f>
        <v>0</v>
      </c>
    </row>
    <row r="84" spans="1:24" x14ac:dyDescent="0.25">
      <c r="A84" s="2">
        <v>1</v>
      </c>
      <c r="B84" s="2">
        <v>1</v>
      </c>
      <c r="C84" s="2" t="s">
        <v>144</v>
      </c>
      <c r="D84" s="2" t="s">
        <v>145</v>
      </c>
      <c r="E84" s="2" t="s">
        <v>146</v>
      </c>
      <c r="F84" s="66">
        <v>0.08</v>
      </c>
      <c r="G84" s="66">
        <v>0.08</v>
      </c>
      <c r="H84" s="66">
        <v>0.65</v>
      </c>
      <c r="I84" s="69">
        <v>0.73</v>
      </c>
      <c r="J84" s="66">
        <v>0</v>
      </c>
      <c r="K84" s="66">
        <v>0.27</v>
      </c>
      <c r="L84" s="19">
        <v>1.89E-2</v>
      </c>
      <c r="M84" s="2">
        <v>0.2959</v>
      </c>
      <c r="N84" s="2">
        <v>248.48</v>
      </c>
      <c r="O84" s="2">
        <v>11.68</v>
      </c>
      <c r="P84" s="2">
        <v>11.87</v>
      </c>
      <c r="Q84" s="2">
        <v>190.36</v>
      </c>
      <c r="R84" s="2">
        <v>11.64</v>
      </c>
      <c r="S84" s="64">
        <f>(N84/(L84+M84))*100</f>
        <v>78932.655654383751</v>
      </c>
      <c r="T84" s="64">
        <f>(O84/(L84+M84))*100</f>
        <v>3710.2922490470141</v>
      </c>
      <c r="U84" s="72">
        <f>(P84/(L84+M84))*100</f>
        <v>3770.6480304955526</v>
      </c>
      <c r="V84" s="2">
        <f>(Q84/(L84+M84))*100</f>
        <v>60470.139771283371</v>
      </c>
      <c r="W84" s="70">
        <f>(R84/(L84+M84))*100</f>
        <v>3697.5857687420594</v>
      </c>
    </row>
    <row r="85" spans="1:24" x14ac:dyDescent="0.25">
      <c r="A85" s="2">
        <v>1</v>
      </c>
      <c r="B85" s="2">
        <v>2</v>
      </c>
      <c r="C85" s="2" t="s">
        <v>144</v>
      </c>
      <c r="D85" s="2" t="s">
        <v>145</v>
      </c>
      <c r="E85" s="2" t="s">
        <v>147</v>
      </c>
      <c r="F85" s="66">
        <v>0.42105263157894735</v>
      </c>
      <c r="G85" s="66">
        <v>0.49473684210526314</v>
      </c>
      <c r="H85" s="66">
        <v>0.24210526315789474</v>
      </c>
      <c r="I85" s="69">
        <v>0.73684210526315785</v>
      </c>
      <c r="J85" s="66">
        <v>0</v>
      </c>
      <c r="K85" s="66">
        <v>0.26315789473684215</v>
      </c>
      <c r="L85" s="19">
        <v>1.8499999999999999E-2</v>
      </c>
      <c r="M85" s="2">
        <v>0.31040000000000001</v>
      </c>
      <c r="N85" s="2">
        <v>53.1</v>
      </c>
      <c r="O85" s="2">
        <v>10.94</v>
      </c>
      <c r="P85" s="2">
        <v>10.98</v>
      </c>
      <c r="Q85" s="2">
        <v>17.489999999999998</v>
      </c>
      <c r="R85" s="2">
        <v>11</v>
      </c>
      <c r="S85" s="64">
        <f>(N85/(L85+M85))*100</f>
        <v>16144.724840377015</v>
      </c>
      <c r="T85" s="64">
        <f>(O85/(L85+M85))*100</f>
        <v>3326.2389784128914</v>
      </c>
      <c r="U85" s="72">
        <f>(P85/(L85+M85))*100</f>
        <v>3338.4007297050771</v>
      </c>
      <c r="V85" s="2">
        <f>(Q85/(L85+M85))*100</f>
        <v>5317.7257525083605</v>
      </c>
      <c r="W85" s="70">
        <f>(R85/(L85+M85))*100</f>
        <v>3344.4816053511699</v>
      </c>
    </row>
    <row r="86" spans="1:24" x14ac:dyDescent="0.25">
      <c r="A86" s="2">
        <v>1</v>
      </c>
      <c r="B86" s="2">
        <v>2</v>
      </c>
      <c r="C86" s="2" t="s">
        <v>144</v>
      </c>
      <c r="D86" s="2" t="s">
        <v>145</v>
      </c>
      <c r="E86" s="2" t="s">
        <v>148</v>
      </c>
      <c r="F86" s="66">
        <v>0.8728813559322034</v>
      </c>
      <c r="G86" s="66">
        <v>0.8728813559322034</v>
      </c>
      <c r="H86" s="66">
        <v>3.3898305084745763E-2</v>
      </c>
      <c r="I86" s="69">
        <v>0.90677966101694918</v>
      </c>
      <c r="J86" s="66">
        <v>4.2372881355932202E-2</v>
      </c>
      <c r="K86" s="66">
        <v>5.084745762711862E-2</v>
      </c>
      <c r="L86" s="19">
        <v>2.2800000000000001E-2</v>
      </c>
      <c r="M86" s="2">
        <v>0.27129999999999999</v>
      </c>
      <c r="N86" s="2">
        <v>21.32</v>
      </c>
      <c r="O86" s="2">
        <v>8.49</v>
      </c>
      <c r="P86" s="2">
        <v>8.8699999999999992</v>
      </c>
      <c r="Q86" s="2">
        <v>0</v>
      </c>
      <c r="R86" s="2">
        <v>4.32</v>
      </c>
      <c r="S86" s="64">
        <f>(N86/(L86+M86))*100</f>
        <v>7249.2349540972473</v>
      </c>
      <c r="T86" s="64">
        <f>(O86/(L86+M86))*100</f>
        <v>2886.7732063923841</v>
      </c>
      <c r="U86" s="72">
        <f>(P86/(L86+M86))*100</f>
        <v>3015.9809588575313</v>
      </c>
      <c r="V86" s="2">
        <f>(Q86/(L86+M86))*100</f>
        <v>0</v>
      </c>
      <c r="W86" s="70">
        <f>(R86/(L86+M86))*100</f>
        <v>1468.8881332879976</v>
      </c>
    </row>
    <row r="87" spans="1:24" x14ac:dyDescent="0.25">
      <c r="A87" s="2">
        <v>1</v>
      </c>
      <c r="B87" s="2">
        <v>2</v>
      </c>
      <c r="C87" s="2" t="s">
        <v>144</v>
      </c>
      <c r="D87" s="2" t="s">
        <v>149</v>
      </c>
      <c r="E87" s="2" t="s">
        <v>150</v>
      </c>
      <c r="F87" s="66">
        <v>0.22641509433962265</v>
      </c>
      <c r="G87" s="66">
        <v>0.22641509433962265</v>
      </c>
      <c r="H87" s="66">
        <v>0.42452830188679247</v>
      </c>
      <c r="I87" s="69">
        <v>0.65094339622641506</v>
      </c>
      <c r="J87" s="66">
        <v>7.5471698113207544E-2</v>
      </c>
      <c r="K87" s="66">
        <v>0.27358490566037741</v>
      </c>
      <c r="L87" s="19">
        <v>2.7900000000000001E-2</v>
      </c>
      <c r="M87" s="2">
        <v>0.33710000000000001</v>
      </c>
      <c r="N87" s="19">
        <v>79.89</v>
      </c>
      <c r="O87" s="2">
        <v>12.17</v>
      </c>
      <c r="P87" s="2">
        <v>12.18</v>
      </c>
      <c r="Q87" s="2">
        <v>49.25</v>
      </c>
      <c r="R87" s="2">
        <v>12.14</v>
      </c>
      <c r="S87" s="64">
        <f>(N87/(L87+M87))*100</f>
        <v>21887.671232876713</v>
      </c>
      <c r="T87" s="64">
        <f>(O87/(L87+M87))*100</f>
        <v>3334.2465753424653</v>
      </c>
      <c r="U87" s="72">
        <f>(P87/(L87+M87))*100</f>
        <v>3336.9863013698628</v>
      </c>
      <c r="V87" s="2">
        <f>(Q87/(L87+M87))*100</f>
        <v>13493.150684931506</v>
      </c>
      <c r="W87" s="70">
        <f>(R87/(L87+M87))*100</f>
        <v>3326.027397260274</v>
      </c>
    </row>
    <row r="88" spans="1:24" x14ac:dyDescent="0.25">
      <c r="A88" s="2">
        <v>1</v>
      </c>
      <c r="B88" s="2">
        <v>2</v>
      </c>
      <c r="C88" s="2" t="s">
        <v>144</v>
      </c>
      <c r="D88" s="2" t="s">
        <v>151</v>
      </c>
      <c r="E88" s="2" t="s">
        <v>152</v>
      </c>
      <c r="F88" s="66">
        <v>0</v>
      </c>
      <c r="G88" s="66">
        <v>0</v>
      </c>
      <c r="H88" s="66">
        <v>0.35185185185185186</v>
      </c>
      <c r="I88" s="69">
        <v>0.35185185185185186</v>
      </c>
      <c r="J88" s="66">
        <v>0</v>
      </c>
      <c r="K88" s="66">
        <v>0.64814814814814814</v>
      </c>
      <c r="L88" s="19">
        <v>0.14369999999999999</v>
      </c>
      <c r="M88" s="2">
        <v>0.14910000000000001</v>
      </c>
      <c r="N88" s="2">
        <v>61.19</v>
      </c>
      <c r="O88" s="2">
        <v>9.8699999999999992</v>
      </c>
      <c r="P88" s="2">
        <v>9.99</v>
      </c>
      <c r="Q88" s="2">
        <v>28.84</v>
      </c>
      <c r="R88" s="2">
        <v>9.93</v>
      </c>
      <c r="S88" s="64">
        <f>(N88/(L88+M88))*100</f>
        <v>20898.224043715847</v>
      </c>
      <c r="T88" s="64">
        <f>(O88/(L88+M88))*100</f>
        <v>3370.9016393442616</v>
      </c>
      <c r="U88" s="72">
        <f>(P88/(L88+M88))*100</f>
        <v>3411.8852459016393</v>
      </c>
      <c r="V88" s="2">
        <f>(Q88/(L88+M88))*100</f>
        <v>9849.7267759562837</v>
      </c>
      <c r="W88" s="70">
        <f>(R88/(L88+M88))*100</f>
        <v>3391.3934426229512</v>
      </c>
    </row>
    <row r="89" spans="1:24" x14ac:dyDescent="0.25">
      <c r="A89" s="2">
        <v>1</v>
      </c>
      <c r="B89" s="2">
        <v>1</v>
      </c>
      <c r="C89" s="2" t="s">
        <v>144</v>
      </c>
      <c r="D89" s="2" t="s">
        <v>151</v>
      </c>
      <c r="E89" s="2" t="s">
        <v>153</v>
      </c>
      <c r="F89" s="66">
        <v>0</v>
      </c>
      <c r="G89" s="66">
        <v>0</v>
      </c>
      <c r="H89" s="66">
        <v>0.13725490196078433</v>
      </c>
      <c r="I89" s="69">
        <v>0.13725490196078433</v>
      </c>
      <c r="J89" s="66">
        <v>0</v>
      </c>
      <c r="K89" s="66">
        <v>0.86274509803921573</v>
      </c>
      <c r="L89" s="19">
        <v>0.18210000000000001</v>
      </c>
      <c r="M89" s="2">
        <v>8.7099999999999997E-2</v>
      </c>
      <c r="N89" s="2">
        <v>60.06</v>
      </c>
      <c r="O89" s="2">
        <v>9.02</v>
      </c>
      <c r="P89" s="2">
        <v>9.02</v>
      </c>
      <c r="Q89" s="2">
        <v>32.19</v>
      </c>
      <c r="R89" s="2">
        <v>9.0399999999999991</v>
      </c>
      <c r="S89" s="64">
        <f>(N89/(L89+M89))*100</f>
        <v>22310.549777117387</v>
      </c>
      <c r="T89" s="64">
        <f>(O89/(L89+M89))*100</f>
        <v>3350.6686478454681</v>
      </c>
      <c r="U89" s="72">
        <f>(P89/(L89+M89))*100</f>
        <v>3350.6686478454681</v>
      </c>
      <c r="V89" s="2">
        <f>(Q89/(L89+M89))*100</f>
        <v>11957.652303120356</v>
      </c>
      <c r="W89" s="70">
        <f>(R89/(L89+M89))*100</f>
        <v>3358.0980683506682</v>
      </c>
    </row>
    <row r="90" spans="1:24" x14ac:dyDescent="0.25">
      <c r="A90" s="2">
        <v>1</v>
      </c>
      <c r="B90" s="2">
        <v>2</v>
      </c>
      <c r="C90" s="2" t="s">
        <v>154</v>
      </c>
      <c r="D90" s="2" t="s">
        <v>155</v>
      </c>
      <c r="E90" s="2" t="s">
        <v>156</v>
      </c>
      <c r="F90" s="66">
        <v>0.85849056603773588</v>
      </c>
      <c r="G90" s="66">
        <v>0.87735849056603776</v>
      </c>
      <c r="H90" s="66">
        <v>0</v>
      </c>
      <c r="I90" s="69">
        <v>0.87735849056603776</v>
      </c>
      <c r="J90" s="66">
        <v>0.12264150943396226</v>
      </c>
      <c r="K90" s="66">
        <v>-2.7755575615628914E-17</v>
      </c>
      <c r="L90" s="19">
        <v>0.56089999999999995</v>
      </c>
      <c r="M90" s="2">
        <v>2.0070999999999999</v>
      </c>
      <c r="N90" s="2">
        <v>216.69</v>
      </c>
      <c r="O90" s="2">
        <v>72.88</v>
      </c>
      <c r="P90" s="2">
        <v>72.59</v>
      </c>
      <c r="Q90" s="2">
        <v>0</v>
      </c>
      <c r="R90" s="2">
        <v>52.44</v>
      </c>
      <c r="S90" s="64">
        <f>(N90/(L90+M90))*100</f>
        <v>8438.0841121495341</v>
      </c>
      <c r="T90" s="64">
        <f>(O90/(L90+M90))*100</f>
        <v>2838.0062305295951</v>
      </c>
      <c r="U90" s="72">
        <f>(P90/(L90+M90))*100</f>
        <v>2826.7133956386301</v>
      </c>
      <c r="V90" s="2">
        <f>(Q90/(L90+M90))*100</f>
        <v>0</v>
      </c>
      <c r="W90" s="70">
        <f>(R90/(L90+M90))*100</f>
        <v>2042.0560747663553</v>
      </c>
    </row>
    <row r="91" spans="1:24" x14ac:dyDescent="0.25">
      <c r="A91" s="2">
        <v>2</v>
      </c>
      <c r="B91" s="2">
        <v>1</v>
      </c>
      <c r="C91" s="2" t="s">
        <v>157</v>
      </c>
      <c r="D91" s="2" t="s">
        <v>158</v>
      </c>
      <c r="E91" s="2" t="s">
        <v>159</v>
      </c>
      <c r="F91" s="66">
        <v>0.1744186046511628</v>
      </c>
      <c r="G91" s="66">
        <v>0.1744186046511628</v>
      </c>
      <c r="H91" s="66">
        <v>0.11627906976744186</v>
      </c>
      <c r="I91" s="69">
        <v>0.29069767441860467</v>
      </c>
      <c r="J91" s="66">
        <v>0.59302325581395354</v>
      </c>
      <c r="K91" s="66">
        <v>0.11627906976744173</v>
      </c>
      <c r="L91" s="19">
        <v>9.2999999999999992E-3</v>
      </c>
      <c r="M91" s="2">
        <v>0.13639999999999999</v>
      </c>
      <c r="N91" s="19">
        <v>108.26</v>
      </c>
      <c r="O91" s="2">
        <v>6.8</v>
      </c>
      <c r="P91" s="2">
        <v>6.79</v>
      </c>
      <c r="Q91" s="2">
        <v>84.59</v>
      </c>
      <c r="R91" s="2">
        <v>7</v>
      </c>
      <c r="S91" s="64">
        <f>(N91/(L91+M91))*100</f>
        <v>74303.363074811263</v>
      </c>
      <c r="T91" s="64">
        <f>(O91/(L91+M91))*100</f>
        <v>4667.1242278654772</v>
      </c>
      <c r="U91" s="72">
        <f>(P91/(L91+M91))*100</f>
        <v>4660.2608098833225</v>
      </c>
      <c r="V91" s="2">
        <f>(Q91/(L91+M91))*100</f>
        <v>58057.652711050105</v>
      </c>
      <c r="W91" s="70">
        <f>(R91/(L91+M91))*100</f>
        <v>4804.3925875085797</v>
      </c>
    </row>
    <row r="92" spans="1:24" x14ac:dyDescent="0.25">
      <c r="A92" s="2">
        <v>2</v>
      </c>
      <c r="B92" s="2">
        <v>1</v>
      </c>
      <c r="C92" s="2" t="s">
        <v>157</v>
      </c>
      <c r="D92" s="2" t="s">
        <v>158</v>
      </c>
      <c r="E92" s="2" t="s">
        <v>160</v>
      </c>
      <c r="F92" s="66">
        <v>0.83620689655172409</v>
      </c>
      <c r="G92" s="66">
        <v>0.84482758620689657</v>
      </c>
      <c r="H92" s="66">
        <v>3.4482758620689655E-2</v>
      </c>
      <c r="I92" s="69">
        <v>0.87931034482758619</v>
      </c>
      <c r="J92" s="66">
        <v>6.8965517241379309E-2</v>
      </c>
      <c r="K92" s="66">
        <v>5.1724137931034503E-2</v>
      </c>
      <c r="L92" s="19">
        <v>8.8000000000000005E-3</v>
      </c>
      <c r="M92" s="2">
        <v>0.1081</v>
      </c>
      <c r="N92" s="2">
        <v>433.94</v>
      </c>
      <c r="O92" s="2">
        <v>14.82</v>
      </c>
      <c r="P92" s="2">
        <v>14.78</v>
      </c>
      <c r="Q92" s="2">
        <v>373.12</v>
      </c>
      <c r="R92" s="2">
        <v>14.78</v>
      </c>
      <c r="S92" s="64">
        <f>(N92/(L92+M92))*100</f>
        <v>371206.15911035071</v>
      </c>
      <c r="T92" s="64">
        <f>(O92/(L92+M92))*100</f>
        <v>12677.502138579983</v>
      </c>
      <c r="U92" s="72">
        <f>(P92/(L92+M92))*100</f>
        <v>12643.28485885372</v>
      </c>
      <c r="V92" s="2">
        <f>(Q92/(L92+M92))*100</f>
        <v>319178.78528656968</v>
      </c>
      <c r="W92" s="70">
        <f>(R92/(L92+M92))*100</f>
        <v>12643.28485885372</v>
      </c>
    </row>
    <row r="93" spans="1:24" x14ac:dyDescent="0.25">
      <c r="A93" s="2" t="s">
        <v>724</v>
      </c>
      <c r="B93" s="2">
        <v>1</v>
      </c>
      <c r="C93" s="2" t="s">
        <v>161</v>
      </c>
      <c r="D93" s="2" t="s">
        <v>162</v>
      </c>
      <c r="E93" s="2" t="s">
        <v>163</v>
      </c>
      <c r="F93" s="66">
        <v>0.96226415094339623</v>
      </c>
      <c r="G93" s="66">
        <v>1</v>
      </c>
      <c r="H93" s="66">
        <v>0</v>
      </c>
      <c r="I93" s="69">
        <v>1</v>
      </c>
      <c r="J93" s="66">
        <v>0</v>
      </c>
      <c r="K93" s="66">
        <v>0</v>
      </c>
      <c r="L93" s="19">
        <v>6.08E-2</v>
      </c>
      <c r="M93" s="2">
        <v>0.4073</v>
      </c>
      <c r="N93" s="2">
        <v>12.412000000000001</v>
      </c>
      <c r="O93" s="2">
        <v>6.24</v>
      </c>
      <c r="P93" s="2">
        <v>6.3</v>
      </c>
      <c r="Q93" s="2">
        <v>0</v>
      </c>
      <c r="R93" s="2">
        <v>0</v>
      </c>
      <c r="S93" s="64">
        <f>(N93/(L93+M93))*100</f>
        <v>2651.5701773125402</v>
      </c>
      <c r="T93" s="64">
        <f>(O93/(L93+M93))*100</f>
        <v>1333.0484939115572</v>
      </c>
      <c r="U93" s="72">
        <f>(P93/(L93+M93))*100</f>
        <v>1345.8662678914761</v>
      </c>
      <c r="V93" s="2">
        <f>(Q93/(L93+M93))*100</f>
        <v>0</v>
      </c>
      <c r="W93" s="70">
        <f>(R93/(L93+M93))*100</f>
        <v>0</v>
      </c>
    </row>
    <row r="94" spans="1:24" x14ac:dyDescent="0.25">
      <c r="A94" s="2">
        <v>1</v>
      </c>
      <c r="B94" s="2">
        <v>1</v>
      </c>
      <c r="C94" s="2" t="s">
        <v>164</v>
      </c>
      <c r="D94" s="2" t="s">
        <v>165</v>
      </c>
      <c r="E94" s="2" t="s">
        <v>166</v>
      </c>
      <c r="F94" s="66">
        <v>0</v>
      </c>
      <c r="G94" s="66">
        <v>0</v>
      </c>
      <c r="H94" s="66">
        <v>0.53846153846153844</v>
      </c>
      <c r="I94" s="69">
        <v>0.53846153846153844</v>
      </c>
      <c r="J94" s="66">
        <v>0.35576923076923078</v>
      </c>
      <c r="K94" s="66">
        <v>0.10576923076923078</v>
      </c>
      <c r="L94" s="19">
        <v>8.5300000000000001E-2</v>
      </c>
      <c r="M94" s="2">
        <v>0.2009</v>
      </c>
      <c r="N94" s="2">
        <v>38.090000000000003</v>
      </c>
      <c r="O94" s="2">
        <v>9.59</v>
      </c>
      <c r="P94" s="2">
        <v>9.5500000000000007</v>
      </c>
      <c r="Q94" s="2">
        <v>9.36</v>
      </c>
      <c r="R94" s="2">
        <v>9.6300000000000008</v>
      </c>
      <c r="S94" s="64">
        <f>(N94/(L94+M94))*100</f>
        <v>13308.874912648496</v>
      </c>
      <c r="T94" s="64">
        <f>(O94/(L94+M94))*100</f>
        <v>3350.803633822502</v>
      </c>
      <c r="U94" s="72">
        <f>(P94/(L94+M94))*100</f>
        <v>3336.8273934311674</v>
      </c>
      <c r="V94" s="2">
        <f>(Q94/(L94+M94))*100</f>
        <v>3270.4402515723268</v>
      </c>
      <c r="W94" s="70">
        <f>(R94/(L94+M94))*100</f>
        <v>3364.7798742138361</v>
      </c>
    </row>
    <row r="95" spans="1:24" x14ac:dyDescent="0.25">
      <c r="A95" s="2">
        <v>1</v>
      </c>
      <c r="B95" s="2">
        <v>2</v>
      </c>
      <c r="C95" s="2" t="s">
        <v>164</v>
      </c>
      <c r="D95" s="2" t="s">
        <v>165</v>
      </c>
      <c r="E95" s="2" t="s">
        <v>167</v>
      </c>
      <c r="F95" s="66" t="s">
        <v>729</v>
      </c>
      <c r="G95" s="66" t="s">
        <v>729</v>
      </c>
      <c r="H95" s="66" t="s">
        <v>729</v>
      </c>
      <c r="I95" s="69">
        <v>0</v>
      </c>
      <c r="J95" s="66" t="s">
        <v>729</v>
      </c>
      <c r="K95" s="66">
        <v>1</v>
      </c>
      <c r="L95" s="19">
        <v>6.13E-2</v>
      </c>
      <c r="M95" s="2">
        <v>0.20119999999999999</v>
      </c>
      <c r="N95" s="2">
        <v>104.14</v>
      </c>
      <c r="O95" s="2">
        <v>8.99</v>
      </c>
      <c r="P95" s="2">
        <v>8.9700000000000006</v>
      </c>
      <c r="Q95" s="2">
        <v>78.16</v>
      </c>
      <c r="R95" s="2">
        <v>9.0399999999999991</v>
      </c>
      <c r="S95" s="64">
        <f>(N95/(L95+M95))*100</f>
        <v>39672.380952380954</v>
      </c>
      <c r="T95" s="64">
        <f>(O95/(L95+M95))*100</f>
        <v>3424.7619047619046</v>
      </c>
      <c r="U95" s="72">
        <f>(P95/(L95+M95))*100</f>
        <v>3417.1428571428569</v>
      </c>
      <c r="V95" s="2">
        <f>(Q95/(L95+M95))*100</f>
        <v>29775.238095238092</v>
      </c>
      <c r="W95" s="70">
        <f>(R95/(L95+M95))*100</f>
        <v>3443.8095238095239</v>
      </c>
      <c r="X95" s="2" t="s">
        <v>689</v>
      </c>
    </row>
    <row r="96" spans="1:24" x14ac:dyDescent="0.25">
      <c r="A96" s="2">
        <v>2</v>
      </c>
      <c r="B96" s="2">
        <v>1</v>
      </c>
      <c r="C96" s="2" t="s">
        <v>168</v>
      </c>
      <c r="D96" s="2" t="s">
        <v>169</v>
      </c>
      <c r="E96" s="2" t="s">
        <v>170</v>
      </c>
      <c r="F96" s="66">
        <v>0.32</v>
      </c>
      <c r="G96" s="66">
        <v>0.32</v>
      </c>
      <c r="H96" s="66">
        <v>0</v>
      </c>
      <c r="I96" s="69">
        <v>0.32</v>
      </c>
      <c r="J96" s="66">
        <v>0.68</v>
      </c>
      <c r="K96" s="66">
        <v>-1.1102230246251565E-16</v>
      </c>
      <c r="L96" s="19">
        <v>2.7199999999999998E-2</v>
      </c>
      <c r="M96" s="2">
        <v>0.13170000000000001</v>
      </c>
      <c r="N96" s="19">
        <v>42.83</v>
      </c>
      <c r="O96" s="2">
        <v>5.51</v>
      </c>
      <c r="P96" s="2">
        <v>5.52</v>
      </c>
      <c r="Q96" s="2">
        <v>27.38</v>
      </c>
      <c r="R96" s="2">
        <v>5.5</v>
      </c>
      <c r="S96" s="64">
        <f>(N96/(L96+M96))*100</f>
        <v>26954.059156702322</v>
      </c>
      <c r="T96" s="64">
        <f>(O96/(L96+M96))*100</f>
        <v>3467.5896790434231</v>
      </c>
      <c r="U96" s="72">
        <f>(P96/(L96+M96))*100</f>
        <v>3473.8829452485829</v>
      </c>
      <c r="V96" s="2">
        <f>(Q96/(L96+M96))*100</f>
        <v>17230.962869729388</v>
      </c>
      <c r="W96" s="70">
        <f>(R96/(L96+M96))*100</f>
        <v>3461.2964128382628</v>
      </c>
    </row>
    <row r="97" spans="1:24" x14ac:dyDescent="0.25">
      <c r="A97" s="2">
        <v>2</v>
      </c>
      <c r="B97" s="2">
        <v>1</v>
      </c>
      <c r="C97" s="2" t="s">
        <v>168</v>
      </c>
      <c r="D97" s="2" t="s">
        <v>169</v>
      </c>
      <c r="E97" s="2" t="s">
        <v>171</v>
      </c>
      <c r="F97" s="66">
        <v>0.13</v>
      </c>
      <c r="G97" s="66">
        <v>0.13</v>
      </c>
      <c r="H97" s="66">
        <v>0</v>
      </c>
      <c r="I97" s="69">
        <v>0.13</v>
      </c>
      <c r="J97" s="66">
        <v>0.83</v>
      </c>
      <c r="K97" s="66">
        <v>4.0000000000000036E-2</v>
      </c>
      <c r="L97" s="19">
        <v>3.0700000000000002E-2</v>
      </c>
      <c r="M97" s="2">
        <v>0.11219999999999999</v>
      </c>
      <c r="N97" s="2">
        <v>16.61</v>
      </c>
      <c r="O97" s="2">
        <v>4.8</v>
      </c>
      <c r="P97" s="2">
        <v>4.76</v>
      </c>
      <c r="Q97" s="2">
        <v>3.36</v>
      </c>
      <c r="R97" s="2">
        <v>4.75</v>
      </c>
      <c r="S97" s="64">
        <f>(N97/(L97+M97))*100</f>
        <v>11623.512946116165</v>
      </c>
      <c r="T97" s="64">
        <f>(O97/(L97+M97))*100</f>
        <v>3358.992302309307</v>
      </c>
      <c r="U97" s="72">
        <f>(P97/(L97+M97))*100</f>
        <v>3331.0006997900628</v>
      </c>
      <c r="V97" s="2">
        <f>(Q97/(L97+M97))*100</f>
        <v>2351.2946116165149</v>
      </c>
      <c r="W97" s="70">
        <f>(R97/(L97+M97))*100</f>
        <v>3324.0027991602519</v>
      </c>
    </row>
    <row r="98" spans="1:24" x14ac:dyDescent="0.25">
      <c r="A98" s="2">
        <v>2</v>
      </c>
      <c r="B98" s="2" t="s">
        <v>725</v>
      </c>
      <c r="C98" s="2" t="s">
        <v>168</v>
      </c>
      <c r="D98" s="2" t="s">
        <v>172</v>
      </c>
      <c r="E98" s="2" t="s">
        <v>173</v>
      </c>
      <c r="F98" s="66">
        <v>0.30909090909090908</v>
      </c>
      <c r="G98" s="66">
        <v>0.40909090909090912</v>
      </c>
      <c r="H98" s="66">
        <v>9.0909090909090905E-3</v>
      </c>
      <c r="I98" s="69">
        <v>0.41818181818181815</v>
      </c>
      <c r="J98" s="66">
        <v>0.53636363636363638</v>
      </c>
      <c r="K98" s="66">
        <v>4.5454545454545414E-2</v>
      </c>
      <c r="L98" s="19">
        <v>1.0999999999999999E-2</v>
      </c>
      <c r="M98" s="2">
        <v>0.1089</v>
      </c>
      <c r="N98" s="2">
        <v>71.34</v>
      </c>
      <c r="O98" s="2">
        <v>3.98</v>
      </c>
      <c r="P98" s="2">
        <v>3.99</v>
      </c>
      <c r="Q98" s="2">
        <v>60.12</v>
      </c>
      <c r="R98" s="2">
        <v>4</v>
      </c>
      <c r="S98" s="64">
        <f>(N98/(L98+M98))*100</f>
        <v>59499.582985821522</v>
      </c>
      <c r="T98" s="64">
        <f>(O98/(L98+M98))*100</f>
        <v>3319.4328607172642</v>
      </c>
      <c r="U98" s="72">
        <f>(P98/(L98+M98))*100</f>
        <v>3327.7731442869062</v>
      </c>
      <c r="V98" s="2">
        <f>(Q98/(L98+M98))*100</f>
        <v>50141.784820683904</v>
      </c>
      <c r="W98" s="70">
        <f>(R98/(L98+M98))*100</f>
        <v>3336.1134278565473</v>
      </c>
    </row>
    <row r="99" spans="1:24" x14ac:dyDescent="0.25">
      <c r="A99" s="2">
        <v>2</v>
      </c>
      <c r="B99" s="2">
        <v>1</v>
      </c>
      <c r="C99" s="2" t="s">
        <v>168</v>
      </c>
      <c r="D99" s="2" t="s">
        <v>174</v>
      </c>
      <c r="E99" s="2" t="s">
        <v>175</v>
      </c>
      <c r="F99" s="66">
        <v>0.76</v>
      </c>
      <c r="G99" s="66">
        <v>0.76</v>
      </c>
      <c r="H99" s="66">
        <v>0</v>
      </c>
      <c r="I99" s="69">
        <v>0.76</v>
      </c>
      <c r="J99" s="66">
        <v>0.24</v>
      </c>
      <c r="K99" s="66">
        <v>0</v>
      </c>
      <c r="L99" s="19">
        <v>2.1499999999999998E-2</v>
      </c>
      <c r="M99" s="2">
        <v>9.7100000000000006E-2</v>
      </c>
      <c r="N99" s="19">
        <v>259</v>
      </c>
      <c r="O99" s="2">
        <v>5.27</v>
      </c>
      <c r="P99" s="2">
        <v>5.33</v>
      </c>
      <c r="Q99" s="2">
        <v>259</v>
      </c>
      <c r="R99" s="2">
        <v>5.33</v>
      </c>
      <c r="S99" s="64">
        <f>(N99/(L99+M99))*100</f>
        <v>218381.11298482289</v>
      </c>
      <c r="T99" s="64">
        <f>(O99/(L99+M99))*100</f>
        <v>4443.5075885328824</v>
      </c>
      <c r="U99" s="72">
        <f>(P99/(L99+M99))*100</f>
        <v>4494.0978077571663</v>
      </c>
      <c r="V99" s="2">
        <f>(Q99/(L99+M99))*100</f>
        <v>218381.11298482289</v>
      </c>
      <c r="W99" s="70">
        <f>(R99/(L99+M99))*100</f>
        <v>4494.0978077571663</v>
      </c>
    </row>
    <row r="100" spans="1:24" x14ac:dyDescent="0.25">
      <c r="A100" s="2">
        <v>2</v>
      </c>
      <c r="B100" s="2">
        <v>1</v>
      </c>
      <c r="C100" s="2" t="s">
        <v>176</v>
      </c>
      <c r="D100" s="2" t="s">
        <v>177</v>
      </c>
      <c r="E100" s="2" t="s">
        <v>178</v>
      </c>
      <c r="F100" s="66">
        <v>0.04</v>
      </c>
      <c r="G100" s="66">
        <v>0.04</v>
      </c>
      <c r="H100" s="66">
        <v>0.02</v>
      </c>
      <c r="I100" s="69">
        <v>0.06</v>
      </c>
      <c r="J100" s="66">
        <v>0.89</v>
      </c>
      <c r="K100" s="66">
        <v>4.9999999999999933E-2</v>
      </c>
      <c r="L100" s="19">
        <v>3.5999999999999997E-2</v>
      </c>
      <c r="M100" s="2">
        <v>0.1293</v>
      </c>
      <c r="N100" s="2">
        <v>49.16</v>
      </c>
      <c r="O100" s="2">
        <v>5.53</v>
      </c>
      <c r="P100" s="2">
        <v>5.57</v>
      </c>
      <c r="Q100" s="2">
        <v>33.26</v>
      </c>
      <c r="R100" s="2">
        <v>5.51</v>
      </c>
      <c r="S100" s="64">
        <f>(N100/(L100+M100))*100</f>
        <v>29739.866908650936</v>
      </c>
      <c r="T100" s="64">
        <f>(O100/(L100+M100))*100</f>
        <v>3345.4325468844522</v>
      </c>
      <c r="U100" s="72">
        <f>(P100/(L100+M100))*100</f>
        <v>3369.6309739866911</v>
      </c>
      <c r="V100" s="2">
        <f>(Q100/(L100+M100))*100</f>
        <v>20120.992135511191</v>
      </c>
      <c r="W100" s="70">
        <f>(R100/(L100+M100))*100</f>
        <v>3333.333333333333</v>
      </c>
    </row>
    <row r="101" spans="1:24" x14ac:dyDescent="0.25">
      <c r="A101" s="2" t="s">
        <v>724</v>
      </c>
      <c r="B101" s="2" t="s">
        <v>724</v>
      </c>
      <c r="C101" s="2" t="s">
        <v>176</v>
      </c>
      <c r="D101" s="2" t="s">
        <v>177</v>
      </c>
      <c r="E101" s="2" t="s">
        <v>179</v>
      </c>
      <c r="F101" s="66" t="s">
        <v>729</v>
      </c>
      <c r="G101" s="66" t="s">
        <v>729</v>
      </c>
      <c r="H101" s="66" t="s">
        <v>729</v>
      </c>
      <c r="I101" s="69" t="s">
        <v>729</v>
      </c>
      <c r="J101" s="66" t="s">
        <v>729</v>
      </c>
      <c r="K101" s="66" t="s">
        <v>729</v>
      </c>
      <c r="L101" s="19" t="s">
        <v>581</v>
      </c>
      <c r="S101" s="64" t="e">
        <f>(N101/(L101+M101))*100</f>
        <v>#VALUE!</v>
      </c>
      <c r="T101" s="64" t="e">
        <f>(O101/(L101+M101))*100</f>
        <v>#VALUE!</v>
      </c>
      <c r="U101" s="72" t="e">
        <f>(P101/(L101+M101))*100</f>
        <v>#VALUE!</v>
      </c>
      <c r="V101" s="2" t="e">
        <f>(Q101/(L101+M101))*100</f>
        <v>#VALUE!</v>
      </c>
      <c r="W101" s="70" t="e">
        <f>(R101/(L101+M101))*100</f>
        <v>#VALUE!</v>
      </c>
      <c r="X101" s="2" t="s">
        <v>690</v>
      </c>
    </row>
    <row r="102" spans="1:24" x14ac:dyDescent="0.25">
      <c r="A102" s="2">
        <v>2</v>
      </c>
      <c r="B102" s="2">
        <v>1</v>
      </c>
      <c r="C102" s="2" t="s">
        <v>176</v>
      </c>
      <c r="D102" s="2" t="s">
        <v>177</v>
      </c>
      <c r="E102" s="2" t="s">
        <v>180</v>
      </c>
      <c r="F102" s="66">
        <v>0.09</v>
      </c>
      <c r="G102" s="66">
        <v>0.09</v>
      </c>
      <c r="H102" s="66">
        <v>7.0000000000000007E-2</v>
      </c>
      <c r="I102" s="69">
        <v>0.16</v>
      </c>
      <c r="J102" s="66">
        <v>0.76</v>
      </c>
      <c r="K102" s="66">
        <v>7.999999999999996E-2</v>
      </c>
      <c r="L102" s="19">
        <v>3.0300000000000001E-2</v>
      </c>
      <c r="M102" s="2">
        <v>0.1371</v>
      </c>
      <c r="N102" s="2">
        <v>13.26</v>
      </c>
      <c r="O102" s="2">
        <v>4.66</v>
      </c>
      <c r="P102" s="2">
        <v>4.6500000000000004</v>
      </c>
      <c r="Q102" s="2">
        <v>0</v>
      </c>
      <c r="R102" s="2">
        <v>4.66</v>
      </c>
      <c r="S102" s="64">
        <f>(N102/(L102+M102))*100</f>
        <v>7921.1469534050184</v>
      </c>
      <c r="T102" s="64">
        <f>(O102/(L102+M102))*100</f>
        <v>2783.7514934289129</v>
      </c>
      <c r="U102" s="72">
        <f>(P102/(L102+M102))*100</f>
        <v>2777.7777777777783</v>
      </c>
      <c r="V102" s="2">
        <f>(Q102/(L102+M102))*100</f>
        <v>0</v>
      </c>
      <c r="W102" s="70">
        <f>(R102/(L102+M102))*100</f>
        <v>2783.7514934289129</v>
      </c>
    </row>
    <row r="103" spans="1:24" x14ac:dyDescent="0.25">
      <c r="A103" s="2">
        <v>2</v>
      </c>
      <c r="B103" s="2">
        <v>1</v>
      </c>
      <c r="C103" s="2" t="s">
        <v>176</v>
      </c>
      <c r="D103" s="2" t="s">
        <v>177</v>
      </c>
      <c r="E103" s="2" t="s">
        <v>181</v>
      </c>
      <c r="F103" s="66">
        <v>0.22549019607843138</v>
      </c>
      <c r="G103" s="66">
        <v>0.22549019607843138</v>
      </c>
      <c r="H103" s="66">
        <v>1.9607843137254902E-2</v>
      </c>
      <c r="I103" s="69">
        <v>0.24509803921568626</v>
      </c>
      <c r="J103" s="66">
        <v>0.69607843137254899</v>
      </c>
      <c r="K103" s="66">
        <v>5.8823529411764719E-2</v>
      </c>
      <c r="L103" s="19">
        <v>3.0599999999999999E-2</v>
      </c>
      <c r="M103" s="2">
        <v>0.1232</v>
      </c>
      <c r="N103" s="2">
        <v>40.380000000000003</v>
      </c>
      <c r="O103" s="2">
        <v>5.76</v>
      </c>
      <c r="P103" s="2">
        <v>5.79</v>
      </c>
      <c r="Q103" s="2">
        <v>24.04</v>
      </c>
      <c r="R103" s="2">
        <v>5.74</v>
      </c>
      <c r="S103" s="64">
        <f>(N103/(L103+M103))*100</f>
        <v>26254.876462938886</v>
      </c>
      <c r="T103" s="64">
        <f>(O103/(L103+M103))*100</f>
        <v>3745.1235370611184</v>
      </c>
      <c r="U103" s="72">
        <f>(P103/(L103+M103))*100</f>
        <v>3764.6293888166456</v>
      </c>
      <c r="V103" s="2">
        <f>(Q103/(L103+M103))*100</f>
        <v>15630.689206762028</v>
      </c>
      <c r="W103" s="70">
        <f>(R103/(L103+M103))*100</f>
        <v>3732.1196358907678</v>
      </c>
    </row>
    <row r="104" spans="1:24" x14ac:dyDescent="0.25">
      <c r="A104" s="2">
        <v>2</v>
      </c>
      <c r="B104" s="2">
        <v>1</v>
      </c>
      <c r="C104" s="2" t="s">
        <v>182</v>
      </c>
      <c r="D104" s="2" t="s">
        <v>75</v>
      </c>
      <c r="E104" s="2" t="s">
        <v>183</v>
      </c>
      <c r="F104" s="66">
        <v>0.3</v>
      </c>
      <c r="G104" s="66">
        <v>0.3</v>
      </c>
      <c r="H104" s="66">
        <v>0.13</v>
      </c>
      <c r="I104" s="69">
        <v>0.43</v>
      </c>
      <c r="J104" s="66">
        <v>0.5</v>
      </c>
      <c r="K104" s="66">
        <v>7.0000000000000062E-2</v>
      </c>
      <c r="L104" s="19">
        <v>6.4999999999999997E-3</v>
      </c>
      <c r="M104" s="2">
        <v>4.7100000000000003E-2</v>
      </c>
      <c r="N104" s="2">
        <v>161.49</v>
      </c>
      <c r="O104" s="2">
        <v>4.88</v>
      </c>
      <c r="P104" s="2">
        <v>4.84</v>
      </c>
      <c r="Q104" s="2">
        <v>150.63</v>
      </c>
      <c r="R104" s="2">
        <v>4.8899999999999997</v>
      </c>
      <c r="S104" s="64">
        <f>(N104/(L104+M104))*100</f>
        <v>301287.31343283586</v>
      </c>
      <c r="T104" s="64">
        <f>(O104/(L104+M104))*100</f>
        <v>9104.4776119402977</v>
      </c>
      <c r="U104" s="72">
        <f>(P104/(L104+M104))*100</f>
        <v>9029.8507462686557</v>
      </c>
      <c r="V104" s="2">
        <f>(Q104/(L104+M104))*100</f>
        <v>281026.11940298509</v>
      </c>
      <c r="W104" s="70">
        <f>(R104/(L104+M104))*100</f>
        <v>9123.1343283582082</v>
      </c>
    </row>
    <row r="105" spans="1:24" x14ac:dyDescent="0.25">
      <c r="A105" s="2">
        <v>2</v>
      </c>
      <c r="B105" s="2">
        <v>1</v>
      </c>
      <c r="C105" s="2" t="s">
        <v>182</v>
      </c>
      <c r="D105" s="2" t="s">
        <v>75</v>
      </c>
      <c r="E105" s="2" t="s">
        <v>184</v>
      </c>
      <c r="F105" s="66">
        <v>0.26666666666666666</v>
      </c>
      <c r="G105" s="66">
        <v>0.26666666666666666</v>
      </c>
      <c r="H105" s="66">
        <v>1.3333333333333334E-2</v>
      </c>
      <c r="I105" s="69">
        <v>0.28000000000000003</v>
      </c>
      <c r="J105" s="66">
        <v>0.68</v>
      </c>
      <c r="K105" s="66">
        <v>3.9999999999999925E-2</v>
      </c>
      <c r="L105" s="19">
        <v>9.1000000000000004E-3</v>
      </c>
      <c r="M105" s="2">
        <v>6.83E-2</v>
      </c>
      <c r="N105" s="19">
        <v>25.92</v>
      </c>
      <c r="O105" s="2">
        <v>2.6</v>
      </c>
      <c r="P105" s="2">
        <v>2.59</v>
      </c>
      <c r="Q105" s="2">
        <v>18.559999999999999</v>
      </c>
      <c r="R105" s="2">
        <v>2.61</v>
      </c>
      <c r="S105" s="64">
        <f>(N105/(L105+M105))*100</f>
        <v>33488.372093023259</v>
      </c>
      <c r="T105" s="64">
        <f>(O105/(L105+M105))*100</f>
        <v>3359.1731266149873</v>
      </c>
      <c r="U105" s="72">
        <f>(P105/(L105+M105))*100</f>
        <v>3346.2532299741601</v>
      </c>
      <c r="V105" s="2">
        <f>(Q105/(L105+M105))*100</f>
        <v>23979.328165374674</v>
      </c>
      <c r="W105" s="70">
        <f>(R105/(L105+M105))*100</f>
        <v>3372.0930232558139</v>
      </c>
    </row>
    <row r="106" spans="1:24" x14ac:dyDescent="0.25">
      <c r="A106" s="2">
        <v>2</v>
      </c>
      <c r="B106" s="2">
        <v>1</v>
      </c>
      <c r="C106" s="2" t="s">
        <v>182</v>
      </c>
      <c r="D106" s="2" t="s">
        <v>185</v>
      </c>
      <c r="E106" s="2" t="s">
        <v>186</v>
      </c>
      <c r="F106" s="66">
        <v>0.54</v>
      </c>
      <c r="G106" s="66">
        <v>0.54</v>
      </c>
      <c r="H106" s="66">
        <v>0.15</v>
      </c>
      <c r="I106" s="69">
        <v>0.69</v>
      </c>
      <c r="J106" s="66">
        <v>0.22</v>
      </c>
      <c r="K106" s="66">
        <v>9.0000000000000052E-2</v>
      </c>
      <c r="L106" s="19">
        <v>9.1000000000000004E-3</v>
      </c>
      <c r="M106" s="2">
        <v>6.3100000000000003E-2</v>
      </c>
      <c r="N106" s="2">
        <v>19.57</v>
      </c>
      <c r="O106" s="2">
        <v>2.4300000000000002</v>
      </c>
      <c r="P106" s="2">
        <v>2.42</v>
      </c>
      <c r="Q106" s="2">
        <v>13.68</v>
      </c>
      <c r="R106" s="2">
        <v>2.4500000000000002</v>
      </c>
      <c r="S106" s="64">
        <f>(N106/(L106+M106))*100</f>
        <v>27105.26315789474</v>
      </c>
      <c r="T106" s="64">
        <f>(O106/(L106+M106))*100</f>
        <v>3365.6509695290856</v>
      </c>
      <c r="U106" s="72">
        <f>(P106/(L106+M106))*100</f>
        <v>3351.8005540166209</v>
      </c>
      <c r="V106" s="2">
        <f>(Q106/(L106+M106))*100</f>
        <v>18947.36842105263</v>
      </c>
      <c r="W106" s="70">
        <f>(R106/(L106+M106))*100</f>
        <v>3393.3518005540163</v>
      </c>
    </row>
    <row r="107" spans="1:24" x14ac:dyDescent="0.25">
      <c r="A107" s="2">
        <v>2</v>
      </c>
      <c r="B107" s="2">
        <v>1</v>
      </c>
      <c r="C107" s="2" t="s">
        <v>182</v>
      </c>
      <c r="D107" s="2" t="s">
        <v>185</v>
      </c>
      <c r="E107" s="2" t="s">
        <v>187</v>
      </c>
      <c r="F107" s="66">
        <v>0.77450980392156865</v>
      </c>
      <c r="G107" s="66">
        <v>0.90196078431372551</v>
      </c>
      <c r="H107" s="66">
        <v>0</v>
      </c>
      <c r="I107" s="69">
        <v>0.90196078431372551</v>
      </c>
      <c r="J107" s="66">
        <v>7.8431372549019607E-2</v>
      </c>
      <c r="K107" s="66">
        <v>1.9607843137254888E-2</v>
      </c>
      <c r="L107" s="19">
        <v>4.7999999999999996E-3</v>
      </c>
      <c r="M107" s="2">
        <v>5.67E-2</v>
      </c>
      <c r="N107" s="2">
        <v>46.25</v>
      </c>
      <c r="O107" s="2">
        <v>2.69</v>
      </c>
      <c r="P107" s="2">
        <v>2.71</v>
      </c>
      <c r="Q107" s="2">
        <v>38.950000000000003</v>
      </c>
      <c r="R107" s="2">
        <v>2.71</v>
      </c>
      <c r="S107" s="64">
        <f>(N107/(L107+M107))*100</f>
        <v>75203.252032520322</v>
      </c>
      <c r="T107" s="64">
        <f>(O107/(L107+M107))*100</f>
        <v>4373.9837398373984</v>
      </c>
      <c r="U107" s="72">
        <f>(P107/(L107+M107))*100</f>
        <v>4406.5040650406499</v>
      </c>
      <c r="V107" s="2">
        <f>(Q107/(L107+M107))*100</f>
        <v>63333.333333333336</v>
      </c>
      <c r="W107" s="70">
        <f>(R107/(L107+M107))*100</f>
        <v>4406.5040650406499</v>
      </c>
    </row>
    <row r="108" spans="1:24" x14ac:dyDescent="0.25">
      <c r="A108" s="2">
        <v>2</v>
      </c>
      <c r="B108" s="2">
        <v>1</v>
      </c>
      <c r="C108" s="2" t="s">
        <v>182</v>
      </c>
      <c r="D108" s="2" t="s">
        <v>185</v>
      </c>
      <c r="E108" s="2" t="s">
        <v>188</v>
      </c>
      <c r="F108" s="66">
        <v>0.625</v>
      </c>
      <c r="G108" s="66">
        <v>0.625</v>
      </c>
      <c r="H108" s="66">
        <v>9.6153846153846159E-3</v>
      </c>
      <c r="I108" s="69">
        <v>0.63461538461538458</v>
      </c>
      <c r="J108" s="66">
        <v>0.21153846153846154</v>
      </c>
      <c r="K108" s="66">
        <v>0.15384615384615388</v>
      </c>
      <c r="L108" s="19">
        <v>7.1000000000000004E-3</v>
      </c>
      <c r="M108" s="2">
        <v>4.7399999999999998E-2</v>
      </c>
      <c r="N108" s="2">
        <v>34.72</v>
      </c>
      <c r="O108" s="2">
        <v>1.8</v>
      </c>
      <c r="P108" s="2">
        <v>1.81</v>
      </c>
      <c r="Q108" s="2">
        <v>30.14</v>
      </c>
      <c r="R108" s="2">
        <v>1.82</v>
      </c>
      <c r="S108" s="64">
        <f>(N108/(L108+M108))*100</f>
        <v>63706.422018348618</v>
      </c>
      <c r="T108" s="64">
        <f>(O108/(L108+M108))*100</f>
        <v>3302.7522935779816</v>
      </c>
      <c r="U108" s="72">
        <f>(P108/(L108+M108))*100</f>
        <v>3321.1009174311926</v>
      </c>
      <c r="V108" s="2">
        <f>(Q108/(L108+M108))*100</f>
        <v>55302.752293577985</v>
      </c>
      <c r="W108" s="70">
        <f>(R108/(L108+M108))*100</f>
        <v>3339.4495412844035</v>
      </c>
    </row>
    <row r="109" spans="1:24" x14ac:dyDescent="0.25">
      <c r="A109" s="2">
        <v>2</v>
      </c>
      <c r="B109" s="2">
        <v>1</v>
      </c>
      <c r="C109" s="2" t="s">
        <v>182</v>
      </c>
      <c r="D109" s="2" t="s">
        <v>185</v>
      </c>
      <c r="E109" s="2" t="s">
        <v>189</v>
      </c>
      <c r="F109" s="66">
        <v>0.56000000000000005</v>
      </c>
      <c r="G109" s="66">
        <v>0.56000000000000005</v>
      </c>
      <c r="H109" s="66">
        <v>0.15</v>
      </c>
      <c r="I109" s="69">
        <v>0.71</v>
      </c>
      <c r="J109" s="66">
        <v>0.23</v>
      </c>
      <c r="K109" s="66">
        <v>6.0000000000000026E-2</v>
      </c>
      <c r="L109" s="19">
        <v>8.8999999999999999E-3</v>
      </c>
      <c r="M109" s="2">
        <v>5.62E-2</v>
      </c>
      <c r="N109" s="2">
        <v>32.25</v>
      </c>
      <c r="O109" s="2">
        <v>2.25</v>
      </c>
      <c r="P109" s="2">
        <v>2.27</v>
      </c>
      <c r="Q109" s="2">
        <v>26.38</v>
      </c>
      <c r="R109" s="2">
        <v>2.2799999999999998</v>
      </c>
      <c r="S109" s="64">
        <f>(N109/(L109+M109))*100</f>
        <v>49539.170506912436</v>
      </c>
      <c r="T109" s="64">
        <f>(O109/(L109+M109))*100</f>
        <v>3456.221198156682</v>
      </c>
      <c r="U109" s="72">
        <f>(P109/(L109+M109))*100</f>
        <v>3486.9431643625189</v>
      </c>
      <c r="V109" s="2">
        <f>(Q109/(L109+M109))*100</f>
        <v>40522.273425499225</v>
      </c>
      <c r="W109" s="70">
        <f>(R109/(L109+M109))*100</f>
        <v>3502.3041474654369</v>
      </c>
    </row>
    <row r="110" spans="1:24" x14ac:dyDescent="0.25">
      <c r="A110" s="2">
        <v>1</v>
      </c>
      <c r="B110" s="2">
        <v>1</v>
      </c>
      <c r="C110" s="2" t="s">
        <v>182</v>
      </c>
      <c r="D110" s="2" t="s">
        <v>185</v>
      </c>
      <c r="E110" s="2" t="s">
        <v>190</v>
      </c>
      <c r="F110" s="66">
        <v>0.75</v>
      </c>
      <c r="G110" s="66">
        <v>0.75</v>
      </c>
      <c r="H110" s="66">
        <v>7.0000000000000007E-2</v>
      </c>
      <c r="I110" s="69">
        <v>0.82</v>
      </c>
      <c r="J110" s="66">
        <v>0.13</v>
      </c>
      <c r="K110" s="66">
        <v>5.0000000000000044E-2</v>
      </c>
      <c r="L110" s="19">
        <v>4.7000000000000002E-3</v>
      </c>
      <c r="M110" s="2">
        <v>6.1100000000000002E-2</v>
      </c>
      <c r="N110" s="2">
        <v>85.05</v>
      </c>
      <c r="O110" s="2">
        <v>8.23</v>
      </c>
      <c r="P110" s="2">
        <v>8.2200000000000006</v>
      </c>
      <c r="Q110" s="2">
        <v>61.15</v>
      </c>
      <c r="R110" s="2">
        <v>8.2100000000000009</v>
      </c>
      <c r="S110" s="64">
        <f>(N110/(L110+M110))*100</f>
        <v>129255.31914893618</v>
      </c>
      <c r="T110" s="64">
        <f>(O110/(L110+M110))*100</f>
        <v>12507.59878419453</v>
      </c>
      <c r="U110" s="72">
        <f>(P110/(L110+M110))*100</f>
        <v>12492.401215805472</v>
      </c>
      <c r="V110" s="2">
        <f>(Q110/(L110+M110))*100</f>
        <v>92933.130699088142</v>
      </c>
      <c r="W110" s="70">
        <f>(R110/(L110+M110))*100</f>
        <v>12477.203647416416</v>
      </c>
    </row>
    <row r="111" spans="1:24" x14ac:dyDescent="0.25">
      <c r="A111" s="2">
        <v>2</v>
      </c>
      <c r="B111" s="2">
        <v>1</v>
      </c>
      <c r="C111" s="2" t="s">
        <v>182</v>
      </c>
      <c r="D111" s="2" t="s">
        <v>185</v>
      </c>
      <c r="E111" s="2" t="s">
        <v>191</v>
      </c>
      <c r="F111" s="66">
        <v>0.68</v>
      </c>
      <c r="G111" s="66">
        <v>0.68</v>
      </c>
      <c r="H111" s="66">
        <v>7.0000000000000007E-2</v>
      </c>
      <c r="I111" s="69">
        <v>0.75</v>
      </c>
      <c r="J111" s="66">
        <v>0.02</v>
      </c>
      <c r="K111" s="66">
        <v>0.23</v>
      </c>
      <c r="L111" s="19">
        <v>9.1999999999999998E-3</v>
      </c>
      <c r="M111" s="2">
        <v>2.8899999999999999E-2</v>
      </c>
      <c r="N111" s="2">
        <v>28.14</v>
      </c>
      <c r="O111" s="2">
        <v>2.29</v>
      </c>
      <c r="P111" s="2">
        <v>2.25</v>
      </c>
      <c r="Q111" s="2">
        <v>21.25</v>
      </c>
      <c r="R111" s="2">
        <v>2.27</v>
      </c>
      <c r="S111" s="64">
        <f>(N111/(L111+M111))*100</f>
        <v>73858.26771653544</v>
      </c>
      <c r="T111" s="64">
        <f>(O111/(L111+M111))*100</f>
        <v>6010.4986876640432</v>
      </c>
      <c r="U111" s="72">
        <f>(P111/(L111+M111))*100</f>
        <v>5905.5118110236226</v>
      </c>
      <c r="V111" s="2">
        <f>(Q111/(L111+M111))*100</f>
        <v>55774.278215223101</v>
      </c>
      <c r="W111" s="70">
        <f>(R111/(L111+M111))*100</f>
        <v>5958.0052493438334</v>
      </c>
    </row>
    <row r="112" spans="1:24" x14ac:dyDescent="0.25">
      <c r="A112" s="2">
        <v>2</v>
      </c>
      <c r="B112" s="2">
        <v>1</v>
      </c>
      <c r="C112" s="2" t="s">
        <v>182</v>
      </c>
      <c r="D112" s="2" t="s">
        <v>185</v>
      </c>
      <c r="E112" s="2" t="s">
        <v>192</v>
      </c>
      <c r="F112" s="66">
        <v>0.56999999999999995</v>
      </c>
      <c r="G112" s="66">
        <v>0.56999999999999995</v>
      </c>
      <c r="H112" s="66">
        <v>0.02</v>
      </c>
      <c r="I112" s="69">
        <v>0.59</v>
      </c>
      <c r="J112" s="66">
        <v>0.38</v>
      </c>
      <c r="K112" s="66">
        <v>3.0000000000000027E-2</v>
      </c>
      <c r="L112" s="19">
        <v>3.8999999999999998E-3</v>
      </c>
      <c r="M112" s="2">
        <v>4.3099999999999999E-2</v>
      </c>
      <c r="N112" s="2">
        <v>141.18</v>
      </c>
      <c r="O112" s="2">
        <v>5.79</v>
      </c>
      <c r="P112" s="2">
        <v>5.74</v>
      </c>
      <c r="Q112" s="2">
        <v>125.03</v>
      </c>
      <c r="R112" s="2">
        <v>5.77</v>
      </c>
      <c r="S112" s="64">
        <f>(N112/(L112+M112))*100</f>
        <v>300382.97872340429</v>
      </c>
      <c r="T112" s="64">
        <f>(O112/(L112+M112))*100</f>
        <v>12319.148936170213</v>
      </c>
      <c r="U112" s="72">
        <f>(P112/(L112+M112))*100</f>
        <v>12212.765957446809</v>
      </c>
      <c r="V112" s="2">
        <f>(Q112/(L112+M112))*100</f>
        <v>266021.27659574465</v>
      </c>
      <c r="W112" s="70">
        <f>(R112/(L112+M112))*100</f>
        <v>12276.59574468085</v>
      </c>
    </row>
    <row r="113" spans="1:24" x14ac:dyDescent="0.25">
      <c r="A113" s="2">
        <v>2</v>
      </c>
      <c r="B113" s="2">
        <v>1</v>
      </c>
      <c r="C113" s="2" t="s">
        <v>182</v>
      </c>
      <c r="D113" s="2" t="s">
        <v>185</v>
      </c>
      <c r="E113" s="2" t="s">
        <v>193</v>
      </c>
      <c r="F113" s="66">
        <v>0.34</v>
      </c>
      <c r="G113" s="66">
        <v>0.34</v>
      </c>
      <c r="H113" s="66">
        <v>0</v>
      </c>
      <c r="I113" s="69">
        <v>0.34</v>
      </c>
      <c r="J113" s="66">
        <v>0.66</v>
      </c>
      <c r="K113" s="66">
        <v>-1.1102230246251565E-16</v>
      </c>
      <c r="L113" s="19">
        <v>9.2999999999999992E-3</v>
      </c>
      <c r="M113" s="2">
        <v>5.04E-2</v>
      </c>
      <c r="N113" s="2">
        <v>22.99</v>
      </c>
      <c r="O113" s="2">
        <v>2.0699999999999998</v>
      </c>
      <c r="P113" s="2">
        <v>2.0699999999999998</v>
      </c>
      <c r="Q113" s="2">
        <v>17.190000000000001</v>
      </c>
      <c r="R113" s="2">
        <v>2.06</v>
      </c>
      <c r="S113" s="64">
        <f>(N113/(L113+M113))*100</f>
        <v>38509.21273031825</v>
      </c>
      <c r="T113" s="64">
        <f>(O113/(L113+M113))*100</f>
        <v>3467.3366834170847</v>
      </c>
      <c r="U113" s="72">
        <f>(P113/(L113+M113))*100</f>
        <v>3467.3366834170847</v>
      </c>
      <c r="V113" s="2">
        <f>(Q113/(L113+M113))*100</f>
        <v>28793.96984924623</v>
      </c>
      <c r="W113" s="70">
        <f>(R113/(L113+M113))*100</f>
        <v>3450.5862646566165</v>
      </c>
    </row>
    <row r="114" spans="1:24" x14ac:dyDescent="0.25">
      <c r="A114" s="2">
        <v>2</v>
      </c>
      <c r="B114" s="2">
        <v>1</v>
      </c>
      <c r="C114" s="2" t="s">
        <v>182</v>
      </c>
      <c r="D114" s="2" t="s">
        <v>185</v>
      </c>
      <c r="E114" s="2" t="s">
        <v>194</v>
      </c>
      <c r="F114" s="66">
        <v>0.53</v>
      </c>
      <c r="G114" s="66">
        <v>0.53</v>
      </c>
      <c r="H114" s="66">
        <v>0</v>
      </c>
      <c r="I114" s="69">
        <v>0.53</v>
      </c>
      <c r="J114" s="66">
        <v>0.47</v>
      </c>
      <c r="K114" s="66">
        <v>0</v>
      </c>
      <c r="L114" s="19">
        <v>3.0999999999999999E-3</v>
      </c>
      <c r="M114" s="2">
        <v>7.2099999999999997E-2</v>
      </c>
      <c r="N114" s="2">
        <v>16.18</v>
      </c>
      <c r="O114" s="2">
        <v>2.5</v>
      </c>
      <c r="P114" s="2">
        <v>2.5099999999999998</v>
      </c>
      <c r="Q114" s="2">
        <v>9.89</v>
      </c>
      <c r="R114" s="2">
        <v>2.54</v>
      </c>
      <c r="S114" s="64">
        <f>(N114/(L114+M114))*100</f>
        <v>21515.957446808508</v>
      </c>
      <c r="T114" s="64">
        <f>(O114/(L114+M114))*100</f>
        <v>3324.4680851063827</v>
      </c>
      <c r="U114" s="72">
        <f>(P114/(L114+M114))*100</f>
        <v>3337.7659574468084</v>
      </c>
      <c r="V114" s="2">
        <f>(Q114/(L114+M114))*100</f>
        <v>13151.59574468085</v>
      </c>
      <c r="W114" s="70">
        <f>(R114/(L114+M114))*100</f>
        <v>3377.6595744680849</v>
      </c>
    </row>
    <row r="115" spans="1:24" x14ac:dyDescent="0.25">
      <c r="A115" s="2" t="s">
        <v>724</v>
      </c>
      <c r="B115" s="2">
        <v>1</v>
      </c>
      <c r="C115" s="2" t="s">
        <v>195</v>
      </c>
      <c r="D115" s="2" t="s">
        <v>196</v>
      </c>
      <c r="E115" s="2" t="s">
        <v>197</v>
      </c>
      <c r="F115" s="66">
        <v>0.45</v>
      </c>
      <c r="G115" s="66">
        <v>0.45</v>
      </c>
      <c r="H115" s="66">
        <v>0.15</v>
      </c>
      <c r="I115" s="69">
        <v>0.6</v>
      </c>
      <c r="J115" s="66">
        <v>0.35</v>
      </c>
      <c r="K115" s="66">
        <v>5.0000000000000044E-2</v>
      </c>
      <c r="L115" s="19">
        <v>3.7900000000000003E-2</v>
      </c>
      <c r="M115" s="2">
        <v>0.29820000000000002</v>
      </c>
      <c r="N115" s="2">
        <v>20.04</v>
      </c>
      <c r="O115" s="2">
        <v>10.3</v>
      </c>
      <c r="P115" s="2">
        <v>10.25</v>
      </c>
      <c r="Q115" s="2">
        <v>0</v>
      </c>
      <c r="R115" s="2">
        <v>0</v>
      </c>
      <c r="S115" s="64">
        <f>(N115/(L115+M115))*100</f>
        <v>5962.5111573936319</v>
      </c>
      <c r="T115" s="64">
        <f>(O115/(L115+M115))*100</f>
        <v>3064.5641178220767</v>
      </c>
      <c r="U115" s="72">
        <f>(P115/(L115+M115))*100</f>
        <v>3049.6875929782805</v>
      </c>
      <c r="V115" s="2">
        <f>(Q115/(L115+M115))*100</f>
        <v>0</v>
      </c>
      <c r="W115" s="70">
        <f>(R115/(L115+M115))*100</f>
        <v>0</v>
      </c>
    </row>
    <row r="116" spans="1:24" x14ac:dyDescent="0.25">
      <c r="A116" s="2">
        <v>1</v>
      </c>
      <c r="B116" s="2">
        <v>1</v>
      </c>
      <c r="C116" s="2" t="s">
        <v>195</v>
      </c>
      <c r="D116" s="2" t="s">
        <v>196</v>
      </c>
      <c r="E116" s="2" t="s">
        <v>198</v>
      </c>
      <c r="F116" s="66">
        <v>0.375</v>
      </c>
      <c r="G116" s="66">
        <v>0.375</v>
      </c>
      <c r="H116" s="66">
        <v>0.13750000000000001</v>
      </c>
      <c r="I116" s="69">
        <v>0.51249999999999996</v>
      </c>
      <c r="J116" s="66">
        <v>0.42499999999999999</v>
      </c>
      <c r="K116" s="66">
        <v>6.2500000000000056E-2</v>
      </c>
      <c r="L116" s="19">
        <v>3.1600000000000003E-2</v>
      </c>
      <c r="M116" s="2">
        <v>0.25729999999999997</v>
      </c>
      <c r="N116" s="2">
        <v>56.09</v>
      </c>
      <c r="O116" s="2">
        <v>9.6300000000000008</v>
      </c>
      <c r="P116" s="2">
        <v>9.65</v>
      </c>
      <c r="Q116" s="2">
        <v>27.63</v>
      </c>
      <c r="R116" s="2">
        <v>9.64</v>
      </c>
      <c r="S116" s="64">
        <f>(N116/(L116+M116))*100</f>
        <v>19415.022499134651</v>
      </c>
      <c r="T116" s="64">
        <f>(O116/(L116+M116))*100</f>
        <v>3333.3333333333335</v>
      </c>
      <c r="U116" s="72">
        <f>(P116/(L116+M116))*100</f>
        <v>3340.256143994462</v>
      </c>
      <c r="V116" s="2">
        <f>(Q116/(L116+M116))*100</f>
        <v>9563.8629283489099</v>
      </c>
      <c r="W116" s="70">
        <f>(R116/(L116+M116))*100</f>
        <v>3336.794738663898</v>
      </c>
    </row>
    <row r="117" spans="1:24" x14ac:dyDescent="0.25">
      <c r="A117" s="2">
        <v>1</v>
      </c>
      <c r="B117" s="2">
        <v>1</v>
      </c>
      <c r="C117" s="2" t="s">
        <v>199</v>
      </c>
      <c r="D117" s="2" t="s">
        <v>200</v>
      </c>
      <c r="E117" s="2" t="s">
        <v>201</v>
      </c>
      <c r="F117" s="66">
        <v>0</v>
      </c>
      <c r="G117" s="66">
        <v>0</v>
      </c>
      <c r="H117" s="66">
        <v>0.56000000000000005</v>
      </c>
      <c r="I117" s="69">
        <v>0.56000000000000005</v>
      </c>
      <c r="J117" s="66">
        <v>0.02</v>
      </c>
      <c r="K117" s="66">
        <v>0.41999999999999993</v>
      </c>
      <c r="L117" s="19">
        <v>1.2699999999999999E-2</v>
      </c>
      <c r="M117" s="2">
        <v>9.1200000000000003E-2</v>
      </c>
      <c r="N117" s="19">
        <v>14.31</v>
      </c>
      <c r="O117" s="2">
        <v>3.75</v>
      </c>
      <c r="P117" s="2">
        <v>3.82</v>
      </c>
      <c r="Q117" s="2">
        <v>3</v>
      </c>
      <c r="R117" s="19">
        <v>3.86</v>
      </c>
      <c r="S117" s="64">
        <f>(N117/(L117+M117))*100</f>
        <v>13772.858517805582</v>
      </c>
      <c r="T117" s="64">
        <f>(O117/(L117+M117))*100</f>
        <v>3609.2396535129928</v>
      </c>
      <c r="U117" s="72">
        <f>(P117/(L117+M117))*100</f>
        <v>3676.6121270452354</v>
      </c>
      <c r="V117" s="2">
        <f>(Q117/(L117+M117))*100</f>
        <v>2887.3917228103946</v>
      </c>
      <c r="W117" s="70">
        <f>(R117/(L117+M117))*100</f>
        <v>3715.1106833493741</v>
      </c>
    </row>
    <row r="118" spans="1:24" x14ac:dyDescent="0.25">
      <c r="A118" s="2" t="s">
        <v>724</v>
      </c>
      <c r="B118" s="2">
        <v>2</v>
      </c>
      <c r="C118" s="2" t="s">
        <v>199</v>
      </c>
      <c r="D118" s="2" t="s">
        <v>202</v>
      </c>
      <c r="E118" s="2" t="s">
        <v>203</v>
      </c>
      <c r="F118" s="66">
        <v>0.03</v>
      </c>
      <c r="G118" s="66">
        <v>0.04</v>
      </c>
      <c r="H118" s="66">
        <v>0.02</v>
      </c>
      <c r="I118" s="69">
        <v>0.06</v>
      </c>
      <c r="J118" s="66">
        <v>0.01</v>
      </c>
      <c r="K118" s="66">
        <v>0.92999999999999994</v>
      </c>
      <c r="L118" s="19">
        <v>3.39E-2</v>
      </c>
      <c r="M118" s="2">
        <v>0.10589999999999999</v>
      </c>
      <c r="N118" s="19">
        <v>6.8</v>
      </c>
      <c r="O118" s="2">
        <v>3.15</v>
      </c>
      <c r="P118" s="2">
        <v>3.18</v>
      </c>
      <c r="Q118" s="19">
        <v>0</v>
      </c>
      <c r="R118" s="2">
        <v>0</v>
      </c>
      <c r="S118" s="64">
        <f>(N118/(L118+M118))*100</f>
        <v>4864.0915593705304</v>
      </c>
      <c r="T118" s="64">
        <f>(O118/(L118+M118))*100</f>
        <v>2253.2188841201719</v>
      </c>
      <c r="U118" s="72">
        <f>(P118/(L118+M118))*100</f>
        <v>2274.6781115879835</v>
      </c>
      <c r="V118" s="2">
        <f>(Q118/(L118+M118))*100</f>
        <v>0</v>
      </c>
      <c r="W118" s="70">
        <f>(R118/(L118+M118))*100</f>
        <v>0</v>
      </c>
    </row>
    <row r="119" spans="1:24" x14ac:dyDescent="0.25">
      <c r="A119" s="2">
        <v>1</v>
      </c>
      <c r="B119" s="2">
        <v>2</v>
      </c>
      <c r="C119" s="2" t="s">
        <v>199</v>
      </c>
      <c r="D119" s="2" t="s">
        <v>204</v>
      </c>
      <c r="E119" s="2" t="s">
        <v>205</v>
      </c>
      <c r="F119" s="66">
        <v>0.02</v>
      </c>
      <c r="G119" s="66">
        <v>0.02</v>
      </c>
      <c r="H119" s="66">
        <v>0.55000000000000004</v>
      </c>
      <c r="I119" s="69">
        <v>0.56999999999999995</v>
      </c>
      <c r="J119" s="66">
        <v>0.04</v>
      </c>
      <c r="K119" s="66">
        <v>0.39000000000000007</v>
      </c>
      <c r="L119" s="19">
        <v>1.5100000000000001E-2</v>
      </c>
      <c r="M119" s="2">
        <v>0.1111</v>
      </c>
      <c r="N119" s="2">
        <v>107.55</v>
      </c>
      <c r="O119" s="2">
        <v>4.2</v>
      </c>
      <c r="P119" s="2">
        <v>4.2</v>
      </c>
      <c r="Q119" s="19">
        <v>94.66</v>
      </c>
      <c r="R119" s="2">
        <v>4.21</v>
      </c>
      <c r="S119" s="64">
        <f>(N119/(L119+M119))*100</f>
        <v>85221.870047543576</v>
      </c>
      <c r="T119" s="64">
        <f>(O119/(L119+M119))*100</f>
        <v>3328.0507131537242</v>
      </c>
      <c r="U119" s="72">
        <f>(P119/(L119+M119))*100</f>
        <v>3328.0507131537242</v>
      </c>
      <c r="V119" s="2">
        <f>(Q119/(L119+M119))*100</f>
        <v>75007.923930269404</v>
      </c>
      <c r="W119" s="70">
        <f>(R119/(L119+M119))*100</f>
        <v>3335.9746434231374</v>
      </c>
    </row>
    <row r="120" spans="1:24" x14ac:dyDescent="0.25">
      <c r="A120" s="2">
        <v>1</v>
      </c>
      <c r="B120" s="2">
        <v>2</v>
      </c>
      <c r="C120" s="2" t="s">
        <v>199</v>
      </c>
      <c r="D120" s="2" t="s">
        <v>204</v>
      </c>
      <c r="E120" s="2" t="s">
        <v>206</v>
      </c>
      <c r="F120" s="66">
        <v>0</v>
      </c>
      <c r="G120" s="66">
        <v>0</v>
      </c>
      <c r="H120" s="66">
        <v>0.71</v>
      </c>
      <c r="I120" s="69">
        <v>0.71</v>
      </c>
      <c r="J120" s="66">
        <v>0</v>
      </c>
      <c r="K120" s="66">
        <v>0.29000000000000004</v>
      </c>
      <c r="L120" s="19">
        <v>3.1800000000000002E-2</v>
      </c>
      <c r="M120" s="2">
        <v>6.7799999999999999E-2</v>
      </c>
      <c r="N120" s="2">
        <v>63.65</v>
      </c>
      <c r="O120" s="2">
        <v>3.89</v>
      </c>
      <c r="P120" s="2">
        <v>3.93</v>
      </c>
      <c r="Q120" s="19">
        <v>50.86</v>
      </c>
      <c r="R120" s="2">
        <v>3.92</v>
      </c>
      <c r="S120" s="64">
        <f>(N120/(L120+M120))*100</f>
        <v>63905.622489959846</v>
      </c>
      <c r="T120" s="64">
        <f>(O120/(L120+M120))*100</f>
        <v>3905.6224899598396</v>
      </c>
      <c r="U120" s="72">
        <f>(P120/(L120+M120))*100</f>
        <v>3945.7831325301208</v>
      </c>
      <c r="V120" s="2">
        <f>(Q120/(L120+M120))*100</f>
        <v>51064.25702811245</v>
      </c>
      <c r="W120" s="70">
        <f>(R120/(L120+M120))*100</f>
        <v>3935.7429718875501</v>
      </c>
    </row>
    <row r="121" spans="1:24" x14ac:dyDescent="0.25">
      <c r="A121" s="2">
        <v>1</v>
      </c>
      <c r="B121" s="2">
        <v>1</v>
      </c>
      <c r="C121" s="2" t="s">
        <v>199</v>
      </c>
      <c r="D121" s="2" t="s">
        <v>204</v>
      </c>
      <c r="E121" s="2" t="s">
        <v>207</v>
      </c>
      <c r="F121" s="66">
        <v>0</v>
      </c>
      <c r="G121" s="66">
        <v>0</v>
      </c>
      <c r="H121" s="66">
        <v>0.44</v>
      </c>
      <c r="I121" s="69">
        <v>0.44</v>
      </c>
      <c r="J121" s="66">
        <v>0</v>
      </c>
      <c r="K121" s="66">
        <v>0.56000000000000005</v>
      </c>
      <c r="L121" s="19">
        <v>4.0800000000000003E-2</v>
      </c>
      <c r="M121" s="2">
        <v>7.1300000000000002E-2</v>
      </c>
      <c r="N121" s="2">
        <v>77.97</v>
      </c>
      <c r="O121" s="2">
        <v>4.05</v>
      </c>
      <c r="P121" s="2">
        <v>4.05</v>
      </c>
      <c r="Q121" s="19">
        <v>63.34</v>
      </c>
      <c r="R121" s="2">
        <v>4.08</v>
      </c>
      <c r="S121" s="64">
        <f>(N121/(L121+M121))*100</f>
        <v>69553.969669937549</v>
      </c>
      <c r="T121" s="64">
        <f>(O121/(L121+M121))*100</f>
        <v>3612.845673505798</v>
      </c>
      <c r="U121" s="72">
        <f>(P121/(L121+M121))*100</f>
        <v>3612.845673505798</v>
      </c>
      <c r="V121" s="2">
        <f>(Q121/(L121+M121))*100</f>
        <v>56503.122212310438</v>
      </c>
      <c r="W121" s="70">
        <f>(R121/(L121+M121))*100</f>
        <v>3639.6074933095447</v>
      </c>
    </row>
    <row r="122" spans="1:24" x14ac:dyDescent="0.25">
      <c r="A122" s="2">
        <v>1</v>
      </c>
      <c r="B122" s="2">
        <v>2</v>
      </c>
      <c r="C122" s="2" t="s">
        <v>199</v>
      </c>
      <c r="D122" s="2" t="s">
        <v>204</v>
      </c>
      <c r="E122" s="2" t="s">
        <v>208</v>
      </c>
      <c r="F122" s="66">
        <v>0</v>
      </c>
      <c r="G122" s="66">
        <v>0</v>
      </c>
      <c r="H122" s="66">
        <v>0.57999999999999996</v>
      </c>
      <c r="I122" s="69">
        <v>0.57999999999999996</v>
      </c>
      <c r="J122" s="66">
        <v>0.03</v>
      </c>
      <c r="K122" s="66">
        <v>0.39</v>
      </c>
      <c r="L122" s="19">
        <v>3.85E-2</v>
      </c>
      <c r="M122" s="2">
        <v>3.9800000000000002E-2</v>
      </c>
      <c r="N122" s="2">
        <v>37.31</v>
      </c>
      <c r="O122" s="2">
        <v>3.72</v>
      </c>
      <c r="P122" s="2">
        <v>3.78</v>
      </c>
      <c r="Q122" s="19">
        <v>25.66</v>
      </c>
      <c r="R122" s="2">
        <v>3.77</v>
      </c>
      <c r="S122" s="64">
        <f>(N122/(L122+M122))*100</f>
        <v>47650.063856960405</v>
      </c>
      <c r="T122" s="64">
        <f>(O122/(L122+M122))*100</f>
        <v>4750.9578544061296</v>
      </c>
      <c r="U122" s="72">
        <f>(P122/(L122+M122))*100</f>
        <v>4827.5862068965507</v>
      </c>
      <c r="V122" s="2">
        <f>(Q122/(L122+M122))*100</f>
        <v>32771.392081736907</v>
      </c>
      <c r="W122" s="70">
        <f>(R122/(L122+M122))*100</f>
        <v>4814.8148148148148</v>
      </c>
    </row>
    <row r="123" spans="1:24" x14ac:dyDescent="0.25">
      <c r="A123" s="2">
        <v>1</v>
      </c>
      <c r="B123" s="2">
        <v>2</v>
      </c>
      <c r="C123" s="2" t="s">
        <v>199</v>
      </c>
      <c r="D123" s="2" t="s">
        <v>204</v>
      </c>
      <c r="E123" s="2" t="s">
        <v>209</v>
      </c>
      <c r="F123" s="66">
        <v>0</v>
      </c>
      <c r="G123" s="66">
        <v>0</v>
      </c>
      <c r="H123" s="66">
        <v>0.65</v>
      </c>
      <c r="I123" s="69">
        <v>0.65</v>
      </c>
      <c r="J123" s="66">
        <v>0.01</v>
      </c>
      <c r="K123" s="66">
        <v>0.33999999999999997</v>
      </c>
      <c r="L123" s="19">
        <v>4.07E-2</v>
      </c>
      <c r="M123" s="2">
        <v>7.2099999999999997E-2</v>
      </c>
      <c r="N123" s="2">
        <v>55.03</v>
      </c>
      <c r="O123" s="2">
        <v>3.81</v>
      </c>
      <c r="P123" s="2">
        <v>3.84</v>
      </c>
      <c r="Q123" s="19">
        <v>41.96</v>
      </c>
      <c r="R123" s="2">
        <v>3.81</v>
      </c>
      <c r="S123" s="64">
        <f>(N123/(L123+M123))*100</f>
        <v>48785.460992907807</v>
      </c>
      <c r="T123" s="64">
        <f>(O123/(L123+M123))*100</f>
        <v>3377.6595744680853</v>
      </c>
      <c r="U123" s="72">
        <f>(P123/(L123+M123))*100</f>
        <v>3404.255319148936</v>
      </c>
      <c r="V123" s="2">
        <f>(Q123/(L123+M123))*100</f>
        <v>37198.581560283688</v>
      </c>
      <c r="W123" s="70">
        <f>(R123/(L123+M123))*100</f>
        <v>3377.6595744680853</v>
      </c>
    </row>
    <row r="124" spans="1:24" x14ac:dyDescent="0.25">
      <c r="A124" s="2">
        <v>2</v>
      </c>
      <c r="B124" s="2">
        <v>1</v>
      </c>
      <c r="C124" s="2" t="s">
        <v>210</v>
      </c>
      <c r="D124" s="2" t="s">
        <v>211</v>
      </c>
      <c r="E124" s="2" t="s">
        <v>212</v>
      </c>
      <c r="F124" s="66">
        <v>0.39</v>
      </c>
      <c r="G124" s="66">
        <v>0.39</v>
      </c>
      <c r="H124" s="66">
        <v>0.04</v>
      </c>
      <c r="I124" s="69">
        <v>0.43</v>
      </c>
      <c r="J124" s="66">
        <v>0.45</v>
      </c>
      <c r="K124" s="66">
        <v>0.12000000000000005</v>
      </c>
      <c r="L124" s="19">
        <v>3.2599999999999997E-2</v>
      </c>
      <c r="M124" s="2">
        <v>1.29E-2</v>
      </c>
      <c r="N124" s="2">
        <v>4.3569000000000004</v>
      </c>
      <c r="O124" s="2">
        <v>1.49</v>
      </c>
      <c r="P124" s="2">
        <v>1.45</v>
      </c>
      <c r="Q124" s="2">
        <v>0</v>
      </c>
      <c r="R124" s="2">
        <v>1.42</v>
      </c>
      <c r="S124" s="64">
        <f>(N124/(L124+M124))*100</f>
        <v>9575.6043956043959</v>
      </c>
      <c r="T124" s="64">
        <f>(O124/(L124+M124))*100</f>
        <v>3274.7252747252746</v>
      </c>
      <c r="U124" s="72">
        <f>(P124/(L124+M124))*100</f>
        <v>3186.8131868131868</v>
      </c>
      <c r="V124" s="2">
        <f>(Q124/(L124+M124))*100</f>
        <v>0</v>
      </c>
      <c r="W124" s="70">
        <f>(R124/(L124+M124))*100</f>
        <v>3120.8791208791208</v>
      </c>
    </row>
    <row r="125" spans="1:24" x14ac:dyDescent="0.25">
      <c r="A125" s="2" t="s">
        <v>724</v>
      </c>
      <c r="B125" s="2">
        <v>2</v>
      </c>
      <c r="C125" s="2" t="s">
        <v>210</v>
      </c>
      <c r="D125" s="2" t="s">
        <v>211</v>
      </c>
      <c r="E125" s="2" t="s">
        <v>213</v>
      </c>
      <c r="F125" s="66">
        <v>0.23</v>
      </c>
      <c r="G125" s="66">
        <v>0.23</v>
      </c>
      <c r="H125" s="66">
        <v>0.04</v>
      </c>
      <c r="I125" s="69">
        <v>0.27</v>
      </c>
      <c r="J125" s="66">
        <v>0.62</v>
      </c>
      <c r="K125" s="66">
        <v>0.10999999999999999</v>
      </c>
      <c r="L125" s="19">
        <v>4.0099999999999997E-2</v>
      </c>
      <c r="M125" s="2">
        <v>0.2457</v>
      </c>
      <c r="N125" s="2">
        <v>6.2149000000000001</v>
      </c>
      <c r="O125" s="2">
        <v>3.09</v>
      </c>
      <c r="P125" s="19">
        <v>3.09</v>
      </c>
      <c r="R125" s="2">
        <v>0</v>
      </c>
      <c r="S125" s="64">
        <f>(N125/(L125+M125))*100</f>
        <v>2174.5626312106369</v>
      </c>
      <c r="T125" s="64">
        <f>(O125/(L125+M125))*100</f>
        <v>1081.1756473058083</v>
      </c>
      <c r="U125" s="72">
        <f>(P125/(L125+M125))*100</f>
        <v>1081.1756473058083</v>
      </c>
      <c r="V125" s="2">
        <f>(Q125/(L125+M125))*100</f>
        <v>0</v>
      </c>
      <c r="W125" s="70">
        <f>(R125/(L125+M125))*100</f>
        <v>0</v>
      </c>
    </row>
    <row r="126" spans="1:24" x14ac:dyDescent="0.25">
      <c r="A126" s="2" t="s">
        <v>724</v>
      </c>
      <c r="B126" s="2">
        <v>2</v>
      </c>
      <c r="C126" s="2" t="s">
        <v>214</v>
      </c>
      <c r="D126" s="2" t="s">
        <v>215</v>
      </c>
      <c r="E126" s="2" t="s">
        <v>216</v>
      </c>
      <c r="F126" s="66" t="s">
        <v>729</v>
      </c>
      <c r="G126" s="66" t="s">
        <v>729</v>
      </c>
      <c r="H126" s="66" t="s">
        <v>729</v>
      </c>
      <c r="I126" s="69">
        <v>0</v>
      </c>
      <c r="J126" s="66">
        <v>0.2</v>
      </c>
      <c r="K126" s="66">
        <v>0.8</v>
      </c>
      <c r="L126" s="19">
        <v>0.1123</v>
      </c>
      <c r="M126" s="2">
        <v>0.17199999999999999</v>
      </c>
      <c r="N126" s="2">
        <v>15.7171</v>
      </c>
      <c r="O126" s="2">
        <v>7.83</v>
      </c>
      <c r="P126" s="19">
        <v>7.88</v>
      </c>
      <c r="R126" s="2">
        <v>0</v>
      </c>
      <c r="S126" s="64">
        <f>(N126/(L126+M126))*100</f>
        <v>5528.3503341540627</v>
      </c>
      <c r="T126" s="64">
        <f>(O126/(L126+M126))*100</f>
        <v>2754.1329581428067</v>
      </c>
      <c r="U126" s="72">
        <f>(P126/(L126+M126))*100</f>
        <v>2771.720014069645</v>
      </c>
      <c r="V126" s="2">
        <f>(Q126/(L126+M126))*100</f>
        <v>0</v>
      </c>
      <c r="W126" s="70">
        <f>(R126/(L126+M126))*100</f>
        <v>0</v>
      </c>
      <c r="X126" s="2" t="s">
        <v>689</v>
      </c>
    </row>
    <row r="127" spans="1:24" x14ac:dyDescent="0.25">
      <c r="A127" s="2">
        <v>2</v>
      </c>
      <c r="B127" s="2">
        <v>1</v>
      </c>
      <c r="C127" s="2" t="s">
        <v>217</v>
      </c>
      <c r="D127" s="2" t="s">
        <v>218</v>
      </c>
      <c r="E127" s="2" t="s">
        <v>219</v>
      </c>
      <c r="F127" s="66">
        <v>0.03</v>
      </c>
      <c r="G127" s="66">
        <v>0.03</v>
      </c>
      <c r="H127" s="66">
        <v>0.94</v>
      </c>
      <c r="I127" s="69">
        <v>0.97</v>
      </c>
      <c r="J127" s="66">
        <v>0</v>
      </c>
      <c r="K127" s="66">
        <v>3.0000000000000027E-2</v>
      </c>
      <c r="L127" s="19">
        <v>4.3900000000000002E-2</v>
      </c>
      <c r="M127" s="2">
        <v>5.1000000000000004E-3</v>
      </c>
      <c r="N127" s="2">
        <v>1080.5899999999999</v>
      </c>
      <c r="O127" s="2">
        <v>15.88</v>
      </c>
      <c r="P127" s="2">
        <v>15.89</v>
      </c>
      <c r="Q127" s="2">
        <v>1037.6400000000001</v>
      </c>
      <c r="R127" s="2">
        <v>15.9</v>
      </c>
      <c r="S127" s="64">
        <f>(N127/(L127+M127))*100</f>
        <v>2205285.7142857141</v>
      </c>
      <c r="T127" s="64">
        <f>(O127/(L127+M127))*100</f>
        <v>32408.163265306121</v>
      </c>
      <c r="U127" s="72">
        <f>(P127/(L127+M127))*100</f>
        <v>32428.571428571428</v>
      </c>
      <c r="V127" s="2">
        <f>(Q127/(L127+M127))*100</f>
        <v>2117632.6530612246</v>
      </c>
      <c r="W127" s="70">
        <f>(R127/(L127+M127))*100</f>
        <v>32448.979591836734</v>
      </c>
    </row>
    <row r="128" spans="1:24" x14ac:dyDescent="0.25">
      <c r="A128" s="2">
        <v>1</v>
      </c>
      <c r="B128" s="2">
        <v>2</v>
      </c>
      <c r="C128" s="2" t="s">
        <v>217</v>
      </c>
      <c r="D128" s="2" t="s">
        <v>218</v>
      </c>
      <c r="E128" s="2" t="s">
        <v>220</v>
      </c>
      <c r="F128" s="66">
        <v>0.02</v>
      </c>
      <c r="G128" s="66">
        <v>0.02</v>
      </c>
      <c r="H128" s="66">
        <v>0.96</v>
      </c>
      <c r="I128" s="69">
        <v>0.98</v>
      </c>
      <c r="J128" s="66">
        <v>0</v>
      </c>
      <c r="K128" s="66">
        <v>2.0000000000000018E-2</v>
      </c>
      <c r="L128" s="19">
        <v>5.7299999999999997E-2</v>
      </c>
      <c r="M128" s="2">
        <v>1.72E-2</v>
      </c>
      <c r="N128" s="2">
        <v>61.75</v>
      </c>
      <c r="O128" s="2">
        <v>3.04</v>
      </c>
      <c r="P128" s="2">
        <v>3.03</v>
      </c>
      <c r="Q128" s="2">
        <v>50.92</v>
      </c>
      <c r="R128" s="2">
        <v>3.08</v>
      </c>
      <c r="S128" s="64">
        <f>(N128/(L128+M128))*100</f>
        <v>82885.906040268455</v>
      </c>
      <c r="T128" s="64">
        <f>(O128/(L128+M128))*100</f>
        <v>4080.5369127516783</v>
      </c>
      <c r="U128" s="72">
        <f>(P128/(L128+M128))*100</f>
        <v>4067.1140939597317</v>
      </c>
      <c r="V128" s="2">
        <f>(Q128/(L128+M128))*100</f>
        <v>68348.993288590616</v>
      </c>
      <c r="W128" s="70">
        <f>(R128/(L128+M128))*100</f>
        <v>4134.2281879194634</v>
      </c>
    </row>
    <row r="129" spans="1:24" x14ac:dyDescent="0.25">
      <c r="A129" s="2">
        <v>1</v>
      </c>
      <c r="B129" s="2">
        <v>2</v>
      </c>
      <c r="C129" s="2" t="s">
        <v>217</v>
      </c>
      <c r="D129" s="2" t="s">
        <v>218</v>
      </c>
      <c r="E129" s="2" t="s">
        <v>221</v>
      </c>
      <c r="F129" s="66">
        <v>4.9019607843137254E-2</v>
      </c>
      <c r="G129" s="66">
        <v>4.9019607843137254E-2</v>
      </c>
      <c r="H129" s="66">
        <v>0.36274509803921567</v>
      </c>
      <c r="I129" s="69">
        <v>0.41176470588235292</v>
      </c>
      <c r="J129" s="66">
        <v>0</v>
      </c>
      <c r="K129" s="66">
        <v>0.58823529411764708</v>
      </c>
      <c r="L129" s="19">
        <v>4.7E-2</v>
      </c>
      <c r="M129" s="2">
        <v>8.8999999999999999E-3</v>
      </c>
      <c r="N129" s="19">
        <v>25.99</v>
      </c>
      <c r="O129" s="2">
        <v>3.1E-2</v>
      </c>
      <c r="P129" s="2">
        <v>3.01</v>
      </c>
      <c r="Q129" s="2">
        <v>20.86</v>
      </c>
      <c r="R129" s="2">
        <v>3</v>
      </c>
      <c r="S129" s="64">
        <f>(N129/(L129+M129))*100</f>
        <v>46493.738819320213</v>
      </c>
      <c r="T129" s="64">
        <f>(O129/(L129+M129))*100</f>
        <v>55.456171735241497</v>
      </c>
      <c r="U129" s="72">
        <f>(P129/(L129+M129))*100</f>
        <v>5384.6153846153848</v>
      </c>
      <c r="V129" s="2">
        <f>(Q129/(L129+M129))*100</f>
        <v>37316.636851520569</v>
      </c>
      <c r="W129" s="70">
        <f>(R129/(L129+M129))*100</f>
        <v>5366.7262969588555</v>
      </c>
    </row>
    <row r="130" spans="1:24" x14ac:dyDescent="0.25">
      <c r="A130" s="2">
        <v>1</v>
      </c>
      <c r="B130" s="2">
        <v>2</v>
      </c>
      <c r="C130" s="2" t="s">
        <v>222</v>
      </c>
      <c r="D130" s="2" t="s">
        <v>223</v>
      </c>
      <c r="E130" s="2" t="s">
        <v>224</v>
      </c>
      <c r="F130" s="66">
        <v>0.87</v>
      </c>
      <c r="G130" s="66">
        <v>0.87</v>
      </c>
      <c r="H130" s="66">
        <v>0</v>
      </c>
      <c r="I130" s="69">
        <v>0.87</v>
      </c>
      <c r="J130" s="66">
        <v>0.13</v>
      </c>
      <c r="K130" s="66">
        <v>0</v>
      </c>
      <c r="L130" s="19">
        <v>3.9800000000000002E-2</v>
      </c>
      <c r="M130" s="2">
        <v>4.1099999999999998E-2</v>
      </c>
      <c r="N130" s="2">
        <v>18.8</v>
      </c>
      <c r="O130" s="2">
        <v>2.7</v>
      </c>
      <c r="P130" s="2">
        <v>2.69</v>
      </c>
      <c r="Q130" s="2">
        <v>11.64</v>
      </c>
      <c r="R130" s="2">
        <v>1.7</v>
      </c>
      <c r="S130" s="64">
        <f>(N130/(L130+M130))*100</f>
        <v>23238.56613102596</v>
      </c>
      <c r="T130" s="64">
        <f>(O130/(L130+M130))*100</f>
        <v>3337.4536464771327</v>
      </c>
      <c r="U130" s="72">
        <f>(P130/(L130+M130))*100</f>
        <v>3325.0927070457351</v>
      </c>
      <c r="V130" s="2">
        <f>(Q130/(L130+M130))*100</f>
        <v>14388.133498145859</v>
      </c>
      <c r="W130" s="70">
        <f>(R130/(L130+M130))*100</f>
        <v>2101.3597033374535</v>
      </c>
    </row>
    <row r="131" spans="1:24" x14ac:dyDescent="0.25">
      <c r="A131" s="2">
        <v>1</v>
      </c>
      <c r="B131" s="2">
        <v>1</v>
      </c>
      <c r="C131" s="2" t="s">
        <v>225</v>
      </c>
      <c r="D131" s="2" t="s">
        <v>226</v>
      </c>
      <c r="E131" s="2" t="s">
        <v>227</v>
      </c>
      <c r="F131" s="66">
        <v>0.68</v>
      </c>
      <c r="G131" s="66">
        <v>0.77</v>
      </c>
      <c r="H131" s="66">
        <v>0.04</v>
      </c>
      <c r="I131" s="69">
        <v>0.77</v>
      </c>
      <c r="J131" s="66">
        <v>0</v>
      </c>
      <c r="K131" s="66">
        <v>0.22999999999999998</v>
      </c>
      <c r="L131" s="19">
        <v>0.83819999999999995</v>
      </c>
      <c r="M131" s="2">
        <v>0</v>
      </c>
      <c r="N131" s="2">
        <v>174.56039999999999</v>
      </c>
      <c r="O131" s="2">
        <v>27.924399999999999</v>
      </c>
      <c r="P131" s="2">
        <v>27.746700000000001</v>
      </c>
      <c r="Q131" s="2">
        <v>91.96</v>
      </c>
      <c r="R131" s="2">
        <v>27.864999999999998</v>
      </c>
      <c r="S131" s="64">
        <f>(N131/(L131+M131))*100</f>
        <v>20825.626342161773</v>
      </c>
      <c r="T131" s="64">
        <f>(O131/(L131+M131))*100</f>
        <v>3331.4722023383438</v>
      </c>
      <c r="U131" s="72">
        <f>(P131/(L131+M131))*100</f>
        <v>3310.2720114531139</v>
      </c>
      <c r="V131" s="2">
        <f>(Q131/(L131+M131))*100</f>
        <v>10971.128608923884</v>
      </c>
      <c r="W131" s="70">
        <f>(R131/(L131+M131))*100</f>
        <v>3324.3855881651157</v>
      </c>
    </row>
    <row r="132" spans="1:24" x14ac:dyDescent="0.25">
      <c r="A132" s="2" t="s">
        <v>724</v>
      </c>
      <c r="B132" s="2" t="s">
        <v>724</v>
      </c>
      <c r="C132" s="2" t="s">
        <v>225</v>
      </c>
      <c r="D132" s="2" t="s">
        <v>226</v>
      </c>
      <c r="E132" s="2" t="s">
        <v>228</v>
      </c>
      <c r="F132" s="66" t="s">
        <v>729</v>
      </c>
      <c r="G132" s="66" t="s">
        <v>729</v>
      </c>
      <c r="H132" s="66" t="s">
        <v>729</v>
      </c>
      <c r="I132" s="69" t="s">
        <v>729</v>
      </c>
      <c r="J132" s="66" t="s">
        <v>729</v>
      </c>
      <c r="K132" s="66" t="s">
        <v>729</v>
      </c>
      <c r="L132" s="19" t="s">
        <v>581</v>
      </c>
      <c r="O132" s="2">
        <v>0</v>
      </c>
      <c r="P132" s="2">
        <v>0</v>
      </c>
      <c r="Q132" s="2">
        <v>0</v>
      </c>
      <c r="R132" s="2">
        <v>0</v>
      </c>
      <c r="S132" s="64" t="e">
        <f>(N132/(L132+M132))*100</f>
        <v>#VALUE!</v>
      </c>
      <c r="T132" s="64" t="e">
        <f>(O132/(L132+M132))*100</f>
        <v>#VALUE!</v>
      </c>
      <c r="U132" s="72" t="e">
        <f>(P132/(L132+M132))*100</f>
        <v>#VALUE!</v>
      </c>
      <c r="V132" s="2" t="e">
        <f>(Q132/(L132+M132))*100</f>
        <v>#VALUE!</v>
      </c>
      <c r="W132" s="70" t="e">
        <f>(R132/(L132+M132))*100</f>
        <v>#VALUE!</v>
      </c>
      <c r="X132" s="2" t="s">
        <v>690</v>
      </c>
    </row>
    <row r="133" spans="1:24" x14ac:dyDescent="0.25">
      <c r="A133" s="2" t="s">
        <v>724</v>
      </c>
      <c r="B133" s="2">
        <v>2</v>
      </c>
      <c r="C133" s="2" t="s">
        <v>225</v>
      </c>
      <c r="D133" s="2" t="s">
        <v>226</v>
      </c>
      <c r="E133" s="2" t="s">
        <v>229</v>
      </c>
      <c r="F133" s="66">
        <v>0.43</v>
      </c>
      <c r="G133" s="66">
        <v>0.62</v>
      </c>
      <c r="H133" s="66">
        <v>0.04</v>
      </c>
      <c r="I133" s="69">
        <v>0.62</v>
      </c>
      <c r="J133" s="66">
        <v>0</v>
      </c>
      <c r="K133" s="66">
        <v>0.38</v>
      </c>
      <c r="L133" s="19">
        <v>0.82730000000000004</v>
      </c>
      <c r="M133" s="2">
        <v>3.4697</v>
      </c>
      <c r="N133" s="2">
        <v>81.092100000000002</v>
      </c>
      <c r="O133" s="2">
        <v>40.5</v>
      </c>
      <c r="P133" s="2">
        <v>40.61</v>
      </c>
      <c r="Q133" s="2">
        <v>0</v>
      </c>
      <c r="R133" s="2">
        <v>0</v>
      </c>
      <c r="S133" s="64">
        <f>(N133/(L133+M133))*100</f>
        <v>1887.1794275075636</v>
      </c>
      <c r="T133" s="64">
        <f>(O133/(L133+M133))*100</f>
        <v>942.51803583895753</v>
      </c>
      <c r="U133" s="72">
        <f>(P133/(L133+M133))*100</f>
        <v>945.0779613683967</v>
      </c>
      <c r="V133" s="2">
        <f>(Q133/(L133+M133))*100</f>
        <v>0</v>
      </c>
      <c r="W133" s="70">
        <f>(R133/(L133+M133))*100</f>
        <v>0</v>
      </c>
    </row>
    <row r="134" spans="1:24" x14ac:dyDescent="0.25">
      <c r="A134" s="2" t="s">
        <v>724</v>
      </c>
      <c r="B134" s="2">
        <v>2</v>
      </c>
      <c r="C134" s="2" t="s">
        <v>230</v>
      </c>
      <c r="D134" s="2" t="s">
        <v>231</v>
      </c>
      <c r="E134" s="2" t="s">
        <v>232</v>
      </c>
      <c r="F134" s="66">
        <v>0.09</v>
      </c>
      <c r="G134" s="66">
        <v>0.09</v>
      </c>
      <c r="H134" s="66">
        <v>0.2</v>
      </c>
      <c r="I134" s="69">
        <v>0.28999999999999998</v>
      </c>
      <c r="J134" s="66">
        <v>0.62</v>
      </c>
      <c r="K134" s="66">
        <v>8.9999999999999969E-2</v>
      </c>
      <c r="L134" s="19">
        <v>1.77E-2</v>
      </c>
      <c r="M134" s="2">
        <v>2.1100000000000001E-2</v>
      </c>
      <c r="N134" s="2">
        <v>3.6027</v>
      </c>
      <c r="O134" s="2">
        <v>1.84</v>
      </c>
      <c r="P134" s="2">
        <v>1.88</v>
      </c>
      <c r="S134" s="64">
        <f>(N134/(L134+M134))*100</f>
        <v>9285.3092783505144</v>
      </c>
      <c r="T134" s="64">
        <f>(O134/(L134+M134))*100</f>
        <v>4742.2680412371137</v>
      </c>
      <c r="U134" s="72">
        <f>(P134/(L134+M134))*100</f>
        <v>4845.3608247422681</v>
      </c>
      <c r="V134" s="2">
        <f>(Q134/(L134+M134))*100</f>
        <v>0</v>
      </c>
      <c r="W134" s="70">
        <f>(R134/(L134+M134))*100</f>
        <v>0</v>
      </c>
    </row>
    <row r="135" spans="1:24" x14ac:dyDescent="0.25">
      <c r="A135" s="2" t="s">
        <v>724</v>
      </c>
      <c r="B135" s="2">
        <v>1</v>
      </c>
      <c r="C135" s="2" t="s">
        <v>233</v>
      </c>
      <c r="D135" s="2" t="s">
        <v>234</v>
      </c>
      <c r="E135" s="2" t="s">
        <v>235</v>
      </c>
      <c r="F135" s="66">
        <v>0.01</v>
      </c>
      <c r="G135" s="66">
        <v>0.01</v>
      </c>
      <c r="H135" s="66">
        <v>0.74</v>
      </c>
      <c r="I135" s="69">
        <v>0.75</v>
      </c>
      <c r="J135" s="66">
        <v>0</v>
      </c>
      <c r="K135" s="66">
        <v>0.25</v>
      </c>
      <c r="L135" s="19">
        <v>2.4799999999999999E-2</v>
      </c>
      <c r="M135" s="2">
        <v>1.2370000000000001</v>
      </c>
      <c r="N135" s="19">
        <v>21.87</v>
      </c>
      <c r="O135" s="2">
        <v>10.28</v>
      </c>
      <c r="P135" s="2">
        <v>10.19</v>
      </c>
      <c r="Q135" s="2">
        <v>0</v>
      </c>
      <c r="R135" s="2">
        <v>0</v>
      </c>
      <c r="S135" s="64">
        <f>(N135/(L135+M135))*100</f>
        <v>1733.2382310984308</v>
      </c>
      <c r="T135" s="64">
        <f>(O135/(L135+M135))*100</f>
        <v>814.70914566492297</v>
      </c>
      <c r="U135" s="72">
        <f>(P135/(L135+M135))*100</f>
        <v>807.5764780472341</v>
      </c>
      <c r="V135" s="2">
        <f>(Q135/(L135+M135))*100</f>
        <v>0</v>
      </c>
      <c r="W135" s="70">
        <f>(R135/(L135+M135))*100</f>
        <v>0</v>
      </c>
    </row>
    <row r="136" spans="1:24" x14ac:dyDescent="0.25">
      <c r="A136" s="2">
        <v>2</v>
      </c>
      <c r="B136" s="2">
        <v>1</v>
      </c>
      <c r="C136" s="2" t="s">
        <v>233</v>
      </c>
      <c r="D136" s="2" t="s">
        <v>236</v>
      </c>
      <c r="E136" s="2" t="s">
        <v>237</v>
      </c>
      <c r="F136" s="66">
        <v>4.6296296296296294E-2</v>
      </c>
      <c r="G136" s="66">
        <v>0.1388888888888889</v>
      </c>
      <c r="H136" s="66">
        <v>0.72222222222222221</v>
      </c>
      <c r="I136" s="69">
        <v>0.86111111111111116</v>
      </c>
      <c r="J136" s="66">
        <v>0.10185185185185185</v>
      </c>
      <c r="K136" s="66">
        <v>3.7037037037036993E-2</v>
      </c>
      <c r="L136" s="19">
        <v>5.0299999999999997E-2</v>
      </c>
      <c r="M136" s="2">
        <v>1.7710999999999999</v>
      </c>
      <c r="N136" s="2">
        <v>405.93</v>
      </c>
      <c r="O136" s="2">
        <v>60.73</v>
      </c>
      <c r="P136" s="2">
        <v>60.73</v>
      </c>
      <c r="Q136" s="2">
        <v>239.29</v>
      </c>
      <c r="R136" s="2">
        <v>60.72</v>
      </c>
      <c r="S136" s="64">
        <f>(N136/(L136+M136))*100</f>
        <v>22286.70253651038</v>
      </c>
      <c r="T136" s="64">
        <f>(O136/(L136+M136))*100</f>
        <v>3334.2483803667506</v>
      </c>
      <c r="U136" s="72">
        <f>(P136/(L136+M136))*100</f>
        <v>3334.2483803667506</v>
      </c>
      <c r="V136" s="2">
        <f>(Q136/(L136+M136))*100</f>
        <v>13137.696277588668</v>
      </c>
      <c r="W136" s="70">
        <f>(R136/(L136+M136))*100</f>
        <v>3333.6993521467007</v>
      </c>
    </row>
    <row r="137" spans="1:24" x14ac:dyDescent="0.25">
      <c r="A137" s="2">
        <v>2</v>
      </c>
      <c r="B137" s="2">
        <v>2</v>
      </c>
      <c r="C137" s="2" t="s">
        <v>233</v>
      </c>
      <c r="D137" s="2" t="s">
        <v>236</v>
      </c>
      <c r="E137" s="2" t="s">
        <v>238</v>
      </c>
      <c r="F137" s="66">
        <v>3.7037037037037035E-2</v>
      </c>
      <c r="G137" s="66">
        <v>6.4814814814814811E-2</v>
      </c>
      <c r="H137" s="66">
        <v>0.80555555555555558</v>
      </c>
      <c r="I137" s="69">
        <v>0.87037037037037035</v>
      </c>
      <c r="J137" s="66">
        <v>5.5555555555555552E-2</v>
      </c>
      <c r="K137" s="66">
        <v>7.4074074074074098E-2</v>
      </c>
      <c r="L137" s="19">
        <v>4.7199999999999999E-2</v>
      </c>
      <c r="M137" s="2">
        <v>0.99970000000000003</v>
      </c>
      <c r="N137" s="2">
        <v>1057.48</v>
      </c>
      <c r="O137" s="2">
        <v>56.07</v>
      </c>
      <c r="P137" s="2">
        <v>56.05</v>
      </c>
      <c r="Q137" s="2">
        <v>916.45</v>
      </c>
      <c r="R137" s="2">
        <v>56.05</v>
      </c>
      <c r="S137" s="64">
        <f>(N137/(L137+M137))*100</f>
        <v>101010.60273187507</v>
      </c>
      <c r="T137" s="64">
        <f>(O137/(L137+M137))*100</f>
        <v>5355.8123985098864</v>
      </c>
      <c r="U137" s="72">
        <f>(P137/(L137+M137))*100</f>
        <v>5353.9019963702358</v>
      </c>
      <c r="V137" s="2">
        <f>(Q137/(L137+M137))*100</f>
        <v>87539.4020441303</v>
      </c>
      <c r="W137" s="70">
        <f>(R137/(L137+M137))*100</f>
        <v>5353.9019963702358</v>
      </c>
    </row>
    <row r="138" spans="1:24" x14ac:dyDescent="0.25">
      <c r="A138" s="2">
        <v>2</v>
      </c>
      <c r="B138" s="2">
        <v>1</v>
      </c>
      <c r="C138" s="2" t="s">
        <v>233</v>
      </c>
      <c r="D138" s="2" t="s">
        <v>236</v>
      </c>
      <c r="E138" s="2" t="s">
        <v>239</v>
      </c>
      <c r="F138" s="66">
        <v>0</v>
      </c>
      <c r="G138" s="66">
        <v>0.06</v>
      </c>
      <c r="H138" s="66">
        <v>0.47</v>
      </c>
      <c r="I138" s="69">
        <v>0.53</v>
      </c>
      <c r="J138" s="66">
        <v>0.46</v>
      </c>
      <c r="K138" s="66">
        <v>9.9999999999999534E-3</v>
      </c>
      <c r="L138" s="19">
        <v>3.5499999999999997E-2</v>
      </c>
      <c r="M138" s="2">
        <v>2.0009999999999999</v>
      </c>
      <c r="N138" s="2">
        <v>468.69</v>
      </c>
      <c r="O138" s="2">
        <v>67.88</v>
      </c>
      <c r="P138" s="2">
        <v>67.91</v>
      </c>
      <c r="Q138" s="2">
        <v>247.07</v>
      </c>
      <c r="R138" s="2">
        <v>67.88</v>
      </c>
      <c r="S138" s="64">
        <f>(N138/(L138+M138))*100</f>
        <v>23014.485637122518</v>
      </c>
      <c r="T138" s="64">
        <f>(O138/(L138+M138))*100</f>
        <v>3333.1696538178248</v>
      </c>
      <c r="U138" s="72">
        <f>(P138/(L138+M138))*100</f>
        <v>3334.6427694574027</v>
      </c>
      <c r="V138" s="2">
        <f>(Q138/(L138+M138))*100</f>
        <v>12132.08936901547</v>
      </c>
      <c r="W138" s="70">
        <f>(R138/(L138+M138))*100</f>
        <v>3333.1696538178248</v>
      </c>
    </row>
    <row r="139" spans="1:24" x14ac:dyDescent="0.25">
      <c r="A139" s="2">
        <v>2</v>
      </c>
      <c r="B139" s="2" t="s">
        <v>725</v>
      </c>
      <c r="C139" s="2" t="s">
        <v>233</v>
      </c>
      <c r="D139" s="2" t="s">
        <v>236</v>
      </c>
      <c r="E139" s="2" t="s">
        <v>240</v>
      </c>
      <c r="F139" s="66">
        <v>0.11666666666666667</v>
      </c>
      <c r="G139" s="66">
        <v>0.11666666666666667</v>
      </c>
      <c r="H139" s="66">
        <v>0.54166666666666663</v>
      </c>
      <c r="I139" s="69">
        <v>0.65833333333333333</v>
      </c>
      <c r="J139" s="66">
        <v>0.28333333333333333</v>
      </c>
      <c r="K139" s="66">
        <v>5.8333333333333348E-2</v>
      </c>
      <c r="L139" s="19">
        <v>4.5400000000000003E-2</v>
      </c>
      <c r="M139" s="2">
        <v>1.8720000000000001</v>
      </c>
      <c r="N139" s="2">
        <v>301.82</v>
      </c>
      <c r="O139" s="2">
        <v>63.9</v>
      </c>
      <c r="P139" s="2">
        <v>63.89</v>
      </c>
      <c r="Q139" s="2">
        <v>123.48</v>
      </c>
      <c r="R139" s="2">
        <v>63.9</v>
      </c>
      <c r="S139" s="64">
        <f>(N139/(L139+M139))*100</f>
        <v>15741.107750078228</v>
      </c>
      <c r="T139" s="64">
        <f>(O139/(L139+M139))*100</f>
        <v>3332.6379472201934</v>
      </c>
      <c r="U139" s="72">
        <f>(P139/(L139+M139))*100</f>
        <v>3332.1164076353389</v>
      </c>
      <c r="V139" s="2">
        <f>(Q139/(L139+M139))*100</f>
        <v>6439.9707937832472</v>
      </c>
      <c r="W139" s="70">
        <f>(R139/(L139+M139))*100</f>
        <v>3332.6379472201934</v>
      </c>
    </row>
    <row r="140" spans="1:24" x14ac:dyDescent="0.25">
      <c r="A140" s="2">
        <v>2</v>
      </c>
      <c r="B140" s="2">
        <v>2</v>
      </c>
      <c r="C140" s="2" t="s">
        <v>233</v>
      </c>
      <c r="D140" s="2" t="s">
        <v>236</v>
      </c>
      <c r="E140" s="2" t="s">
        <v>241</v>
      </c>
      <c r="F140" s="66">
        <v>3.6363636363636362E-2</v>
      </c>
      <c r="G140" s="66">
        <v>6.363636363636363E-2</v>
      </c>
      <c r="H140" s="66">
        <v>0.47272727272727272</v>
      </c>
      <c r="I140" s="69">
        <v>0.53636363636363638</v>
      </c>
      <c r="J140" s="66">
        <v>0.38181818181818183</v>
      </c>
      <c r="K140" s="66">
        <v>8.181818181818179E-2</v>
      </c>
      <c r="L140" s="19">
        <v>4.3299999999999998E-2</v>
      </c>
      <c r="M140" s="2">
        <v>1.4013</v>
      </c>
      <c r="N140" s="2">
        <v>344.9</v>
      </c>
      <c r="O140" s="2">
        <v>48.14</v>
      </c>
      <c r="P140" s="2">
        <v>48.17</v>
      </c>
      <c r="Q140" s="2">
        <v>197.55</v>
      </c>
      <c r="R140" s="2">
        <v>48.14</v>
      </c>
      <c r="S140" s="64">
        <f>(N140/(L140+M140))*100</f>
        <v>23875.12114080022</v>
      </c>
      <c r="T140" s="64">
        <f>(O140/(L140+M140))*100</f>
        <v>3332.4103558078364</v>
      </c>
      <c r="U140" s="72">
        <f>(P140/(L140+M140))*100</f>
        <v>3334.4870552402049</v>
      </c>
      <c r="V140" s="2">
        <f>(Q140/(L140+M140))*100</f>
        <v>13675.065762148693</v>
      </c>
      <c r="W140" s="70">
        <f>(R140/(L140+M140))*100</f>
        <v>3332.4103558078364</v>
      </c>
    </row>
    <row r="141" spans="1:24" x14ac:dyDescent="0.25">
      <c r="A141" s="2">
        <v>2</v>
      </c>
      <c r="B141" s="2">
        <v>1</v>
      </c>
      <c r="C141" s="2" t="s">
        <v>233</v>
      </c>
      <c r="D141" s="2" t="s">
        <v>236</v>
      </c>
      <c r="E141" s="2" t="s">
        <v>242</v>
      </c>
      <c r="F141" s="66">
        <v>0</v>
      </c>
      <c r="G141" s="66">
        <v>0</v>
      </c>
      <c r="H141" s="66">
        <v>0.3</v>
      </c>
      <c r="I141" s="69">
        <v>0.3</v>
      </c>
      <c r="J141" s="66">
        <v>0.7</v>
      </c>
      <c r="K141" s="66">
        <v>0</v>
      </c>
      <c r="L141" s="19">
        <v>4.4200000000000003E-2</v>
      </c>
      <c r="M141" s="2">
        <v>1.071</v>
      </c>
      <c r="N141" s="2">
        <v>656.09</v>
      </c>
      <c r="O141" s="2">
        <v>61.15</v>
      </c>
      <c r="P141" s="2">
        <v>61.15</v>
      </c>
      <c r="Q141" s="2">
        <v>482.03</v>
      </c>
      <c r="R141" s="2">
        <v>61.14</v>
      </c>
      <c r="S141" s="64">
        <f>(N141/(L141+M141))*100</f>
        <v>58831.599713055963</v>
      </c>
      <c r="T141" s="64">
        <f>(O141/(L141+M141))*100</f>
        <v>5483.321377331421</v>
      </c>
      <c r="U141" s="72">
        <f>(P141/(L141+M141))*100</f>
        <v>5483.321377331421</v>
      </c>
      <c r="V141" s="2">
        <f>(Q141/(L141+M141))*100</f>
        <v>43223.637015781926</v>
      </c>
      <c r="W141" s="70">
        <f>(R141/(L141+M141))*100</f>
        <v>5482.4246771879489</v>
      </c>
    </row>
    <row r="142" spans="1:24" x14ac:dyDescent="0.25">
      <c r="A142" s="2" t="s">
        <v>724</v>
      </c>
      <c r="B142" s="2">
        <v>2</v>
      </c>
      <c r="C142" s="2" t="s">
        <v>243</v>
      </c>
      <c r="D142" s="2" t="s">
        <v>244</v>
      </c>
      <c r="E142" s="2" t="s">
        <v>245</v>
      </c>
      <c r="F142" s="66">
        <v>0.02</v>
      </c>
      <c r="G142" s="66">
        <v>0.02</v>
      </c>
      <c r="H142" s="66">
        <v>0.03</v>
      </c>
      <c r="I142" s="69">
        <v>0.05</v>
      </c>
      <c r="J142" s="66">
        <v>0</v>
      </c>
      <c r="K142" s="66">
        <v>0.95</v>
      </c>
      <c r="L142" s="19">
        <v>2.8999999999999998E-3</v>
      </c>
      <c r="M142" s="2">
        <v>0.93320000000000003</v>
      </c>
      <c r="N142" s="19">
        <v>35.44</v>
      </c>
      <c r="O142" s="2">
        <v>19.09</v>
      </c>
      <c r="P142" s="2">
        <v>18.95</v>
      </c>
      <c r="Q142" s="2">
        <v>0</v>
      </c>
      <c r="R142" s="2">
        <v>0</v>
      </c>
      <c r="S142" s="64">
        <f>(N142/(L142+M142))*100</f>
        <v>3785.9203076594376</v>
      </c>
      <c r="T142" s="64">
        <f>(O142/(L142+M142))*100</f>
        <v>2039.3120393120391</v>
      </c>
      <c r="U142" s="72">
        <f>(P142/(L142+M142))*100</f>
        <v>2024.3563721824589</v>
      </c>
      <c r="V142" s="2">
        <f>(Q142/(L142+M142))*100</f>
        <v>0</v>
      </c>
      <c r="W142" s="70">
        <f>(R142/(L142+M142))*100</f>
        <v>0</v>
      </c>
    </row>
    <row r="143" spans="1:24" x14ac:dyDescent="0.25">
      <c r="A143" s="2">
        <v>1</v>
      </c>
      <c r="B143" s="2">
        <v>2</v>
      </c>
      <c r="C143" s="2" t="s">
        <v>246</v>
      </c>
      <c r="D143" s="2" t="s">
        <v>247</v>
      </c>
      <c r="E143" s="2" t="s">
        <v>248</v>
      </c>
      <c r="F143" s="66">
        <v>0</v>
      </c>
      <c r="G143" s="66">
        <v>0</v>
      </c>
      <c r="H143" s="66">
        <v>0.45</v>
      </c>
      <c r="I143" s="69">
        <v>0.45</v>
      </c>
      <c r="J143" s="66">
        <v>0</v>
      </c>
      <c r="K143" s="66">
        <v>0.55000000000000004</v>
      </c>
      <c r="L143" s="19">
        <v>1.5974999999999999</v>
      </c>
      <c r="M143" s="2">
        <v>0.26465</v>
      </c>
      <c r="N143" s="2">
        <v>194.77549999999999</v>
      </c>
      <c r="O143" s="2">
        <v>62.12</v>
      </c>
      <c r="P143" s="2">
        <v>62.06</v>
      </c>
      <c r="Q143" s="2">
        <v>8.83</v>
      </c>
      <c r="R143" s="2">
        <v>62.03</v>
      </c>
      <c r="S143" s="64">
        <f>(N143/(L143+M143))*100</f>
        <v>10459.710549633488</v>
      </c>
      <c r="T143" s="64">
        <f>(O143/(L143+M143))*100</f>
        <v>3335.9288993904897</v>
      </c>
      <c r="U143" s="72">
        <f>(P143/(L143+M143))*100</f>
        <v>3332.7068173885023</v>
      </c>
      <c r="V143" s="2">
        <f>(Q143/(L143+M143))*100</f>
        <v>474.18306795907955</v>
      </c>
      <c r="W143" s="70">
        <f>(R143/(L143+M143))*100</f>
        <v>3331.0957763875094</v>
      </c>
    </row>
    <row r="144" spans="1:24" x14ac:dyDescent="0.25">
      <c r="A144" s="2">
        <v>1</v>
      </c>
      <c r="B144" s="2">
        <v>2</v>
      </c>
      <c r="C144" s="2" t="s">
        <v>246</v>
      </c>
      <c r="D144" s="2" t="s">
        <v>247</v>
      </c>
      <c r="E144" s="2" t="s">
        <v>249</v>
      </c>
      <c r="F144" s="66">
        <v>0</v>
      </c>
      <c r="G144" s="66">
        <v>0</v>
      </c>
      <c r="H144" s="66">
        <v>0.74</v>
      </c>
      <c r="I144" s="69">
        <v>0.74</v>
      </c>
      <c r="J144" s="66">
        <v>0</v>
      </c>
      <c r="K144" s="66">
        <v>0.26</v>
      </c>
      <c r="L144" s="19">
        <v>1.5790999999999999</v>
      </c>
      <c r="M144" s="2">
        <v>1.23E-2</v>
      </c>
      <c r="N144" s="2">
        <v>267.36</v>
      </c>
      <c r="O144" s="2">
        <v>53.54</v>
      </c>
      <c r="P144" s="2">
        <v>53.57</v>
      </c>
      <c r="Q144" s="2">
        <v>106.99</v>
      </c>
      <c r="R144" s="2">
        <v>53.65</v>
      </c>
      <c r="S144" s="64">
        <f>(N144/(L144+M144))*100</f>
        <v>16800.301621214028</v>
      </c>
      <c r="T144" s="64">
        <f>(O144/(L144+M144))*100</f>
        <v>3364.3332914414982</v>
      </c>
      <c r="U144" s="72">
        <f>(P144/(L144+M144))*100</f>
        <v>3366.2184240291567</v>
      </c>
      <c r="V144" s="2">
        <f>(Q144/(L144+M144))*100</f>
        <v>6723.0111851200209</v>
      </c>
      <c r="W144" s="70">
        <f>(R144/(L144+M144))*100</f>
        <v>3371.2454442629132</v>
      </c>
    </row>
    <row r="145" spans="1:24" x14ac:dyDescent="0.25">
      <c r="A145" s="2">
        <v>1</v>
      </c>
      <c r="B145" s="2">
        <v>2</v>
      </c>
      <c r="C145" s="2" t="s">
        <v>246</v>
      </c>
      <c r="D145" s="2" t="s">
        <v>250</v>
      </c>
      <c r="E145" s="2" t="s">
        <v>646</v>
      </c>
      <c r="F145" s="66">
        <v>0</v>
      </c>
      <c r="G145" s="66">
        <v>0</v>
      </c>
      <c r="H145" s="66">
        <v>0.52</v>
      </c>
      <c r="I145" s="69">
        <v>0.52</v>
      </c>
      <c r="J145" s="66">
        <v>0</v>
      </c>
      <c r="K145" s="66">
        <v>0.48</v>
      </c>
      <c r="L145" s="19">
        <v>0.5726</v>
      </c>
      <c r="M145" s="2">
        <v>1.29E-2</v>
      </c>
      <c r="N145" s="2">
        <v>126.87</v>
      </c>
      <c r="O145" s="2">
        <v>22.89</v>
      </c>
      <c r="P145" s="2">
        <v>22.77</v>
      </c>
      <c r="Q145" s="2">
        <v>47.48</v>
      </c>
      <c r="R145" s="2">
        <v>22.84</v>
      </c>
      <c r="S145" s="64">
        <f>(N145/(L145+M145))*100</f>
        <v>21668.659265584971</v>
      </c>
      <c r="T145" s="64">
        <f>(O145/(L145+M145))*100</f>
        <v>3909.4790777113581</v>
      </c>
      <c r="U145" s="72">
        <f>(P145/(L145+M145))*100</f>
        <v>3888.9837745516652</v>
      </c>
      <c r="V145" s="2">
        <f>(Q145/(L145+M145))*100</f>
        <v>8109.3082835183595</v>
      </c>
      <c r="W145" s="70">
        <f>(R145/(L145+M145))*100</f>
        <v>3900.9393680614858</v>
      </c>
    </row>
    <row r="146" spans="1:24" x14ac:dyDescent="0.25">
      <c r="A146" s="2" t="s">
        <v>724</v>
      </c>
      <c r="B146" s="2" t="s">
        <v>724</v>
      </c>
      <c r="C146" s="2" t="s">
        <v>246</v>
      </c>
      <c r="D146" s="2" t="s">
        <v>252</v>
      </c>
      <c r="E146" s="2" t="s">
        <v>253</v>
      </c>
      <c r="F146" s="66" t="s">
        <v>729</v>
      </c>
      <c r="G146" s="66" t="s">
        <v>729</v>
      </c>
      <c r="H146" s="66" t="s">
        <v>729</v>
      </c>
      <c r="I146" s="69" t="s">
        <v>729</v>
      </c>
      <c r="J146" s="66" t="s">
        <v>729</v>
      </c>
      <c r="K146" s="66" t="s">
        <v>729</v>
      </c>
      <c r="L146" s="19"/>
      <c r="S146" s="64" t="e">
        <f>(N146/(L146+M146))*100</f>
        <v>#DIV/0!</v>
      </c>
      <c r="T146" s="64" t="e">
        <f>(O146/(L146+M146))*100</f>
        <v>#DIV/0!</v>
      </c>
      <c r="U146" s="72" t="e">
        <f>(P146/(L146+M146))*100</f>
        <v>#DIV/0!</v>
      </c>
      <c r="V146" s="2" t="e">
        <f>(Q146/(L146+M146))*100</f>
        <v>#DIV/0!</v>
      </c>
      <c r="W146" s="70" t="e">
        <f>(R146/(L146+M146))*100</f>
        <v>#DIV/0!</v>
      </c>
      <c r="X146" s="2" t="s">
        <v>694</v>
      </c>
    </row>
    <row r="147" spans="1:24" x14ac:dyDescent="0.25">
      <c r="A147" s="2">
        <v>1</v>
      </c>
      <c r="B147" s="2">
        <v>1</v>
      </c>
      <c r="C147" s="2" t="s">
        <v>246</v>
      </c>
      <c r="D147" s="2" t="s">
        <v>252</v>
      </c>
      <c r="E147" s="2" t="s">
        <v>254</v>
      </c>
      <c r="F147" s="66">
        <v>0</v>
      </c>
      <c r="G147" s="66">
        <v>0</v>
      </c>
      <c r="H147" s="66">
        <v>0.79</v>
      </c>
      <c r="I147" s="69">
        <v>0.79</v>
      </c>
      <c r="J147" s="66">
        <v>0</v>
      </c>
      <c r="K147" s="66">
        <v>0.20999999999999996</v>
      </c>
      <c r="L147" s="19">
        <v>0.96740000000000004</v>
      </c>
      <c r="M147" s="2">
        <v>1.105</v>
      </c>
      <c r="N147" s="2">
        <v>314.96120000000002</v>
      </c>
      <c r="O147" s="2">
        <v>69.08</v>
      </c>
      <c r="P147" s="2">
        <v>69.14</v>
      </c>
      <c r="Q147" s="2">
        <v>106.54</v>
      </c>
      <c r="R147" s="2">
        <v>69.17</v>
      </c>
      <c r="S147" s="64">
        <f>(N147/(L147+M147))*100</f>
        <v>15197.896159042657</v>
      </c>
      <c r="T147" s="64">
        <f>(O147/(L147+M147))*100</f>
        <v>3333.3333333333335</v>
      </c>
      <c r="U147" s="72">
        <f>(P147/(L147+M147))*100</f>
        <v>3336.2285273113303</v>
      </c>
      <c r="V147" s="2">
        <f>(Q147/(L147+M147))*100</f>
        <v>5140.8994402624976</v>
      </c>
      <c r="W147" s="70">
        <f>(R147/(L147+M147))*100</f>
        <v>3337.676124300328</v>
      </c>
    </row>
    <row r="148" spans="1:24" x14ac:dyDescent="0.25">
      <c r="A148" s="2">
        <v>2</v>
      </c>
      <c r="B148" s="2">
        <v>2</v>
      </c>
      <c r="C148" s="2" t="s">
        <v>255</v>
      </c>
      <c r="D148" s="2" t="s">
        <v>256</v>
      </c>
      <c r="E148" s="2" t="s">
        <v>257</v>
      </c>
      <c r="F148" s="66">
        <v>0.59</v>
      </c>
      <c r="G148" s="66">
        <v>0.62</v>
      </c>
      <c r="H148" s="66">
        <v>0.19</v>
      </c>
      <c r="I148" s="69">
        <v>0.81</v>
      </c>
      <c r="J148" s="66">
        <v>0</v>
      </c>
      <c r="K148" s="66">
        <v>0.18999999999999995</v>
      </c>
      <c r="L148" s="19">
        <v>5.7882999999999996</v>
      </c>
      <c r="M148" s="2">
        <v>0</v>
      </c>
      <c r="N148" s="2">
        <v>459.12</v>
      </c>
      <c r="O148" s="2">
        <v>154.9</v>
      </c>
      <c r="P148" s="2">
        <v>153.32</v>
      </c>
      <c r="Q148" s="2">
        <v>0</v>
      </c>
      <c r="R148" s="2">
        <v>153.63999999999999</v>
      </c>
      <c r="S148" s="64">
        <f>(N148/(L148+M148))*100</f>
        <v>7931.8625503170197</v>
      </c>
      <c r="T148" s="64">
        <f>(O148/(L148+M148))*100</f>
        <v>2676.0879705613052</v>
      </c>
      <c r="U148" s="72">
        <f>(P148/(L148+M148))*100</f>
        <v>2648.7915277369871</v>
      </c>
      <c r="V148" s="2">
        <f>(Q148/(L148+M148))*100</f>
        <v>0</v>
      </c>
      <c r="W148" s="70">
        <f>(R148/(L148+M148))*100</f>
        <v>2654.3199212203926</v>
      </c>
    </row>
    <row r="149" spans="1:24" x14ac:dyDescent="0.25">
      <c r="A149" s="2" t="s">
        <v>727</v>
      </c>
      <c r="B149" s="2">
        <v>1</v>
      </c>
      <c r="C149" s="2" t="s">
        <v>258</v>
      </c>
      <c r="D149" s="2" t="s">
        <v>259</v>
      </c>
      <c r="E149" s="2" t="s">
        <v>260</v>
      </c>
      <c r="F149" s="66">
        <v>0.55000000000000004</v>
      </c>
      <c r="G149" s="66">
        <v>0.55000000000000004</v>
      </c>
      <c r="H149" s="66">
        <v>0.1</v>
      </c>
      <c r="I149" s="69">
        <v>0.65</v>
      </c>
      <c r="J149" s="66">
        <v>0.27</v>
      </c>
      <c r="K149" s="66">
        <v>7.999999999999996E-2</v>
      </c>
      <c r="L149" s="19">
        <v>9.8799999999999999E-2</v>
      </c>
      <c r="M149" s="2">
        <v>0.1741</v>
      </c>
      <c r="N149" s="2">
        <v>183.91</v>
      </c>
      <c r="O149" s="2">
        <v>7.62</v>
      </c>
      <c r="P149" s="2">
        <v>7.64</v>
      </c>
      <c r="Q149" s="2">
        <v>160.61000000000001</v>
      </c>
      <c r="R149" s="2">
        <v>7.61</v>
      </c>
      <c r="S149" s="64">
        <f>(N149/(L149+M149))*100</f>
        <v>67390.985709050932</v>
      </c>
      <c r="T149" s="64">
        <f>(O149/(L149+M149))*100</f>
        <v>2792.2315866617805</v>
      </c>
      <c r="U149" s="72">
        <f>(P149/(L149+M149))*100</f>
        <v>2799.560278490289</v>
      </c>
      <c r="V149" s="2">
        <f>(Q149/(L149+M149))*100</f>
        <v>58853.059728838401</v>
      </c>
      <c r="W149" s="70">
        <f>(R149/(L149+M149))*100</f>
        <v>2788.5672407475263</v>
      </c>
    </row>
    <row r="150" spans="1:24" x14ac:dyDescent="0.25">
      <c r="A150" s="2">
        <v>3</v>
      </c>
      <c r="B150" s="2">
        <v>1</v>
      </c>
      <c r="C150" s="2" t="s">
        <v>258</v>
      </c>
      <c r="D150" s="2" t="s">
        <v>259</v>
      </c>
      <c r="E150" s="2" t="s">
        <v>261</v>
      </c>
      <c r="F150" s="66">
        <v>0.47</v>
      </c>
      <c r="G150" s="66">
        <v>0.47</v>
      </c>
      <c r="H150" s="66">
        <v>0.06</v>
      </c>
      <c r="I150" s="69">
        <v>0.53</v>
      </c>
      <c r="J150" s="66">
        <v>0.41</v>
      </c>
      <c r="K150" s="66">
        <v>0.06</v>
      </c>
      <c r="L150" s="19">
        <v>9.01E-2</v>
      </c>
      <c r="M150" s="2">
        <v>0.2039</v>
      </c>
      <c r="N150" s="2">
        <v>130.86000000000001</v>
      </c>
      <c r="O150" s="2">
        <v>7.42</v>
      </c>
      <c r="P150" s="2">
        <v>7.43</v>
      </c>
      <c r="Q150" s="2">
        <v>108.53</v>
      </c>
      <c r="R150" s="2">
        <v>7.41</v>
      </c>
      <c r="S150" s="64">
        <f>(N150/(L150+M150))*100</f>
        <v>44510.204081632663</v>
      </c>
      <c r="T150" s="64">
        <f>(O150/(L150+M150))*100</f>
        <v>2523.8095238095239</v>
      </c>
      <c r="U150" s="72">
        <f>(P150/(L150+M150))*100</f>
        <v>2527.2108843537417</v>
      </c>
      <c r="V150" s="2">
        <f>(Q150/(L150+M150))*100</f>
        <v>36914.965986394564</v>
      </c>
      <c r="W150" s="70">
        <f>(R150/(L150+M150))*100</f>
        <v>2520.4081632653065</v>
      </c>
    </row>
    <row r="151" spans="1:24" x14ac:dyDescent="0.25">
      <c r="A151" s="2">
        <v>2</v>
      </c>
      <c r="B151" s="2">
        <v>1</v>
      </c>
      <c r="C151" s="2" t="s">
        <v>258</v>
      </c>
      <c r="D151" s="2" t="s">
        <v>259</v>
      </c>
      <c r="E151" s="2" t="s">
        <v>262</v>
      </c>
      <c r="F151" s="66">
        <v>0</v>
      </c>
      <c r="G151" s="66">
        <v>0</v>
      </c>
      <c r="H151" s="66">
        <v>0</v>
      </c>
      <c r="I151" s="69">
        <v>0</v>
      </c>
      <c r="J151" s="66">
        <v>1</v>
      </c>
      <c r="K151" s="66">
        <v>0</v>
      </c>
      <c r="L151" s="19">
        <v>0.17050000000000001</v>
      </c>
      <c r="M151" s="2">
        <v>0.64980000000000004</v>
      </c>
      <c r="N151" s="2">
        <v>529.6</v>
      </c>
      <c r="O151" s="2">
        <v>41.04</v>
      </c>
      <c r="P151" s="2">
        <v>41.48</v>
      </c>
      <c r="Q151" s="2">
        <v>404.35</v>
      </c>
      <c r="R151" s="2">
        <v>41.72</v>
      </c>
      <c r="S151" s="64">
        <f>(N151/(L151+M151))*100</f>
        <v>64561.745702791668</v>
      </c>
      <c r="T151" s="64">
        <f>(O151/(L151+M151))*100</f>
        <v>5003.0476654882359</v>
      </c>
      <c r="U151" s="72">
        <f>(P151/(L151+M151))*100</f>
        <v>5056.6865780811895</v>
      </c>
      <c r="V151" s="2">
        <f>(Q151/(L151+M151))*100</f>
        <v>49292.94160672924</v>
      </c>
      <c r="W151" s="70">
        <f>(R151/(L151+M151))*100</f>
        <v>5085.9441667682549</v>
      </c>
    </row>
    <row r="152" spans="1:24" x14ac:dyDescent="0.25">
      <c r="A152" s="2">
        <v>2</v>
      </c>
      <c r="B152" s="2">
        <v>1</v>
      </c>
      <c r="C152" s="2" t="s">
        <v>258</v>
      </c>
      <c r="D152" s="2" t="s">
        <v>259</v>
      </c>
      <c r="E152" s="2" t="s">
        <v>263</v>
      </c>
      <c r="F152" s="66">
        <v>0.24</v>
      </c>
      <c r="G152" s="66">
        <v>0.24</v>
      </c>
      <c r="H152" s="66">
        <v>0</v>
      </c>
      <c r="I152" s="69">
        <v>0.24</v>
      </c>
      <c r="J152" s="66">
        <v>0.75</v>
      </c>
      <c r="K152" s="66">
        <v>1.0000000000000009E-2</v>
      </c>
      <c r="L152" s="19">
        <v>0.1027</v>
      </c>
      <c r="M152" s="2">
        <v>0.80059999999999998</v>
      </c>
      <c r="N152" s="19">
        <v>144.04</v>
      </c>
      <c r="O152" s="2">
        <v>30.1</v>
      </c>
      <c r="P152" s="2">
        <v>30.07</v>
      </c>
      <c r="Q152" s="2">
        <v>53.78</v>
      </c>
      <c r="R152" s="2">
        <v>30.1</v>
      </c>
      <c r="S152" s="64">
        <f>(N152/(L152+M152))*100</f>
        <v>15945.975866268129</v>
      </c>
      <c r="T152" s="64">
        <f>(O152/(L152+M152))*100</f>
        <v>3332.2262814125984</v>
      </c>
      <c r="U152" s="72">
        <f>(P152/(L152+M152))*100</f>
        <v>3328.9051256503931</v>
      </c>
      <c r="V152" s="2">
        <f>(Q152/(L152+M152))*100</f>
        <v>5953.7252297132736</v>
      </c>
      <c r="W152" s="70">
        <f>(R152/(L152+M152))*100</f>
        <v>3332.2262814125984</v>
      </c>
    </row>
    <row r="153" spans="1:24" x14ac:dyDescent="0.25">
      <c r="A153" s="2">
        <v>2</v>
      </c>
      <c r="B153" s="2">
        <v>1</v>
      </c>
      <c r="C153" s="2" t="s">
        <v>258</v>
      </c>
      <c r="D153" s="2" t="s">
        <v>259</v>
      </c>
      <c r="E153" s="2" t="s">
        <v>264</v>
      </c>
      <c r="F153" s="66">
        <v>0.17</v>
      </c>
      <c r="G153" s="66">
        <v>0.17</v>
      </c>
      <c r="H153" s="66">
        <v>0.05</v>
      </c>
      <c r="I153" s="69">
        <v>0.22</v>
      </c>
      <c r="J153" s="66">
        <v>0.63</v>
      </c>
      <c r="K153" s="66">
        <v>0.15000000000000002</v>
      </c>
      <c r="L153" s="19">
        <v>0.12470000000000001</v>
      </c>
      <c r="M153" s="2">
        <v>0.50729999999999997</v>
      </c>
      <c r="N153" s="2">
        <v>854.72</v>
      </c>
      <c r="O153" s="2">
        <v>29.45</v>
      </c>
      <c r="P153" s="2">
        <v>29.42</v>
      </c>
      <c r="Q153" s="2">
        <v>764.49</v>
      </c>
      <c r="R153" s="2">
        <v>29.46</v>
      </c>
      <c r="S153" s="64">
        <f>(N153/(L153+M153))*100</f>
        <v>135240.50632911391</v>
      </c>
      <c r="T153" s="64">
        <f>(O153/(L153+M153))*100</f>
        <v>4659.8101265822788</v>
      </c>
      <c r="U153" s="72">
        <f>(P153/(L153+M153))*100</f>
        <v>4655.0632911392404</v>
      </c>
      <c r="V153" s="2">
        <f>(Q153/(L153+M153))*100</f>
        <v>120963.60759493671</v>
      </c>
      <c r="W153" s="70">
        <f>(R153/(L153+M153))*100</f>
        <v>4661.3924050632913</v>
      </c>
    </row>
    <row r="154" spans="1:24" x14ac:dyDescent="0.25">
      <c r="A154" s="2" t="s">
        <v>725</v>
      </c>
      <c r="B154" s="2" t="s">
        <v>725</v>
      </c>
      <c r="C154" s="2" t="s">
        <v>258</v>
      </c>
      <c r="D154" s="2" t="s">
        <v>259</v>
      </c>
      <c r="E154" s="2" t="s">
        <v>265</v>
      </c>
      <c r="F154" s="66">
        <v>0.1</v>
      </c>
      <c r="G154" s="66">
        <v>0.1</v>
      </c>
      <c r="H154" s="66">
        <v>7.0000000000000007E-2</v>
      </c>
      <c r="I154" s="69">
        <v>0.17</v>
      </c>
      <c r="J154" s="66">
        <v>0.81</v>
      </c>
      <c r="K154" s="66">
        <v>1.9999999999999907E-2</v>
      </c>
      <c r="L154" s="19">
        <v>8.9499999999999996E-2</v>
      </c>
      <c r="M154" s="2">
        <v>0.49309999999999998</v>
      </c>
      <c r="N154" s="19">
        <v>689.79</v>
      </c>
      <c r="O154" s="2">
        <v>23.92</v>
      </c>
      <c r="P154" s="2">
        <v>23.44</v>
      </c>
      <c r="Q154" s="2">
        <v>600.16</v>
      </c>
      <c r="R154" s="2">
        <v>23.99</v>
      </c>
      <c r="S154" s="64">
        <f>(N154/(L154+M154))*100</f>
        <v>118398.55818743563</v>
      </c>
      <c r="T154" s="64">
        <f>(O154/(L154+M154))*100</f>
        <v>4105.732921386887</v>
      </c>
      <c r="U154" s="72">
        <f>(P154/(L154+M154))*100</f>
        <v>4023.3436319945076</v>
      </c>
      <c r="V154" s="2">
        <f>(Q154/(L154+M154))*100</f>
        <v>103014.07483693786</v>
      </c>
      <c r="W154" s="70">
        <f>(R154/(L154+M154))*100</f>
        <v>4117.748026089941</v>
      </c>
    </row>
    <row r="155" spans="1:24" x14ac:dyDescent="0.25">
      <c r="A155" s="2">
        <v>2</v>
      </c>
      <c r="B155" s="2">
        <v>1</v>
      </c>
      <c r="C155" s="2" t="s">
        <v>258</v>
      </c>
      <c r="D155" s="2" t="s">
        <v>259</v>
      </c>
      <c r="E155" s="2" t="s">
        <v>266</v>
      </c>
      <c r="F155" s="66">
        <v>0.41</v>
      </c>
      <c r="G155" s="66">
        <v>0.41</v>
      </c>
      <c r="H155" s="66">
        <v>0.1</v>
      </c>
      <c r="I155" s="69">
        <v>0.51</v>
      </c>
      <c r="J155" s="66">
        <v>0.41</v>
      </c>
      <c r="K155" s="66">
        <v>8.0000000000000016E-2</v>
      </c>
      <c r="L155" s="19">
        <v>9.9199999999999997E-2</v>
      </c>
      <c r="M155" s="2">
        <v>0.8921</v>
      </c>
      <c r="N155" s="2">
        <v>162.93</v>
      </c>
      <c r="O155" s="2">
        <v>33.049999999999997</v>
      </c>
      <c r="P155" s="2">
        <v>33.06</v>
      </c>
      <c r="Q155" s="2">
        <v>62.91</v>
      </c>
      <c r="R155" s="2">
        <v>33.07</v>
      </c>
      <c r="S155" s="64">
        <f>(N155/(L155+M155))*100</f>
        <v>16435.993140320792</v>
      </c>
      <c r="T155" s="64">
        <f>(O155/(L155+M155))*100</f>
        <v>3334.0058509028545</v>
      </c>
      <c r="U155" s="72">
        <f>(P155/(L155+M155))*100</f>
        <v>3335.0146272571374</v>
      </c>
      <c r="V155" s="2">
        <f>(Q155/(L155+M155))*100</f>
        <v>6346.2120447896705</v>
      </c>
      <c r="W155" s="70">
        <f>(R155/(L155+M155))*100</f>
        <v>3336.0234036114193</v>
      </c>
    </row>
    <row r="156" spans="1:24" x14ac:dyDescent="0.25">
      <c r="A156" s="2">
        <v>3</v>
      </c>
      <c r="B156" s="2">
        <v>1</v>
      </c>
      <c r="C156" s="2" t="s">
        <v>267</v>
      </c>
      <c r="D156" s="2" t="s">
        <v>218</v>
      </c>
      <c r="E156" s="2" t="s">
        <v>268</v>
      </c>
      <c r="F156" s="66">
        <v>0.98</v>
      </c>
      <c r="G156" s="66">
        <v>0.98</v>
      </c>
      <c r="H156" s="66">
        <v>0</v>
      </c>
      <c r="I156" s="69">
        <v>0.98</v>
      </c>
      <c r="J156" s="66">
        <v>0</v>
      </c>
      <c r="K156" s="66">
        <v>2.0000000000000018E-2</v>
      </c>
      <c r="L156" s="19">
        <v>3.0000000000000001E-3</v>
      </c>
      <c r="M156" s="2">
        <v>7.22E-2</v>
      </c>
      <c r="N156" s="19">
        <v>16.72</v>
      </c>
      <c r="O156" s="2">
        <v>2.5499999999999998</v>
      </c>
      <c r="P156" s="2">
        <v>2.57</v>
      </c>
      <c r="Q156" s="2">
        <v>8</v>
      </c>
      <c r="R156" s="2">
        <v>2.54</v>
      </c>
      <c r="S156" s="64">
        <f>(N156/(L156+M156))*100</f>
        <v>22234.042553191484</v>
      </c>
      <c r="T156" s="64">
        <f>(O156/(L156+M156))*100</f>
        <v>3390.9574468085102</v>
      </c>
      <c r="U156" s="72">
        <f>(P156/(L156+M156))*100</f>
        <v>3417.5531914893609</v>
      </c>
      <c r="V156" s="2">
        <f>(Q156/(L156+M156))*100</f>
        <v>10638.297872340425</v>
      </c>
      <c r="W156" s="70">
        <f>(R156/(L156+M156))*100</f>
        <v>3377.6595744680849</v>
      </c>
    </row>
    <row r="157" spans="1:24" x14ac:dyDescent="0.25">
      <c r="A157" s="2">
        <v>3</v>
      </c>
      <c r="B157" s="2">
        <v>1</v>
      </c>
      <c r="C157" s="2" t="s">
        <v>267</v>
      </c>
      <c r="D157" s="2" t="s">
        <v>269</v>
      </c>
      <c r="E157" s="2" t="s">
        <v>270</v>
      </c>
      <c r="F157" s="66">
        <v>0.99</v>
      </c>
      <c r="G157" s="66">
        <v>0.99</v>
      </c>
      <c r="H157" s="66">
        <v>0</v>
      </c>
      <c r="I157" s="69">
        <v>0.99</v>
      </c>
      <c r="J157" s="66">
        <v>0</v>
      </c>
      <c r="K157" s="66">
        <v>1.0000000000000009E-2</v>
      </c>
      <c r="L157" s="19">
        <v>2.5000000000000001E-3</v>
      </c>
      <c r="M157" s="2">
        <v>0.1099</v>
      </c>
      <c r="N157" s="19">
        <v>151.88</v>
      </c>
      <c r="O157" s="2">
        <v>5.28</v>
      </c>
      <c r="P157" s="2">
        <v>5.28</v>
      </c>
      <c r="Q157" s="2">
        <v>130.76</v>
      </c>
      <c r="R157" s="2">
        <v>5.29</v>
      </c>
      <c r="S157" s="64">
        <f>(N157/(L157+M157))*100</f>
        <v>135124.55516014234</v>
      </c>
      <c r="T157" s="64">
        <f>(O157/(L157+M157))*100</f>
        <v>4697.5088967971533</v>
      </c>
      <c r="U157" s="72">
        <f>(P157/(L157+M157))*100</f>
        <v>4697.5088967971533</v>
      </c>
      <c r="V157" s="2">
        <f>(Q157/(L157+M157))*100</f>
        <v>116334.51957295372</v>
      </c>
      <c r="W157" s="70">
        <f>(R157/(L157+M157))*100</f>
        <v>4706.4056939501779</v>
      </c>
    </row>
    <row r="158" spans="1:24" x14ac:dyDescent="0.25">
      <c r="A158" s="2" t="s">
        <v>724</v>
      </c>
      <c r="B158" s="2" t="s">
        <v>724</v>
      </c>
      <c r="C158" s="2" t="s">
        <v>267</v>
      </c>
      <c r="D158" s="2" t="s">
        <v>269</v>
      </c>
      <c r="E158" s="2" t="s">
        <v>271</v>
      </c>
      <c r="F158" s="66" t="s">
        <v>729</v>
      </c>
      <c r="G158" s="66" t="s">
        <v>729</v>
      </c>
      <c r="H158" s="66" t="s">
        <v>729</v>
      </c>
      <c r="I158" s="69" t="s">
        <v>729</v>
      </c>
      <c r="J158" s="66" t="s">
        <v>729</v>
      </c>
      <c r="K158" s="66" t="s">
        <v>729</v>
      </c>
      <c r="L158" s="19">
        <v>4.1000000000000003E-3</v>
      </c>
      <c r="M158" s="2">
        <v>4.9700000000000001E-2</v>
      </c>
      <c r="O158" s="2">
        <v>0</v>
      </c>
      <c r="P158" s="2">
        <v>0</v>
      </c>
      <c r="Q158" s="2">
        <v>0</v>
      </c>
      <c r="R158" s="2">
        <v>0</v>
      </c>
      <c r="S158" s="64">
        <f>(N158/(L158+M158))*100</f>
        <v>0</v>
      </c>
      <c r="T158" s="64">
        <f>(O158/(L158+M158))*100</f>
        <v>0</v>
      </c>
      <c r="U158" s="72">
        <f>(P158/(L158+M158))*100</f>
        <v>0</v>
      </c>
      <c r="V158" s="2">
        <f>(Q158/(L158+M158))*100</f>
        <v>0</v>
      </c>
      <c r="W158" s="70">
        <f>(R158/(L158+M158))*100</f>
        <v>0</v>
      </c>
      <c r="X158" s="2" t="s">
        <v>677</v>
      </c>
    </row>
    <row r="159" spans="1:24" x14ac:dyDescent="0.25">
      <c r="A159" s="2">
        <v>3</v>
      </c>
      <c r="B159" s="2">
        <v>1</v>
      </c>
      <c r="C159" s="2" t="s">
        <v>267</v>
      </c>
      <c r="D159" s="2" t="s">
        <v>269</v>
      </c>
      <c r="E159" s="2" t="s">
        <v>272</v>
      </c>
      <c r="F159" s="66">
        <v>1</v>
      </c>
      <c r="G159" s="66">
        <v>1</v>
      </c>
      <c r="H159" s="66">
        <v>0</v>
      </c>
      <c r="I159" s="69">
        <v>1</v>
      </c>
      <c r="J159" s="66">
        <v>0</v>
      </c>
      <c r="K159" s="66">
        <v>0</v>
      </c>
      <c r="L159" s="19">
        <v>3.5000000000000001E-3</v>
      </c>
      <c r="M159" s="2">
        <v>5.0099999999999999E-2</v>
      </c>
      <c r="N159" s="19">
        <v>64.45</v>
      </c>
      <c r="O159" s="2">
        <v>2.21</v>
      </c>
      <c r="P159" s="2">
        <v>2.21</v>
      </c>
      <c r="Q159" s="2">
        <v>57.76</v>
      </c>
      <c r="R159" s="2">
        <v>2.23</v>
      </c>
      <c r="S159" s="64">
        <f>(N159/(L159+M159))*100</f>
        <v>120242.53731343283</v>
      </c>
      <c r="T159" s="64">
        <f>(O159/(L159+M159))*100</f>
        <v>4123.1343283582082</v>
      </c>
      <c r="U159" s="72">
        <f>(P159/(L159+M159))*100</f>
        <v>4123.1343283582082</v>
      </c>
      <c r="V159" s="2">
        <f>(Q159/(L159+M159))*100</f>
        <v>107761.19402985073</v>
      </c>
      <c r="W159" s="70">
        <f>(R159/(L159+M159))*100</f>
        <v>4160.4477611940292</v>
      </c>
    </row>
    <row r="160" spans="1:24" x14ac:dyDescent="0.25">
      <c r="A160" s="2">
        <v>3</v>
      </c>
      <c r="B160" s="2">
        <v>1</v>
      </c>
      <c r="C160" s="2" t="s">
        <v>267</v>
      </c>
      <c r="D160" s="2" t="s">
        <v>269</v>
      </c>
      <c r="E160" s="2" t="s">
        <v>273</v>
      </c>
      <c r="F160" s="66">
        <v>0.65</v>
      </c>
      <c r="G160" s="66">
        <v>0.65</v>
      </c>
      <c r="H160" s="66">
        <v>0.22</v>
      </c>
      <c r="I160" s="69">
        <v>0.87</v>
      </c>
      <c r="J160" s="66">
        <v>0</v>
      </c>
      <c r="K160" s="66">
        <v>0.13</v>
      </c>
      <c r="L160" s="19">
        <v>4.0000000000000001E-3</v>
      </c>
      <c r="M160" s="2">
        <v>9.11E-2</v>
      </c>
      <c r="N160" s="19">
        <v>105.21</v>
      </c>
      <c r="O160" s="2">
        <v>5.47</v>
      </c>
      <c r="P160" s="2">
        <v>5.49</v>
      </c>
      <c r="Q160" s="2">
        <v>88.77</v>
      </c>
      <c r="R160" s="2">
        <v>5.45</v>
      </c>
      <c r="S160" s="64">
        <f>(N160/(L160+M160))*100</f>
        <v>110630.91482649841</v>
      </c>
      <c r="T160" s="64">
        <f>(O160/(L160+M160))*100</f>
        <v>5751.8401682439535</v>
      </c>
      <c r="U160" s="72">
        <f>(P160/(L160+M160))*100</f>
        <v>5772.8706624605675</v>
      </c>
      <c r="V160" s="2">
        <f>(Q160/(L160+M160))*100</f>
        <v>93343.848580441641</v>
      </c>
      <c r="W160" s="70">
        <f>(R160/(L160+M160))*100</f>
        <v>5730.8096740273395</v>
      </c>
    </row>
    <row r="161" spans="1:23" x14ac:dyDescent="0.25">
      <c r="A161" s="2">
        <v>3</v>
      </c>
      <c r="B161" s="2">
        <v>1</v>
      </c>
      <c r="C161" s="2" t="s">
        <v>267</v>
      </c>
      <c r="D161" s="2" t="s">
        <v>269</v>
      </c>
      <c r="E161" s="2" t="s">
        <v>274</v>
      </c>
      <c r="F161" s="66">
        <v>0.13</v>
      </c>
      <c r="G161" s="66">
        <v>0.13</v>
      </c>
      <c r="H161" s="66">
        <v>0.64</v>
      </c>
      <c r="I161" s="69">
        <v>0.77</v>
      </c>
      <c r="J161" s="66">
        <v>0</v>
      </c>
      <c r="K161" s="66">
        <v>0.22999999999999998</v>
      </c>
      <c r="L161" s="19">
        <v>3.3999999999999998E-3</v>
      </c>
      <c r="M161" s="2">
        <v>8.72E-2</v>
      </c>
      <c r="N161" s="2">
        <v>204.47</v>
      </c>
      <c r="O161" s="2">
        <v>5.94</v>
      </c>
      <c r="P161" s="2">
        <v>5.97</v>
      </c>
      <c r="Q161" s="2">
        <v>195.52</v>
      </c>
      <c r="R161" s="2">
        <v>5.96</v>
      </c>
      <c r="S161" s="64">
        <f>(N161/(L161+M161))*100</f>
        <v>225684.32671081676</v>
      </c>
      <c r="T161" s="64">
        <f>(O161/(L161+M161))*100</f>
        <v>6556.2913907284765</v>
      </c>
      <c r="U161" s="72">
        <f>(P161/(L161+M161))*100</f>
        <v>6589.4039735099341</v>
      </c>
      <c r="V161" s="2">
        <f>(Q161/(L161+M161))*100</f>
        <v>215805.7395143488</v>
      </c>
      <c r="W161" s="70">
        <f>(R161/(L161+M161))*100</f>
        <v>6578.3664459161146</v>
      </c>
    </row>
    <row r="162" spans="1:23" x14ac:dyDescent="0.25">
      <c r="A162" s="2">
        <v>3</v>
      </c>
      <c r="B162" s="2">
        <v>1</v>
      </c>
      <c r="C162" s="2" t="s">
        <v>267</v>
      </c>
      <c r="D162" s="2" t="s">
        <v>269</v>
      </c>
      <c r="E162" s="2" t="s">
        <v>275</v>
      </c>
      <c r="F162" s="66">
        <v>0.69</v>
      </c>
      <c r="G162" s="66">
        <v>0.69</v>
      </c>
      <c r="H162" s="66">
        <v>0.15</v>
      </c>
      <c r="I162" s="69">
        <v>0.84</v>
      </c>
      <c r="J162" s="66">
        <v>0</v>
      </c>
      <c r="K162" s="66">
        <v>0.16000000000000003</v>
      </c>
      <c r="L162" s="19">
        <v>3.0999999999999999E-3</v>
      </c>
      <c r="M162" s="2">
        <v>6.8099999999999994E-2</v>
      </c>
      <c r="N162" s="19">
        <v>125.93</v>
      </c>
      <c r="O162" s="2">
        <v>5.42</v>
      </c>
      <c r="P162" s="2">
        <v>5.46</v>
      </c>
      <c r="Q162" s="2">
        <v>103.77</v>
      </c>
      <c r="R162" s="2">
        <v>5.46</v>
      </c>
      <c r="S162" s="64">
        <f>(N162/(L162+M162))*100</f>
        <v>176867.97752808992</v>
      </c>
      <c r="T162" s="64">
        <f>(O162/(L162+M162))*100</f>
        <v>7612.3595505617968</v>
      </c>
      <c r="U162" s="72">
        <f>(P162/(L162+M162))*100</f>
        <v>7668.5393258426966</v>
      </c>
      <c r="V162" s="2">
        <f>(Q162/(L162+M162))*100</f>
        <v>145744.38202247189</v>
      </c>
      <c r="W162" s="70">
        <f>(R162/(L162+M162))*100</f>
        <v>7668.5393258426966</v>
      </c>
    </row>
    <row r="163" spans="1:23" x14ac:dyDescent="0.25">
      <c r="A163" s="2">
        <v>3</v>
      </c>
      <c r="B163" s="2">
        <v>1</v>
      </c>
      <c r="C163" s="2" t="s">
        <v>267</v>
      </c>
      <c r="D163" s="2" t="s">
        <v>269</v>
      </c>
      <c r="E163" s="2" t="s">
        <v>276</v>
      </c>
      <c r="F163" s="66">
        <v>0.47</v>
      </c>
      <c r="G163" s="66">
        <v>0.47</v>
      </c>
      <c r="H163" s="66">
        <v>0.33</v>
      </c>
      <c r="I163" s="69">
        <v>0.8</v>
      </c>
      <c r="J163" s="66">
        <v>0</v>
      </c>
      <c r="K163" s="66">
        <v>0.19999999999999996</v>
      </c>
      <c r="L163" s="19">
        <v>2.7000000000000001E-3</v>
      </c>
      <c r="M163" s="2">
        <v>4.87E-2</v>
      </c>
      <c r="N163" s="19">
        <v>259.05</v>
      </c>
      <c r="O163" s="2">
        <v>3.05</v>
      </c>
      <c r="P163" s="2">
        <v>3.03</v>
      </c>
      <c r="Q163" s="2">
        <v>244.17</v>
      </c>
      <c r="R163" s="2">
        <v>3.04</v>
      </c>
      <c r="S163" s="64">
        <f>(N163/(L163+M163))*100</f>
        <v>503988.32684824901</v>
      </c>
      <c r="T163" s="64">
        <f>(O163/(L163+M163))*100</f>
        <v>5933.8521400778209</v>
      </c>
      <c r="U163" s="72">
        <f>(P163/(L163+M163))*100</f>
        <v>5894.9416342412451</v>
      </c>
      <c r="V163" s="2">
        <f>(Q163/(L163+M163))*100</f>
        <v>475038.91050583654</v>
      </c>
      <c r="W163" s="70">
        <f>(R163/(L163+M163))*100</f>
        <v>5914.3968871595325</v>
      </c>
    </row>
    <row r="164" spans="1:23" x14ac:dyDescent="0.25">
      <c r="A164" s="2">
        <v>3</v>
      </c>
      <c r="B164" s="2">
        <v>1</v>
      </c>
      <c r="C164" s="2" t="s">
        <v>267</v>
      </c>
      <c r="D164" s="2" t="s">
        <v>269</v>
      </c>
      <c r="E164" s="2" t="s">
        <v>277</v>
      </c>
      <c r="F164" s="66">
        <v>0.23</v>
      </c>
      <c r="G164" s="66">
        <v>0.23</v>
      </c>
      <c r="H164" s="66">
        <v>0.7</v>
      </c>
      <c r="I164" s="69">
        <v>0.93</v>
      </c>
      <c r="J164" s="66">
        <v>0</v>
      </c>
      <c r="K164" s="66">
        <v>6.9999999999999951E-2</v>
      </c>
      <c r="L164" s="19">
        <v>2.3E-3</v>
      </c>
      <c r="M164" s="2">
        <v>8.3099999999999993E-2</v>
      </c>
      <c r="N164" s="2">
        <v>36.11</v>
      </c>
      <c r="O164" s="2">
        <v>2.86</v>
      </c>
      <c r="P164" s="2">
        <v>2.87</v>
      </c>
      <c r="Q164" s="2">
        <v>28.15</v>
      </c>
      <c r="R164" s="2">
        <v>2.88</v>
      </c>
      <c r="S164" s="64">
        <f>(N164/(L164+M164))*100</f>
        <v>42283.372365339586</v>
      </c>
      <c r="T164" s="64">
        <f>(O164/(L164+M164))*100</f>
        <v>3348.946135831382</v>
      </c>
      <c r="U164" s="72">
        <f>(P164/(L164+M164))*100</f>
        <v>3360.6557377049185</v>
      </c>
      <c r="V164" s="2">
        <f>(Q164/(L164+M164))*100</f>
        <v>32962.529274004686</v>
      </c>
      <c r="W164" s="70">
        <f>(R164/(L164+M164))*100</f>
        <v>3372.3653395784545</v>
      </c>
    </row>
    <row r="165" spans="1:23" x14ac:dyDescent="0.25">
      <c r="A165" s="2">
        <v>2</v>
      </c>
      <c r="B165" s="2">
        <v>1</v>
      </c>
      <c r="C165" s="2" t="s">
        <v>267</v>
      </c>
      <c r="D165" s="2" t="s">
        <v>12</v>
      </c>
      <c r="E165" s="2" t="s">
        <v>278</v>
      </c>
      <c r="F165" s="66">
        <v>1</v>
      </c>
      <c r="G165" s="66">
        <v>1</v>
      </c>
      <c r="H165" s="66">
        <v>0</v>
      </c>
      <c r="I165" s="69">
        <v>1</v>
      </c>
      <c r="J165" s="66">
        <v>0</v>
      </c>
      <c r="K165" s="66">
        <v>0</v>
      </c>
      <c r="L165" s="19">
        <v>2.5000000000000001E-3</v>
      </c>
      <c r="M165" s="2">
        <v>6.2399999999999997E-2</v>
      </c>
      <c r="N165" s="19">
        <v>223.79</v>
      </c>
      <c r="O165" s="2">
        <v>6.59</v>
      </c>
      <c r="P165" s="2">
        <v>6.59</v>
      </c>
      <c r="Q165" s="2">
        <v>182.27</v>
      </c>
      <c r="R165" s="2">
        <v>6.59</v>
      </c>
      <c r="S165" s="64">
        <f>(N165/(L165+M165))*100</f>
        <v>344822.80431432975</v>
      </c>
      <c r="T165" s="64">
        <f>(O165/(L165+M165))*100</f>
        <v>10154.083204930663</v>
      </c>
      <c r="U165" s="72">
        <f>(P165/(L165+M165))*100</f>
        <v>10154.083204930663</v>
      </c>
      <c r="V165" s="2">
        <f>(Q165/(L165+M165))*100</f>
        <v>280847.45762711868</v>
      </c>
      <c r="W165" s="70">
        <f>(R165/(L165+M165))*100</f>
        <v>10154.083204930663</v>
      </c>
    </row>
    <row r="166" spans="1:23" x14ac:dyDescent="0.25">
      <c r="A166" s="2">
        <v>2</v>
      </c>
      <c r="B166" s="2">
        <v>1</v>
      </c>
      <c r="C166" s="2" t="s">
        <v>267</v>
      </c>
      <c r="D166" s="2" t="s">
        <v>12</v>
      </c>
      <c r="E166" s="2" t="s">
        <v>279</v>
      </c>
      <c r="F166" s="66">
        <v>0.85</v>
      </c>
      <c r="G166" s="66">
        <v>0.85</v>
      </c>
      <c r="H166" s="66">
        <v>0.04</v>
      </c>
      <c r="I166" s="69">
        <v>0.89</v>
      </c>
      <c r="J166" s="66">
        <v>0</v>
      </c>
      <c r="K166" s="66">
        <v>0.10999999999999999</v>
      </c>
      <c r="L166" s="19">
        <v>4.5999999999999999E-3</v>
      </c>
      <c r="M166" s="2">
        <v>3.8699999999999998E-2</v>
      </c>
      <c r="N166" s="2">
        <v>51.56</v>
      </c>
      <c r="O166" s="2">
        <v>3.43</v>
      </c>
      <c r="P166" s="2">
        <v>3.48</v>
      </c>
      <c r="Q166" s="2">
        <v>41.54</v>
      </c>
      <c r="R166" s="2">
        <v>3.43</v>
      </c>
      <c r="S166" s="64">
        <f>(N166/(L166+M166))*100</f>
        <v>119076.21247113166</v>
      </c>
      <c r="T166" s="64">
        <f>(O166/(L166+M166))*100</f>
        <v>7921.4780600461909</v>
      </c>
      <c r="U166" s="72">
        <f>(P166/(L166+M166))*100</f>
        <v>8036.9515011547346</v>
      </c>
      <c r="V166" s="2">
        <f>(Q166/(L166+M166))*100</f>
        <v>95935.33487297922</v>
      </c>
      <c r="W166" s="70">
        <f>(R166/(L166+M166))*100</f>
        <v>7921.4780600461909</v>
      </c>
    </row>
    <row r="167" spans="1:23" x14ac:dyDescent="0.25">
      <c r="A167" s="2">
        <v>2</v>
      </c>
      <c r="B167" s="2">
        <v>1</v>
      </c>
      <c r="C167" s="2" t="s">
        <v>267</v>
      </c>
      <c r="D167" s="2" t="s">
        <v>12</v>
      </c>
      <c r="E167" s="2" t="s">
        <v>280</v>
      </c>
      <c r="F167" s="66">
        <v>1</v>
      </c>
      <c r="G167" s="66">
        <v>1</v>
      </c>
      <c r="H167" s="66">
        <v>0</v>
      </c>
      <c r="I167" s="69">
        <v>1</v>
      </c>
      <c r="J167" s="66">
        <v>0</v>
      </c>
      <c r="K167" s="66">
        <v>0</v>
      </c>
      <c r="L167" s="19">
        <v>2.5999999999999999E-3</v>
      </c>
      <c r="M167" s="2">
        <v>7.5600000000000001E-2</v>
      </c>
      <c r="N167" s="19">
        <v>283.31</v>
      </c>
      <c r="O167" s="2">
        <v>2.79</v>
      </c>
      <c r="P167" s="2">
        <v>2.8</v>
      </c>
      <c r="Q167" s="2">
        <v>286.95999999999998</v>
      </c>
      <c r="R167" s="2">
        <v>2.81</v>
      </c>
      <c r="S167" s="64">
        <f>(N167/(L167+M167))*100</f>
        <v>362289.00255754474</v>
      </c>
      <c r="T167" s="64">
        <f>(O167/(L167+M167))*100</f>
        <v>3567.7749360613811</v>
      </c>
      <c r="U167" s="72">
        <f>(P167/(L167+M167))*100</f>
        <v>3580.5626598465465</v>
      </c>
      <c r="V167" s="2">
        <f>(Q167/(L167+M167))*100</f>
        <v>366956.52173913037</v>
      </c>
      <c r="W167" s="70">
        <f>(R167/(L167+M167))*100</f>
        <v>3593.3503836317136</v>
      </c>
    </row>
    <row r="168" spans="1:23" x14ac:dyDescent="0.25">
      <c r="A168" s="2">
        <v>3</v>
      </c>
      <c r="B168" s="2">
        <v>1</v>
      </c>
      <c r="C168" s="2" t="s">
        <v>267</v>
      </c>
      <c r="D168" s="2" t="s">
        <v>12</v>
      </c>
      <c r="E168" s="2" t="s">
        <v>281</v>
      </c>
      <c r="F168" s="66">
        <v>1</v>
      </c>
      <c r="G168" s="66">
        <v>1</v>
      </c>
      <c r="H168" s="66">
        <v>0</v>
      </c>
      <c r="I168" s="69">
        <v>1</v>
      </c>
      <c r="J168" s="66">
        <v>0</v>
      </c>
      <c r="K168" s="66">
        <v>0</v>
      </c>
      <c r="L168" s="19">
        <v>4.7999999999999996E-3</v>
      </c>
      <c r="M168" s="2">
        <v>4.9799999999999997E-2</v>
      </c>
      <c r="N168" s="19">
        <v>523.30999999999995</v>
      </c>
      <c r="O168" s="2">
        <v>3.92</v>
      </c>
      <c r="P168" s="2">
        <v>3.94</v>
      </c>
      <c r="Q168" s="2">
        <v>461.11</v>
      </c>
      <c r="R168" s="2">
        <v>3.98</v>
      </c>
      <c r="S168" s="64">
        <f>(N168/(L168+M168))*100</f>
        <v>958443.2234432234</v>
      </c>
      <c r="T168" s="64">
        <f>(O168/(L168+M168))*100</f>
        <v>7179.4871794871797</v>
      </c>
      <c r="U168" s="72">
        <f>(P168/(L168+M168))*100</f>
        <v>7216.1172161172162</v>
      </c>
      <c r="V168" s="2">
        <f>(Q168/(L168+M168))*100</f>
        <v>844523.80952380958</v>
      </c>
      <c r="W168" s="70">
        <f>(R168/(L168+M168))*100</f>
        <v>7289.3772893772903</v>
      </c>
    </row>
    <row r="169" spans="1:23" x14ac:dyDescent="0.25">
      <c r="A169" s="2">
        <v>3</v>
      </c>
      <c r="B169" s="2">
        <v>1</v>
      </c>
      <c r="C169" s="2" t="s">
        <v>267</v>
      </c>
      <c r="D169" s="2" t="s">
        <v>12</v>
      </c>
      <c r="E169" s="2" t="s">
        <v>282</v>
      </c>
      <c r="F169" s="66">
        <v>0.92</v>
      </c>
      <c r="G169" s="66">
        <v>0.92</v>
      </c>
      <c r="H169" s="66">
        <v>0.01</v>
      </c>
      <c r="I169" s="69">
        <v>0.93</v>
      </c>
      <c r="J169" s="66">
        <v>0</v>
      </c>
      <c r="K169" s="66">
        <v>6.9999999999999951E-2</v>
      </c>
      <c r="L169" s="19">
        <v>3.5000000000000001E-3</v>
      </c>
      <c r="M169" s="2">
        <v>5.5599999999999997E-2</v>
      </c>
      <c r="N169" s="2">
        <v>317.42</v>
      </c>
      <c r="O169" s="2">
        <v>3.91</v>
      </c>
      <c r="P169" s="2">
        <v>3.93</v>
      </c>
      <c r="Q169" s="2">
        <v>297.7</v>
      </c>
      <c r="R169" s="2">
        <v>3.98</v>
      </c>
      <c r="S169" s="64">
        <f>(N169/(L169+M169))*100</f>
        <v>537089.67851099838</v>
      </c>
      <c r="T169" s="64">
        <f>(O169/(L169+M169))*100</f>
        <v>6615.9052453468703</v>
      </c>
      <c r="U169" s="72">
        <f>(P169/(L169+M169))*100</f>
        <v>6649.7461928934017</v>
      </c>
      <c r="V169" s="2">
        <f>(Q169/(L169+M169))*100</f>
        <v>503722.50423011847</v>
      </c>
      <c r="W169" s="70">
        <f>(R169/(L169+M169))*100</f>
        <v>6734.3485617597298</v>
      </c>
    </row>
    <row r="170" spans="1:23" x14ac:dyDescent="0.25">
      <c r="A170" s="2">
        <v>3</v>
      </c>
      <c r="B170" s="2">
        <v>1</v>
      </c>
      <c r="C170" s="2" t="s">
        <v>267</v>
      </c>
      <c r="D170" s="2" t="s">
        <v>12</v>
      </c>
      <c r="E170" s="2" t="s">
        <v>283</v>
      </c>
      <c r="F170" s="66">
        <v>1</v>
      </c>
      <c r="G170" s="66">
        <v>1</v>
      </c>
      <c r="H170" s="66">
        <v>0</v>
      </c>
      <c r="I170" s="69">
        <v>1</v>
      </c>
      <c r="J170" s="66">
        <v>0</v>
      </c>
      <c r="K170" s="66">
        <v>0</v>
      </c>
      <c r="L170" s="19">
        <v>4.4999999999999997E-3</v>
      </c>
      <c r="M170" s="2">
        <v>7.0400000000000004E-2</v>
      </c>
      <c r="N170" s="2">
        <v>573.01</v>
      </c>
      <c r="O170" s="2">
        <v>6.16</v>
      </c>
      <c r="P170" s="2">
        <v>6.19</v>
      </c>
      <c r="Q170" s="2">
        <v>511.48</v>
      </c>
      <c r="R170" s="2">
        <v>6.18</v>
      </c>
      <c r="S170" s="64">
        <f>(N170/(L170+M170))*100</f>
        <v>765033.37783711602</v>
      </c>
      <c r="T170" s="64">
        <f>(O170/(L170+M170))*100</f>
        <v>8224.2990654205605</v>
      </c>
      <c r="U170" s="72">
        <f>(P170/(L170+M170))*100</f>
        <v>8264.3524699599475</v>
      </c>
      <c r="V170" s="2">
        <f>(Q170/(L170+M170))*100</f>
        <v>682883.84512683575</v>
      </c>
      <c r="W170" s="70">
        <f>(R170/(L170+M170))*100</f>
        <v>8251.0013351134839</v>
      </c>
    </row>
    <row r="171" spans="1:23" x14ac:dyDescent="0.25">
      <c r="A171" s="2">
        <v>3</v>
      </c>
      <c r="B171" s="2">
        <v>1</v>
      </c>
      <c r="C171" s="2" t="s">
        <v>267</v>
      </c>
      <c r="D171" s="2" t="s">
        <v>12</v>
      </c>
      <c r="E171" s="2" t="s">
        <v>284</v>
      </c>
      <c r="F171" s="66">
        <v>1</v>
      </c>
      <c r="G171" s="66">
        <v>1</v>
      </c>
      <c r="H171" s="66">
        <v>0</v>
      </c>
      <c r="I171" s="69">
        <v>1</v>
      </c>
      <c r="J171" s="66">
        <v>0</v>
      </c>
      <c r="K171" s="66">
        <v>0</v>
      </c>
      <c r="L171" s="19">
        <v>3.0999999999999999E-3</v>
      </c>
      <c r="M171" s="2">
        <v>8.9099999999999999E-2</v>
      </c>
      <c r="N171" s="19">
        <v>705.41</v>
      </c>
      <c r="O171" s="2">
        <v>4.07</v>
      </c>
      <c r="P171" s="2">
        <v>4.0599999999999996</v>
      </c>
      <c r="Q171" s="2">
        <v>756.31</v>
      </c>
      <c r="R171" s="2">
        <v>4.13</v>
      </c>
      <c r="S171" s="64">
        <f>(N171/(L171+M171))*100</f>
        <v>765086.76789587841</v>
      </c>
      <c r="T171" s="64">
        <f>(O171/(L171+M171))*100</f>
        <v>4414.3167028199568</v>
      </c>
      <c r="U171" s="72">
        <f>(P171/(L171+M171))*100</f>
        <v>4403.4707158351403</v>
      </c>
      <c r="V171" s="2">
        <f>(Q171/(L171+M171))*100</f>
        <v>820292.84164859005</v>
      </c>
      <c r="W171" s="70">
        <f>(R171/(L171+M171))*100</f>
        <v>4479.39262472885</v>
      </c>
    </row>
    <row r="172" spans="1:23" x14ac:dyDescent="0.25">
      <c r="A172" s="2">
        <v>3</v>
      </c>
      <c r="B172" s="2" t="s">
        <v>725</v>
      </c>
      <c r="C172" s="2" t="s">
        <v>267</v>
      </c>
      <c r="D172" s="2" t="s">
        <v>12</v>
      </c>
      <c r="E172" s="2" t="s">
        <v>285</v>
      </c>
      <c r="F172" s="66">
        <v>0.88</v>
      </c>
      <c r="G172" s="66">
        <v>0.88</v>
      </c>
      <c r="H172" s="66">
        <v>0.05</v>
      </c>
      <c r="I172" s="69">
        <v>0.93</v>
      </c>
      <c r="J172" s="66">
        <v>0</v>
      </c>
      <c r="K172" s="66">
        <v>6.9999999999999951E-2</v>
      </c>
      <c r="L172" s="19">
        <v>3.3E-3</v>
      </c>
      <c r="M172" s="2">
        <v>2.93E-2</v>
      </c>
      <c r="N172" s="19">
        <v>1597.1</v>
      </c>
      <c r="O172" s="2">
        <v>22.45</v>
      </c>
      <c r="P172" s="2">
        <v>22.56</v>
      </c>
      <c r="Q172" s="2">
        <v>1449.78</v>
      </c>
      <c r="R172" s="2">
        <v>22.42</v>
      </c>
      <c r="S172" s="64">
        <f>(N172/(L172+M172))*100</f>
        <v>4899079.7546012271</v>
      </c>
      <c r="T172" s="64">
        <f>(O172/(L172+M172))*100</f>
        <v>68865.030674846625</v>
      </c>
      <c r="U172" s="72">
        <f>(P172/(L172+M172))*100</f>
        <v>69202.45398773007</v>
      </c>
      <c r="V172" s="2">
        <f>(Q172/(L172+M172))*100</f>
        <v>4447177.9141104296</v>
      </c>
      <c r="W172" s="70">
        <f>(R172/(L172+M172))*100</f>
        <v>68773.006134969342</v>
      </c>
    </row>
    <row r="173" spans="1:23" x14ac:dyDescent="0.25">
      <c r="A173" s="2">
        <v>2</v>
      </c>
      <c r="B173" s="2">
        <v>1</v>
      </c>
      <c r="C173" s="2" t="s">
        <v>267</v>
      </c>
      <c r="D173" s="2" t="s">
        <v>12</v>
      </c>
      <c r="E173" s="2" t="s">
        <v>286</v>
      </c>
      <c r="F173" s="66">
        <v>0.79</v>
      </c>
      <c r="G173" s="66">
        <v>0.79</v>
      </c>
      <c r="H173" s="66">
        <v>0.19</v>
      </c>
      <c r="I173" s="69">
        <v>0.98</v>
      </c>
      <c r="J173" s="66">
        <v>0</v>
      </c>
      <c r="K173" s="66">
        <v>2.0000000000000018E-2</v>
      </c>
      <c r="L173" s="19">
        <v>2.8000000000000001E-2</v>
      </c>
      <c r="M173" s="2">
        <v>9.7100000000000006E-2</v>
      </c>
      <c r="N173" s="2">
        <v>92.76</v>
      </c>
      <c r="O173" s="2">
        <v>6.71</v>
      </c>
      <c r="P173" s="2">
        <v>6.7</v>
      </c>
      <c r="Q173" s="2">
        <v>71.58</v>
      </c>
      <c r="R173" s="2">
        <v>6.71</v>
      </c>
      <c r="S173" s="64">
        <f>(N173/(L173+M173))*100</f>
        <v>74148.681055155874</v>
      </c>
      <c r="T173" s="64">
        <f>(O173/(L173+M173))*100</f>
        <v>5363.7090327737806</v>
      </c>
      <c r="U173" s="72">
        <f>(P173/(L173+M173))*100</f>
        <v>5355.7154276578731</v>
      </c>
      <c r="V173" s="2">
        <f>(Q173/(L173+M173))*100</f>
        <v>57218.225419664261</v>
      </c>
      <c r="W173" s="70">
        <f>(R173/(L173+M173))*100</f>
        <v>5363.7090327737806</v>
      </c>
    </row>
    <row r="174" spans="1:23" x14ac:dyDescent="0.25">
      <c r="A174" s="2">
        <v>2</v>
      </c>
      <c r="B174" s="2">
        <v>1</v>
      </c>
      <c r="C174" s="2" t="s">
        <v>602</v>
      </c>
      <c r="D174" s="2" t="s">
        <v>123</v>
      </c>
      <c r="E174" s="2" t="s">
        <v>603</v>
      </c>
      <c r="F174" s="66">
        <v>0</v>
      </c>
      <c r="G174" s="66">
        <v>0</v>
      </c>
      <c r="H174" s="66">
        <v>0.89</v>
      </c>
      <c r="I174" s="69">
        <v>0.89</v>
      </c>
      <c r="J174" s="66">
        <v>0</v>
      </c>
      <c r="K174" s="66">
        <v>0.10999999999999999</v>
      </c>
      <c r="L174" s="19">
        <v>0.87949999999999995</v>
      </c>
      <c r="M174" s="2">
        <v>2.5840000000000001</v>
      </c>
      <c r="N174" s="2">
        <v>1034.75</v>
      </c>
      <c r="O174" s="2">
        <v>115.76</v>
      </c>
      <c r="P174" s="2">
        <v>115.82</v>
      </c>
      <c r="Q174" s="2">
        <v>687.73</v>
      </c>
      <c r="R174" s="2">
        <v>115.44</v>
      </c>
      <c r="S174" s="64">
        <f>(N174/(L174+M174))*100</f>
        <v>29875.848130503829</v>
      </c>
      <c r="T174" s="64">
        <f>(O174/(L174+M174))*100</f>
        <v>3342.2838169481743</v>
      </c>
      <c r="U174" s="72">
        <f>(P174/(L174+M174))*100</f>
        <v>3344.0161686155625</v>
      </c>
      <c r="V174" s="2">
        <f>(Q174/(L174+M174))*100</f>
        <v>19856.503536884658</v>
      </c>
      <c r="W174" s="70">
        <f>(R174/(L174+M174))*100</f>
        <v>3333.0446080554352</v>
      </c>
    </row>
    <row r="175" spans="1:23" x14ac:dyDescent="0.25">
      <c r="A175" s="2">
        <v>1</v>
      </c>
      <c r="B175" s="2">
        <v>1</v>
      </c>
      <c r="C175" s="2" t="s">
        <v>287</v>
      </c>
      <c r="D175" s="2" t="s">
        <v>288</v>
      </c>
      <c r="E175" s="2" t="s">
        <v>289</v>
      </c>
      <c r="F175" s="66">
        <v>0.17</v>
      </c>
      <c r="G175" s="66">
        <v>0.17</v>
      </c>
      <c r="H175" s="66">
        <v>0</v>
      </c>
      <c r="I175" s="69">
        <v>0.17</v>
      </c>
      <c r="J175" s="66">
        <v>0</v>
      </c>
      <c r="K175" s="66">
        <v>0.83</v>
      </c>
      <c r="L175" s="19">
        <v>6.0000000000000001E-3</v>
      </c>
      <c r="M175" s="2">
        <v>0.87319999999999998</v>
      </c>
      <c r="N175" s="2">
        <v>115.36</v>
      </c>
      <c r="O175" s="2">
        <v>29.15</v>
      </c>
      <c r="P175" s="2">
        <v>29.16</v>
      </c>
      <c r="Q175" s="2">
        <v>29.16</v>
      </c>
      <c r="R175" s="2">
        <v>29.14</v>
      </c>
      <c r="S175" s="64">
        <f>(N175/(L175+M175))*100</f>
        <v>13121.019108280254</v>
      </c>
      <c r="T175" s="64">
        <f>(O175/(L175+M175))*100</f>
        <v>3315.5141037306644</v>
      </c>
      <c r="U175" s="72">
        <f>(P175/(L175+M175))*100</f>
        <v>3316.6515013648768</v>
      </c>
      <c r="V175" s="2">
        <f>(Q175/(L175+M175))*100</f>
        <v>3316.6515013648768</v>
      </c>
      <c r="W175" s="70">
        <f>(R175/(L175+M175))*100</f>
        <v>3314.3767060964515</v>
      </c>
    </row>
    <row r="176" spans="1:23" x14ac:dyDescent="0.25">
      <c r="A176" s="2">
        <v>1</v>
      </c>
      <c r="B176" s="2">
        <v>1</v>
      </c>
      <c r="C176" s="2" t="s">
        <v>287</v>
      </c>
      <c r="D176" s="2" t="s">
        <v>288</v>
      </c>
      <c r="E176" s="2" t="s">
        <v>290</v>
      </c>
      <c r="F176" s="66">
        <v>0.49</v>
      </c>
      <c r="G176" s="66">
        <v>0.49</v>
      </c>
      <c r="H176" s="66">
        <v>0</v>
      </c>
      <c r="I176" s="69">
        <v>0.49</v>
      </c>
      <c r="J176" s="66">
        <v>0</v>
      </c>
      <c r="K176" s="66">
        <v>0.51</v>
      </c>
      <c r="L176" s="19">
        <v>4.7999999999999996E-3</v>
      </c>
      <c r="M176" s="2">
        <v>0.50109999999999999</v>
      </c>
      <c r="N176" s="2">
        <v>232.33</v>
      </c>
      <c r="O176" s="2">
        <v>17.57</v>
      </c>
      <c r="P176" s="2">
        <v>17.57</v>
      </c>
      <c r="Q176" s="2">
        <v>180.98</v>
      </c>
      <c r="R176" s="2">
        <v>17.559999999999999</v>
      </c>
      <c r="S176" s="64">
        <f>(N176/(L176+M176))*100</f>
        <v>45924.095671081246</v>
      </c>
      <c r="T176" s="64">
        <f>(O176/(L176+M176))*100</f>
        <v>3473.01838307966</v>
      </c>
      <c r="U176" s="72">
        <f>(P176/(L176+M176))*100</f>
        <v>3473.01838307966</v>
      </c>
      <c r="V176" s="2">
        <f>(Q176/(L176+M176))*100</f>
        <v>35773.868353429527</v>
      </c>
      <c r="W176" s="70">
        <f>(R176/(L176+M176))*100</f>
        <v>3471.0417078474002</v>
      </c>
    </row>
    <row r="177" spans="1:24" x14ac:dyDescent="0.25">
      <c r="A177" s="2">
        <v>1</v>
      </c>
      <c r="B177" s="2">
        <v>2</v>
      </c>
      <c r="C177" s="2" t="s">
        <v>287</v>
      </c>
      <c r="D177" s="2" t="s">
        <v>288</v>
      </c>
      <c r="E177" s="2" t="s">
        <v>291</v>
      </c>
      <c r="F177" s="66">
        <v>0.38</v>
      </c>
      <c r="G177" s="66">
        <v>0.38</v>
      </c>
      <c r="H177" s="66">
        <v>0</v>
      </c>
      <c r="I177" s="69">
        <v>0.38</v>
      </c>
      <c r="J177" s="66">
        <v>0</v>
      </c>
      <c r="K177" s="66">
        <v>0.62</v>
      </c>
      <c r="L177" s="19">
        <v>3.7000000000000002E-3</v>
      </c>
      <c r="M177" s="2">
        <v>0.99719999999999998</v>
      </c>
      <c r="N177" s="2">
        <v>73.878</v>
      </c>
      <c r="O177" s="2">
        <v>29.55</v>
      </c>
      <c r="P177" s="2">
        <v>30.9</v>
      </c>
      <c r="Q177" s="2">
        <v>0</v>
      </c>
      <c r="R177" s="2">
        <v>14.79</v>
      </c>
      <c r="S177" s="64">
        <f>(N177/(L177+M177))*100</f>
        <v>7381.1569587371368</v>
      </c>
      <c r="T177" s="64">
        <f>(O177/(L177+M177))*100</f>
        <v>2952.3428913977423</v>
      </c>
      <c r="U177" s="72">
        <f>(P177/(L177+M177))*100</f>
        <v>3087.2215006494157</v>
      </c>
      <c r="V177" s="2">
        <f>(Q177/(L177+M177))*100</f>
        <v>0</v>
      </c>
      <c r="W177" s="70">
        <f>(R177/(L177+M177))*100</f>
        <v>1477.6700969127785</v>
      </c>
    </row>
    <row r="178" spans="1:24" x14ac:dyDescent="0.25">
      <c r="A178" s="2" t="s">
        <v>724</v>
      </c>
      <c r="B178" s="2">
        <v>1</v>
      </c>
      <c r="C178" s="2" t="s">
        <v>287</v>
      </c>
      <c r="D178" s="2" t="s">
        <v>288</v>
      </c>
      <c r="E178" s="2" t="s">
        <v>292</v>
      </c>
      <c r="F178" s="66">
        <v>0.56999999999999995</v>
      </c>
      <c r="G178" s="66">
        <v>0.56999999999999995</v>
      </c>
      <c r="H178" s="66">
        <v>0</v>
      </c>
      <c r="I178" s="69">
        <v>0.56999999999999995</v>
      </c>
      <c r="J178" s="66">
        <v>0</v>
      </c>
      <c r="K178" s="66">
        <v>0.43000000000000005</v>
      </c>
      <c r="L178" s="19">
        <v>4.1000000000000003E-3</v>
      </c>
      <c r="M178" s="2">
        <v>0.7</v>
      </c>
      <c r="N178" s="2">
        <v>34.47</v>
      </c>
      <c r="O178" s="2">
        <v>18.12</v>
      </c>
      <c r="P178" s="2">
        <v>18.02</v>
      </c>
      <c r="Q178" s="2">
        <v>0</v>
      </c>
      <c r="R178" s="2">
        <v>0</v>
      </c>
      <c r="S178" s="64">
        <f>(N178/(L178+M178))*100</f>
        <v>4895.6114188325519</v>
      </c>
      <c r="T178" s="64">
        <f>(O178/(L178+M178))*100</f>
        <v>2573.4980826587139</v>
      </c>
      <c r="U178" s="72">
        <f>(P178/(L178+M178))*100</f>
        <v>2559.2955546087205</v>
      </c>
      <c r="V178" s="2">
        <f>(Q178/(L178+M178))*100</f>
        <v>0</v>
      </c>
      <c r="W178" s="70">
        <f>(R178/(L178+M178))*100</f>
        <v>0</v>
      </c>
    </row>
    <row r="179" spans="1:24" x14ac:dyDescent="0.25">
      <c r="A179" s="2">
        <v>1</v>
      </c>
      <c r="B179" s="2">
        <v>2</v>
      </c>
      <c r="C179" s="2" t="s">
        <v>293</v>
      </c>
      <c r="D179" s="2" t="s">
        <v>294</v>
      </c>
      <c r="E179" s="2" t="s">
        <v>295</v>
      </c>
      <c r="F179" s="66">
        <v>0.84</v>
      </c>
      <c r="G179" s="66">
        <v>0.95</v>
      </c>
      <c r="H179" s="66">
        <v>0.1</v>
      </c>
      <c r="I179" s="69">
        <v>0.95</v>
      </c>
      <c r="J179" s="66">
        <v>0</v>
      </c>
      <c r="K179" s="66">
        <v>5.0000000000000044E-2</v>
      </c>
      <c r="L179" s="19">
        <v>1.8314999999999999</v>
      </c>
      <c r="M179" s="2">
        <v>3.9100000000000003E-2</v>
      </c>
      <c r="N179" s="2">
        <v>212.4</v>
      </c>
      <c r="O179" s="2">
        <v>62.39</v>
      </c>
      <c r="P179" s="2">
        <v>62.35</v>
      </c>
      <c r="Q179" s="2">
        <v>25.28</v>
      </c>
      <c r="R179" s="19">
        <v>62.27</v>
      </c>
      <c r="S179" s="64">
        <f>(N179/(L179+M179))*100</f>
        <v>11354.645568266867</v>
      </c>
      <c r="T179" s="64">
        <f>(O179/(L179+M179))*100</f>
        <v>3335.2934887201968</v>
      </c>
      <c r="U179" s="72">
        <f>(P179/(L179+M179))*100</f>
        <v>3333.1551373890734</v>
      </c>
      <c r="V179" s="2">
        <f>(Q179/(L179+M179))*100</f>
        <v>1351.438041270181</v>
      </c>
      <c r="W179" s="70">
        <f>(R179/(L179+M179))*100</f>
        <v>3328.8784347268261</v>
      </c>
    </row>
    <row r="180" spans="1:24" x14ac:dyDescent="0.25">
      <c r="A180" s="2">
        <v>1</v>
      </c>
      <c r="B180" s="2">
        <v>1</v>
      </c>
      <c r="C180" s="2" t="s">
        <v>296</v>
      </c>
      <c r="D180" s="2" t="s">
        <v>297</v>
      </c>
      <c r="E180" s="2" t="s">
        <v>298</v>
      </c>
      <c r="F180" s="66" t="s">
        <v>729</v>
      </c>
      <c r="G180" s="66" t="s">
        <v>729</v>
      </c>
      <c r="H180" s="66" t="s">
        <v>729</v>
      </c>
      <c r="I180" s="69">
        <v>0</v>
      </c>
      <c r="J180" s="66">
        <v>1</v>
      </c>
      <c r="K180" s="66">
        <v>0</v>
      </c>
      <c r="L180" s="19">
        <v>0.27650000000000002</v>
      </c>
      <c r="M180" s="2">
        <v>5.7000000000000002E-3</v>
      </c>
      <c r="N180" s="2">
        <v>62.713099999999997</v>
      </c>
      <c r="O180" s="2">
        <v>9.44</v>
      </c>
      <c r="P180" s="2">
        <v>9.42</v>
      </c>
      <c r="Q180" s="2">
        <v>34.9</v>
      </c>
      <c r="R180" s="2">
        <v>9.42</v>
      </c>
      <c r="S180" s="64">
        <f>(N180/(L180+M180))*100</f>
        <v>22222.927002126151</v>
      </c>
      <c r="T180" s="64">
        <f>(O180/(L180+M180))*100</f>
        <v>3345.1452870304747</v>
      </c>
      <c r="U180" s="72">
        <f>(P180/(L180+M180))*100</f>
        <v>3338.0581148121896</v>
      </c>
      <c r="V180" s="2">
        <f>(Q180/(L180+M180))*100</f>
        <v>12367.115520907157</v>
      </c>
      <c r="W180" s="70">
        <f>(R180/(L180+M180))*100</f>
        <v>3338.0581148121896</v>
      </c>
      <c r="X180" s="2" t="s">
        <v>689</v>
      </c>
    </row>
    <row r="181" spans="1:24" x14ac:dyDescent="0.25">
      <c r="A181" s="2" t="s">
        <v>724</v>
      </c>
      <c r="B181" s="2">
        <v>1</v>
      </c>
      <c r="C181" s="2" t="s">
        <v>299</v>
      </c>
      <c r="D181" s="2" t="s">
        <v>300</v>
      </c>
      <c r="E181" s="2" t="s">
        <v>301</v>
      </c>
      <c r="F181" s="66">
        <v>0.06</v>
      </c>
      <c r="G181" s="66">
        <v>0.99</v>
      </c>
      <c r="H181" s="66">
        <v>0.87</v>
      </c>
      <c r="I181" s="69">
        <v>0.99</v>
      </c>
      <c r="J181" s="66">
        <v>0</v>
      </c>
      <c r="K181" s="66">
        <v>1.0000000000000009E-2</v>
      </c>
      <c r="L181" s="19">
        <v>0.214</v>
      </c>
      <c r="M181" s="2">
        <v>1.2065999999999999</v>
      </c>
      <c r="N181" s="2">
        <v>85.18</v>
      </c>
      <c r="O181" s="2">
        <v>43.71</v>
      </c>
      <c r="P181" s="2">
        <v>44.05</v>
      </c>
      <c r="Q181" s="2">
        <v>0</v>
      </c>
      <c r="R181" s="2">
        <v>0</v>
      </c>
      <c r="S181" s="64">
        <f>(N181/(L181+M181))*100</f>
        <v>5996.058003660426</v>
      </c>
      <c r="T181" s="64">
        <f>(O181/(L181+M181))*100</f>
        <v>3076.8689286217095</v>
      </c>
      <c r="U181" s="72">
        <f>(P181/(L181+M181))*100</f>
        <v>3100.8024778262707</v>
      </c>
      <c r="V181" s="2">
        <f>(Q181/(L181+M181))*100</f>
        <v>0</v>
      </c>
      <c r="W181" s="70">
        <f>(R181/(L181+M181))*100</f>
        <v>0</v>
      </c>
    </row>
    <row r="182" spans="1:24" x14ac:dyDescent="0.25">
      <c r="A182" s="2">
        <v>3</v>
      </c>
      <c r="B182" s="2">
        <v>1</v>
      </c>
      <c r="C182" s="2" t="s">
        <v>299</v>
      </c>
      <c r="D182" s="2" t="s">
        <v>300</v>
      </c>
      <c r="E182" s="2" t="s">
        <v>302</v>
      </c>
      <c r="F182" s="66">
        <v>0.02</v>
      </c>
      <c r="G182" s="66">
        <v>0.71</v>
      </c>
      <c r="H182" s="66">
        <v>0.64</v>
      </c>
      <c r="I182" s="69">
        <v>0.71</v>
      </c>
      <c r="J182" s="66">
        <v>0</v>
      </c>
      <c r="K182" s="66">
        <v>0.29000000000000004</v>
      </c>
      <c r="L182" s="19">
        <v>0.31059999999999999</v>
      </c>
      <c r="M182" s="2">
        <v>1.5102</v>
      </c>
      <c r="N182" s="2">
        <v>430.41</v>
      </c>
      <c r="O182" s="2">
        <v>30.64</v>
      </c>
      <c r="P182" s="2">
        <v>60.8</v>
      </c>
      <c r="Q182" s="2">
        <v>251.35</v>
      </c>
      <c r="R182" s="2">
        <v>60.57</v>
      </c>
      <c r="S182" s="64">
        <f>(N182/(L182+M182))*100</f>
        <v>23638.510544815465</v>
      </c>
      <c r="T182" s="64">
        <f>(O182/(L182+M182))*100</f>
        <v>1682.7768014059752</v>
      </c>
      <c r="U182" s="72">
        <f>(P182/(L182+M182))*100</f>
        <v>3339.1915641476276</v>
      </c>
      <c r="V182" s="2">
        <f>(Q182/(L182+M182))*100</f>
        <v>13804.371704745168</v>
      </c>
      <c r="W182" s="70">
        <f>(R182/(L182+M182))*100</f>
        <v>3326.559753954306</v>
      </c>
    </row>
    <row r="183" spans="1:24" x14ac:dyDescent="0.25">
      <c r="A183" s="2">
        <v>3</v>
      </c>
      <c r="B183" s="2">
        <v>1</v>
      </c>
      <c r="C183" s="2" t="s">
        <v>303</v>
      </c>
      <c r="D183" s="2" t="s">
        <v>304</v>
      </c>
      <c r="E183" s="2" t="s">
        <v>305</v>
      </c>
      <c r="F183" s="66">
        <v>0.09</v>
      </c>
      <c r="G183" s="66">
        <v>0.09</v>
      </c>
      <c r="H183" s="66">
        <v>0</v>
      </c>
      <c r="I183" s="69">
        <v>0.09</v>
      </c>
      <c r="J183" s="66">
        <v>0.91</v>
      </c>
      <c r="K183" s="66">
        <v>0</v>
      </c>
      <c r="L183" s="19">
        <v>5.5500000000000001E-2</v>
      </c>
      <c r="M183" s="2">
        <v>1.3028999999999999</v>
      </c>
      <c r="N183" s="19">
        <v>667.61</v>
      </c>
      <c r="O183" s="2">
        <v>52.43</v>
      </c>
      <c r="P183" s="2">
        <v>51.79</v>
      </c>
      <c r="Q183" s="2">
        <v>504.7</v>
      </c>
      <c r="R183" s="2">
        <v>54.38</v>
      </c>
      <c r="S183" s="64">
        <f>(N183/(L183+M183))*100</f>
        <v>49146.790341578329</v>
      </c>
      <c r="T183" s="64">
        <f>(O183/(L183+M183))*100</f>
        <v>3859.6878680800942</v>
      </c>
      <c r="U183" s="72">
        <f>(P183/(L183+M183))*100</f>
        <v>3812.5736160188453</v>
      </c>
      <c r="V183" s="2">
        <f>(Q183/(L183+M183))*100</f>
        <v>37154.004711425208</v>
      </c>
      <c r="W183" s="70">
        <f>(R183/(L183+M183))*100</f>
        <v>4003.2391048292111</v>
      </c>
    </row>
    <row r="184" spans="1:24" x14ac:dyDescent="0.25">
      <c r="A184" s="2">
        <v>1</v>
      </c>
      <c r="B184" s="2">
        <v>2</v>
      </c>
      <c r="C184" s="2" t="s">
        <v>303</v>
      </c>
      <c r="D184" s="2" t="s">
        <v>304</v>
      </c>
      <c r="E184" s="2" t="s">
        <v>306</v>
      </c>
      <c r="F184" s="66">
        <v>6.6037735849056603E-2</v>
      </c>
      <c r="G184" s="66">
        <v>6.6037735849056603E-2</v>
      </c>
      <c r="H184" s="66">
        <v>0</v>
      </c>
      <c r="I184" s="69">
        <v>6.6037735849056603E-2</v>
      </c>
      <c r="J184" s="66">
        <v>0.93396226415094341</v>
      </c>
      <c r="K184" s="66">
        <v>0</v>
      </c>
      <c r="L184" s="19">
        <v>0.1328</v>
      </c>
      <c r="M184" s="2">
        <v>1.1257999999999999</v>
      </c>
      <c r="N184" s="2">
        <v>191.55</v>
      </c>
      <c r="O184" s="2">
        <v>42.04</v>
      </c>
      <c r="P184" s="2">
        <v>42.98</v>
      </c>
      <c r="Q184" s="2">
        <v>59.26</v>
      </c>
      <c r="R184" s="2">
        <v>42.9</v>
      </c>
      <c r="S184" s="64">
        <f>(N184/(L184+M184))*100</f>
        <v>15219.291276020977</v>
      </c>
      <c r="T184" s="64">
        <f>(O184/(L184+M184))*100</f>
        <v>3340.2192912760215</v>
      </c>
      <c r="U184" s="72">
        <f>(P184/(L184+M184))*100</f>
        <v>3414.9054505005561</v>
      </c>
      <c r="V184" s="2">
        <f>(Q184/(L184+M184))*100</f>
        <v>4708.4061655808046</v>
      </c>
      <c r="W184" s="70">
        <f>(R184/(L184+M184))*100</f>
        <v>3408.5491816303829</v>
      </c>
    </row>
    <row r="185" spans="1:24" x14ac:dyDescent="0.25">
      <c r="A185" s="2" t="s">
        <v>724</v>
      </c>
      <c r="B185" s="2">
        <v>2</v>
      </c>
      <c r="C185" s="2" t="s">
        <v>303</v>
      </c>
      <c r="D185" s="2" t="s">
        <v>304</v>
      </c>
      <c r="E185" s="2" t="s">
        <v>307</v>
      </c>
      <c r="F185" s="66">
        <v>0.06</v>
      </c>
      <c r="G185" s="66">
        <v>0.06</v>
      </c>
      <c r="H185" s="66">
        <v>0</v>
      </c>
      <c r="I185" s="69">
        <v>0.06</v>
      </c>
      <c r="J185" s="66">
        <v>0.94</v>
      </c>
      <c r="K185" s="66">
        <v>0</v>
      </c>
      <c r="L185" s="19">
        <v>5.8999999999999997E-2</v>
      </c>
      <c r="M185" s="2">
        <v>1.411</v>
      </c>
      <c r="N185" s="2">
        <v>61.9</v>
      </c>
      <c r="O185" s="2">
        <v>30.95</v>
      </c>
      <c r="P185" s="2">
        <v>28.36</v>
      </c>
      <c r="Q185" s="2">
        <v>0</v>
      </c>
      <c r="R185" s="2">
        <v>0</v>
      </c>
      <c r="S185" s="64">
        <f>(N185/(L185+M185))*100</f>
        <v>4210.8843537414959</v>
      </c>
      <c r="T185" s="64">
        <f>(O185/(L185+M185))*100</f>
        <v>2105.442176870748</v>
      </c>
      <c r="U185" s="72">
        <f>(P185/(L185+M185))*100</f>
        <v>1929.2517006802723</v>
      </c>
      <c r="V185" s="2">
        <f>(Q185/(L185+M185))*100</f>
        <v>0</v>
      </c>
      <c r="W185" s="70">
        <f>(R185/(L185+M185))*100</f>
        <v>0</v>
      </c>
    </row>
    <row r="186" spans="1:24" x14ac:dyDescent="0.25">
      <c r="A186" s="2">
        <v>2</v>
      </c>
      <c r="B186" s="2">
        <v>2</v>
      </c>
      <c r="C186" s="2" t="s">
        <v>303</v>
      </c>
      <c r="D186" s="2" t="s">
        <v>304</v>
      </c>
      <c r="E186" s="2" t="s">
        <v>308</v>
      </c>
      <c r="F186" s="66">
        <v>0.08</v>
      </c>
      <c r="G186" s="66">
        <v>0.08</v>
      </c>
      <c r="H186" s="66">
        <v>0</v>
      </c>
      <c r="I186" s="69">
        <v>0.08</v>
      </c>
      <c r="J186" s="66">
        <v>0.92</v>
      </c>
      <c r="K186" s="66">
        <v>0</v>
      </c>
      <c r="L186" s="19">
        <v>3.73E-2</v>
      </c>
      <c r="M186" s="2">
        <v>0.98719999999999997</v>
      </c>
      <c r="N186" s="19">
        <v>194.01499999999999</v>
      </c>
      <c r="O186" s="2">
        <v>33.450000000000003</v>
      </c>
      <c r="P186" s="2">
        <v>34.340000000000003</v>
      </c>
      <c r="Q186" s="2">
        <v>81.239999999999995</v>
      </c>
      <c r="R186" s="2">
        <v>34.130000000000003</v>
      </c>
      <c r="S186" s="64">
        <f>(N186/(L186+M186))*100</f>
        <v>18937.530502684236</v>
      </c>
      <c r="T186" s="64">
        <f>(O186/(L186+M186))*100</f>
        <v>3265.0073206442171</v>
      </c>
      <c r="U186" s="72">
        <f>(P186/(L186+M186))*100</f>
        <v>3351.8789653489512</v>
      </c>
      <c r="V186" s="2">
        <f>(Q186/(L186+M186))*100</f>
        <v>7929.7218155197652</v>
      </c>
      <c r="W186" s="70">
        <f>(R186/(L186+M186))*100</f>
        <v>3331.381161542216</v>
      </c>
    </row>
    <row r="187" spans="1:24" x14ac:dyDescent="0.25">
      <c r="A187" s="2">
        <v>2</v>
      </c>
      <c r="B187" s="2">
        <v>1</v>
      </c>
      <c r="C187" s="2" t="s">
        <v>303</v>
      </c>
      <c r="D187" s="2" t="s">
        <v>304</v>
      </c>
      <c r="E187" s="2" t="s">
        <v>309</v>
      </c>
      <c r="F187" s="66">
        <v>0.12962962962962962</v>
      </c>
      <c r="G187" s="66">
        <v>0.12962962962962962</v>
      </c>
      <c r="H187" s="66">
        <v>0</v>
      </c>
      <c r="I187" s="69">
        <v>0.12962962962962962</v>
      </c>
      <c r="J187" s="66">
        <v>0.87037037037037035</v>
      </c>
      <c r="K187" s="66">
        <v>0</v>
      </c>
      <c r="L187" s="19">
        <v>0.14829999999999999</v>
      </c>
      <c r="M187" s="2">
        <v>1.1004</v>
      </c>
      <c r="N187" s="2">
        <v>188.73</v>
      </c>
      <c r="O187" s="2">
        <v>41.66</v>
      </c>
      <c r="P187" s="2">
        <v>41.6</v>
      </c>
      <c r="Q187" s="2">
        <v>53.94</v>
      </c>
      <c r="R187" s="2">
        <v>41.61</v>
      </c>
      <c r="S187" s="64">
        <f>(N187/(L187+M187))*100</f>
        <v>15114.118683430768</v>
      </c>
      <c r="T187" s="64">
        <f>(O187/(L187+M187))*100</f>
        <v>3336.26972050933</v>
      </c>
      <c r="U187" s="72">
        <f>(P187/(L187+M187))*100</f>
        <v>3331.464723312245</v>
      </c>
      <c r="V187" s="2">
        <f>(Q187/(L187+M187))*100</f>
        <v>4319.6924801793866</v>
      </c>
      <c r="W187" s="70">
        <f>(R187/(L187+M187))*100</f>
        <v>3332.2655561784259</v>
      </c>
    </row>
    <row r="188" spans="1:24" x14ac:dyDescent="0.25">
      <c r="A188" s="2">
        <v>1</v>
      </c>
      <c r="B188" s="2">
        <v>2</v>
      </c>
      <c r="C188" s="2" t="s">
        <v>310</v>
      </c>
      <c r="D188" s="2" t="s">
        <v>311</v>
      </c>
      <c r="E188" s="2" t="s">
        <v>312</v>
      </c>
      <c r="F188" s="66">
        <v>0</v>
      </c>
      <c r="G188" s="66">
        <v>0</v>
      </c>
      <c r="H188" s="66">
        <v>0.57999999999999996</v>
      </c>
      <c r="I188" s="69">
        <v>0.57999999999999996</v>
      </c>
      <c r="J188" s="66">
        <v>0.34</v>
      </c>
      <c r="K188" s="66">
        <v>8.0000000000000016E-2</v>
      </c>
      <c r="L188" s="19">
        <v>1.7999999999999999E-2</v>
      </c>
      <c r="M188" s="2">
        <v>3.7100000000000001E-2</v>
      </c>
      <c r="N188" s="2">
        <v>14.9763</v>
      </c>
      <c r="O188" s="2">
        <v>1.94</v>
      </c>
      <c r="P188" s="2">
        <v>1.94</v>
      </c>
      <c r="Q188" s="2">
        <v>9.11</v>
      </c>
      <c r="R188" s="2">
        <v>1.92</v>
      </c>
      <c r="S188" s="64">
        <f>(N188/(L188+M188))*100</f>
        <v>27180.217785843921</v>
      </c>
      <c r="T188" s="64">
        <f>(O188/(L188+M188))*100</f>
        <v>3520.8711433756803</v>
      </c>
      <c r="U188" s="72">
        <f>(P188/(L188+M188))*100</f>
        <v>3520.8711433756803</v>
      </c>
      <c r="V188" s="2">
        <f>(Q188/(L188+M188))*100</f>
        <v>16533.575317604358</v>
      </c>
      <c r="W188" s="70">
        <f>(R188/(L188+M188))*100</f>
        <v>3484.5735027223236</v>
      </c>
    </row>
    <row r="189" spans="1:24" x14ac:dyDescent="0.25">
      <c r="A189" s="2" t="s">
        <v>724</v>
      </c>
      <c r="B189" s="2">
        <v>2</v>
      </c>
      <c r="C189" s="2" t="s">
        <v>313</v>
      </c>
      <c r="D189" s="2" t="s">
        <v>314</v>
      </c>
      <c r="E189" s="2" t="s">
        <v>315</v>
      </c>
      <c r="F189" s="66">
        <v>0.01</v>
      </c>
      <c r="G189" s="66">
        <v>0.01</v>
      </c>
      <c r="H189" s="66">
        <v>0.71</v>
      </c>
      <c r="I189" s="69">
        <v>0.72</v>
      </c>
      <c r="J189" s="66">
        <v>0</v>
      </c>
      <c r="K189" s="66">
        <v>0.28000000000000003</v>
      </c>
      <c r="L189" s="19">
        <v>0.26240000000000002</v>
      </c>
      <c r="M189" s="2">
        <v>0.76229999999999998</v>
      </c>
      <c r="N189" s="2">
        <v>4.3392999999999997</v>
      </c>
      <c r="O189" s="2">
        <v>2.11</v>
      </c>
      <c r="P189" s="2">
        <v>2.12</v>
      </c>
      <c r="Q189" s="2">
        <v>0</v>
      </c>
      <c r="R189" s="2">
        <v>0</v>
      </c>
      <c r="S189" s="64">
        <f>(N189/(L189+M189))*100</f>
        <v>423.47028398555676</v>
      </c>
      <c r="T189" s="64">
        <f>(O189/(L189+M189))*100</f>
        <v>205.91392602712989</v>
      </c>
      <c r="U189" s="72">
        <f>(P189/(L189+M189))*100</f>
        <v>206.88982141114477</v>
      </c>
      <c r="V189" s="2">
        <f>(Q189/(L189+M189))*100</f>
        <v>0</v>
      </c>
      <c r="W189" s="70">
        <f>(R189/(L189+M189))*100</f>
        <v>0</v>
      </c>
    </row>
    <row r="190" spans="1:24" x14ac:dyDescent="0.25">
      <c r="A190" s="2">
        <v>1</v>
      </c>
      <c r="B190" s="2">
        <v>2</v>
      </c>
      <c r="C190" s="2" t="s">
        <v>316</v>
      </c>
      <c r="D190" s="2" t="s">
        <v>317</v>
      </c>
      <c r="E190" s="2" t="s">
        <v>318</v>
      </c>
      <c r="F190" s="66">
        <v>0.53</v>
      </c>
      <c r="G190" s="66">
        <v>0.53</v>
      </c>
      <c r="H190" s="66">
        <v>0.17</v>
      </c>
      <c r="I190" s="69">
        <v>0.7</v>
      </c>
      <c r="J190" s="66">
        <v>0.04</v>
      </c>
      <c r="K190" s="66">
        <v>0.26000000000000006</v>
      </c>
      <c r="L190" s="19">
        <v>0.26240000000000002</v>
      </c>
      <c r="M190" s="2">
        <v>0.68279999999999996</v>
      </c>
      <c r="N190" s="2">
        <v>178.86</v>
      </c>
      <c r="O190" s="2">
        <v>31.55</v>
      </c>
      <c r="P190" s="2">
        <v>31.64</v>
      </c>
      <c r="Q190" s="2">
        <v>85.08</v>
      </c>
      <c r="R190" s="2">
        <v>31.49</v>
      </c>
      <c r="S190" s="64">
        <f>(N190/(L190+M190))*100</f>
        <v>18922.979263647907</v>
      </c>
      <c r="T190" s="64">
        <f>(O190/(L190+M190))*100</f>
        <v>3337.9179009733393</v>
      </c>
      <c r="U190" s="72">
        <f>(P190/(L190+M190))*100</f>
        <v>3347.4396953025816</v>
      </c>
      <c r="V190" s="2">
        <f>(Q190/(L190+M190))*100</f>
        <v>9001.2695725772319</v>
      </c>
      <c r="W190" s="70">
        <f>(R190/(L190+M190))*100</f>
        <v>3331.5700380871767</v>
      </c>
    </row>
    <row r="191" spans="1:24" x14ac:dyDescent="0.25">
      <c r="A191" s="2">
        <v>1</v>
      </c>
      <c r="B191" s="2">
        <v>2</v>
      </c>
      <c r="C191" s="2" t="s">
        <v>319</v>
      </c>
      <c r="D191" s="2" t="s">
        <v>320</v>
      </c>
      <c r="E191" s="2" t="s">
        <v>321</v>
      </c>
      <c r="F191" s="66">
        <v>0.70408163265306123</v>
      </c>
      <c r="G191" s="66">
        <v>0.70408163265306123</v>
      </c>
      <c r="H191" s="66">
        <v>0</v>
      </c>
      <c r="I191" s="69">
        <v>0.70408163265306123</v>
      </c>
      <c r="J191" s="66">
        <v>0.29591836734693877</v>
      </c>
      <c r="K191" s="66">
        <v>0</v>
      </c>
      <c r="L191" s="19">
        <v>0.2145</v>
      </c>
      <c r="M191" s="2">
        <v>0.19969999999999999</v>
      </c>
      <c r="N191" s="2">
        <v>116.09</v>
      </c>
      <c r="O191" s="2">
        <v>10.43</v>
      </c>
      <c r="P191" s="2">
        <v>10.61</v>
      </c>
      <c r="Q191" s="2">
        <v>84.97</v>
      </c>
      <c r="R191" s="2">
        <v>10.45</v>
      </c>
      <c r="S191" s="64">
        <f>(N191/(L191+M191))*100</f>
        <v>28027.522935779813</v>
      </c>
      <c r="T191" s="64">
        <f>(O191/(L191+M191))*100</f>
        <v>2518.1071945919844</v>
      </c>
      <c r="U191" s="72">
        <f>(P191/(L191+M191))*100</f>
        <v>2561.5644616127474</v>
      </c>
      <c r="V191" s="2">
        <f>(Q191/(L191+M191))*100</f>
        <v>20514.244326412361</v>
      </c>
      <c r="W191" s="70">
        <f>(R191/(L191+M191))*100</f>
        <v>2522.9357798165138</v>
      </c>
    </row>
    <row r="192" spans="1:24" x14ac:dyDescent="0.25">
      <c r="A192" s="2">
        <v>1</v>
      </c>
      <c r="B192" s="2">
        <v>2</v>
      </c>
      <c r="C192" s="2" t="s">
        <v>319</v>
      </c>
      <c r="D192" s="2" t="s">
        <v>320</v>
      </c>
      <c r="E192" s="2" t="s">
        <v>322</v>
      </c>
      <c r="F192" s="66">
        <v>0.375</v>
      </c>
      <c r="G192" s="66">
        <v>0.375</v>
      </c>
      <c r="H192" s="66">
        <v>0</v>
      </c>
      <c r="I192" s="69">
        <v>0.375</v>
      </c>
      <c r="J192" s="66">
        <v>0.625</v>
      </c>
      <c r="K192" s="66">
        <v>0</v>
      </c>
      <c r="L192" s="19">
        <v>0.111</v>
      </c>
      <c r="M192" s="2">
        <v>0.1532</v>
      </c>
      <c r="N192" s="2">
        <v>859.94</v>
      </c>
      <c r="O192" s="2">
        <v>12.49</v>
      </c>
      <c r="P192" s="2">
        <v>12.72</v>
      </c>
      <c r="Q192" s="2">
        <v>796.46</v>
      </c>
      <c r="R192" s="2">
        <v>12.31</v>
      </c>
      <c r="S192" s="64">
        <f>(N192/(L192+M192))*100</f>
        <v>325488.26646479941</v>
      </c>
      <c r="T192" s="64">
        <f>(O192/(L192+M192))*100</f>
        <v>4727.4791824375479</v>
      </c>
      <c r="U192" s="72">
        <f>(P192/(L192+M192))*100</f>
        <v>4814.5344436033311</v>
      </c>
      <c r="V192" s="2">
        <f>(Q192/(L192+M192))*100</f>
        <v>301461.01438304316</v>
      </c>
      <c r="W192" s="70">
        <f>(R192/(L192+M192))*100</f>
        <v>4659.3489780469345</v>
      </c>
    </row>
    <row r="193" spans="1:24" x14ac:dyDescent="0.25">
      <c r="A193" s="2">
        <v>1</v>
      </c>
      <c r="B193" s="2">
        <v>2</v>
      </c>
      <c r="C193" s="2" t="s">
        <v>319</v>
      </c>
      <c r="D193" s="2" t="s">
        <v>323</v>
      </c>
      <c r="E193" s="2" t="s">
        <v>324</v>
      </c>
      <c r="F193" s="66">
        <v>0.12162162162162163</v>
      </c>
      <c r="G193" s="66">
        <v>0.12162162162162163</v>
      </c>
      <c r="H193" s="66">
        <v>0</v>
      </c>
      <c r="I193" s="69">
        <v>0.12162162162162163</v>
      </c>
      <c r="J193" s="66">
        <v>0.8783783783783784</v>
      </c>
      <c r="K193" s="66">
        <v>0</v>
      </c>
      <c r="L193" s="19">
        <v>6.0600000000000001E-2</v>
      </c>
      <c r="M193" s="2">
        <v>0.14710000000000001</v>
      </c>
      <c r="N193" s="19">
        <v>29.03</v>
      </c>
      <c r="O193" s="2">
        <v>3.59</v>
      </c>
      <c r="P193" s="2">
        <v>3.54</v>
      </c>
      <c r="Q193" s="2">
        <v>16.64</v>
      </c>
      <c r="R193" s="2">
        <v>3.59</v>
      </c>
      <c r="S193" s="64">
        <f>(N193/(L193+M193))*100</f>
        <v>13976.889744824266</v>
      </c>
      <c r="T193" s="64">
        <f>(O193/(L193+M193))*100</f>
        <v>1728.4545016851225</v>
      </c>
      <c r="U193" s="72">
        <f>(P193/(L193+M193))*100</f>
        <v>1704.3813192103996</v>
      </c>
      <c r="V193" s="2">
        <f>(Q193/(L193+M193))*100</f>
        <v>8011.555127587867</v>
      </c>
      <c r="W193" s="70">
        <f>(R193/(L193+M193))*100</f>
        <v>1728.4545016851225</v>
      </c>
    </row>
    <row r="194" spans="1:24" x14ac:dyDescent="0.25">
      <c r="A194" s="2">
        <v>1</v>
      </c>
      <c r="B194" s="2">
        <v>2</v>
      </c>
      <c r="C194" s="2" t="s">
        <v>319</v>
      </c>
      <c r="D194" s="2" t="s">
        <v>323</v>
      </c>
      <c r="E194" s="2" t="s">
        <v>325</v>
      </c>
      <c r="F194" s="66">
        <v>0.11702127659574468</v>
      </c>
      <c r="G194" s="66">
        <v>0.11702127659574468</v>
      </c>
      <c r="H194" s="66">
        <v>0</v>
      </c>
      <c r="I194" s="69">
        <v>0.11702127659574468</v>
      </c>
      <c r="J194" s="66">
        <v>0.88297872340425532</v>
      </c>
      <c r="K194" s="66">
        <v>0</v>
      </c>
      <c r="L194" s="19">
        <v>7.2599999999999998E-2</v>
      </c>
      <c r="M194" s="2">
        <v>0.13109999999999999</v>
      </c>
      <c r="N194" s="19">
        <v>46.42</v>
      </c>
      <c r="O194" s="2">
        <v>3.49</v>
      </c>
      <c r="P194" s="2">
        <v>3.5</v>
      </c>
      <c r="Q194" s="2">
        <v>37.82</v>
      </c>
      <c r="R194" s="2">
        <v>3.43</v>
      </c>
      <c r="S194" s="64">
        <f>(N194/(L194+M194))*100</f>
        <v>22788.41433480609</v>
      </c>
      <c r="T194" s="64">
        <f>(O194/(L194+M194))*100</f>
        <v>1713.3038782523322</v>
      </c>
      <c r="U194" s="72">
        <f>(P194/(L194+M194))*100</f>
        <v>1718.2130584192439</v>
      </c>
      <c r="V194" s="2">
        <f>(Q194/(L194+M194))*100</f>
        <v>18566.519391261663</v>
      </c>
      <c r="W194" s="70">
        <f>(R194/(L194+M194))*100</f>
        <v>1683.8487972508592</v>
      </c>
    </row>
    <row r="195" spans="1:24" x14ac:dyDescent="0.25">
      <c r="A195" s="2">
        <v>1</v>
      </c>
      <c r="B195" s="2">
        <v>2</v>
      </c>
      <c r="C195" s="2" t="s">
        <v>319</v>
      </c>
      <c r="D195" s="2" t="s">
        <v>323</v>
      </c>
      <c r="E195" s="2" t="s">
        <v>326</v>
      </c>
      <c r="F195" s="66">
        <v>0.1125</v>
      </c>
      <c r="G195" s="66">
        <v>0.1125</v>
      </c>
      <c r="H195" s="66">
        <v>0</v>
      </c>
      <c r="I195" s="69">
        <v>0.1125</v>
      </c>
      <c r="J195" s="66">
        <v>0.88749999999999996</v>
      </c>
      <c r="K195" s="66">
        <v>0</v>
      </c>
      <c r="L195" s="19">
        <v>6.7199999999999996E-2</v>
      </c>
      <c r="M195" s="2">
        <v>0.18720000000000001</v>
      </c>
      <c r="N195" s="2">
        <v>73.02</v>
      </c>
      <c r="O195" s="2">
        <v>3.85</v>
      </c>
      <c r="P195" s="2">
        <v>3.8</v>
      </c>
      <c r="Q195" s="2">
        <v>59.65</v>
      </c>
      <c r="R195" s="2">
        <v>3.86</v>
      </c>
      <c r="S195" s="64">
        <f>(N195/(L195+M195))*100</f>
        <v>28702.83018867924</v>
      </c>
      <c r="T195" s="64">
        <f>(O195/(L195+M195))*100</f>
        <v>1513.3647798742138</v>
      </c>
      <c r="U195" s="72">
        <f>(P195/(L195+M195))*100</f>
        <v>1493.7106918238992</v>
      </c>
      <c r="V195" s="2">
        <f>(Q195/(L195+M195))*100</f>
        <v>23447.327044025154</v>
      </c>
      <c r="W195" s="70">
        <f>(R195/(L195+M195))*100</f>
        <v>1517.2955974842766</v>
      </c>
    </row>
    <row r="196" spans="1:24" x14ac:dyDescent="0.25">
      <c r="A196" s="2">
        <v>1</v>
      </c>
      <c r="B196" s="2">
        <v>2</v>
      </c>
      <c r="C196" s="2" t="s">
        <v>319</v>
      </c>
      <c r="D196" s="2" t="s">
        <v>323</v>
      </c>
      <c r="E196" s="2" t="s">
        <v>327</v>
      </c>
      <c r="F196" s="66">
        <v>0.25</v>
      </c>
      <c r="G196" s="66">
        <v>0.25</v>
      </c>
      <c r="H196" s="66">
        <v>0</v>
      </c>
      <c r="I196" s="69">
        <v>0.25</v>
      </c>
      <c r="J196" s="66">
        <v>0.75</v>
      </c>
      <c r="K196" s="66">
        <v>0</v>
      </c>
      <c r="L196" s="19">
        <v>0.1028</v>
      </c>
      <c r="M196" s="2">
        <v>0.10970000000000001</v>
      </c>
      <c r="N196" s="2">
        <v>85.57</v>
      </c>
      <c r="O196" s="2">
        <v>7.71</v>
      </c>
      <c r="P196" s="2">
        <v>7.75</v>
      </c>
      <c r="Q196" s="2">
        <v>64.180000000000007</v>
      </c>
      <c r="R196" s="2">
        <v>7.78</v>
      </c>
      <c r="S196" s="64">
        <f>(N196/(L196+M196))*100</f>
        <v>40268.235294117643</v>
      </c>
      <c r="T196" s="64">
        <f>(O196/(L196+M196))*100</f>
        <v>3628.2352941176468</v>
      </c>
      <c r="U196" s="72">
        <f>(P196/(L196+M196))*100</f>
        <v>3647.0588235294117</v>
      </c>
      <c r="V196" s="2">
        <f>(Q196/(L196+M196))*100</f>
        <v>30202.352941176468</v>
      </c>
      <c r="W196" s="70">
        <f>(R196/(L196+M196))*100</f>
        <v>3661.1764705882351</v>
      </c>
    </row>
    <row r="197" spans="1:24" x14ac:dyDescent="0.25">
      <c r="A197" s="2">
        <v>1</v>
      </c>
      <c r="B197" s="2">
        <v>2</v>
      </c>
      <c r="C197" s="2" t="s">
        <v>319</v>
      </c>
      <c r="D197" s="2" t="s">
        <v>323</v>
      </c>
      <c r="E197" s="2" t="s">
        <v>328</v>
      </c>
      <c r="F197" s="66">
        <v>0.26</v>
      </c>
      <c r="G197" s="66">
        <v>0.26</v>
      </c>
      <c r="H197" s="66">
        <v>0</v>
      </c>
      <c r="I197" s="69">
        <v>0.26</v>
      </c>
      <c r="J197" s="66">
        <v>0.74</v>
      </c>
      <c r="K197" s="66">
        <v>0</v>
      </c>
      <c r="L197" s="19">
        <v>1.0279999999999999E-2</v>
      </c>
      <c r="M197" s="2">
        <v>0.20030000000000001</v>
      </c>
      <c r="N197" s="2">
        <v>64.680000000000007</v>
      </c>
      <c r="O197" s="2">
        <v>10.11</v>
      </c>
      <c r="P197" s="2">
        <v>10.09</v>
      </c>
      <c r="Q197" s="2">
        <v>36.04</v>
      </c>
      <c r="R197" s="2">
        <v>10.16</v>
      </c>
      <c r="S197" s="64">
        <f>(N197/(L197+M197))*100</f>
        <v>30715.167632253775</v>
      </c>
      <c r="T197" s="64">
        <f>(O197/(L197+M197))*100</f>
        <v>4801.0257384366978</v>
      </c>
      <c r="U197" s="72">
        <f>(P197/(L197+M197))*100</f>
        <v>4791.5281603191179</v>
      </c>
      <c r="V197" s="2">
        <f>(Q197/(L197+M197))*100</f>
        <v>17114.63576787919</v>
      </c>
      <c r="W197" s="70">
        <f>(R197/(L197+M197))*100</f>
        <v>4824.7696837306485</v>
      </c>
    </row>
    <row r="198" spans="1:24" x14ac:dyDescent="0.25">
      <c r="A198" s="2">
        <v>1</v>
      </c>
      <c r="B198" s="2">
        <v>2</v>
      </c>
      <c r="C198" s="2" t="s">
        <v>319</v>
      </c>
      <c r="D198" s="2" t="s">
        <v>323</v>
      </c>
      <c r="E198" s="2" t="s">
        <v>329</v>
      </c>
      <c r="F198" s="66">
        <v>0.36274509803921567</v>
      </c>
      <c r="G198" s="66">
        <v>0.36274509803921567</v>
      </c>
      <c r="H198" s="66">
        <v>0</v>
      </c>
      <c r="I198" s="69">
        <v>0.36274509803921567</v>
      </c>
      <c r="J198" s="66">
        <v>0.62745098039215685</v>
      </c>
      <c r="K198" s="66">
        <v>9.8039215686274161E-3</v>
      </c>
      <c r="L198" s="19">
        <v>0.11409999999999999</v>
      </c>
      <c r="M198" s="2">
        <v>0.1671</v>
      </c>
      <c r="N198" s="2">
        <v>56.926000000000002</v>
      </c>
      <c r="O198" s="2">
        <v>9.41</v>
      </c>
      <c r="P198" s="2">
        <v>9.34</v>
      </c>
      <c r="Q198" s="2">
        <v>29.02</v>
      </c>
      <c r="R198" s="2">
        <v>9.43</v>
      </c>
      <c r="S198" s="64">
        <f>(N198/(L198+M198))*100</f>
        <v>20243.954480796587</v>
      </c>
      <c r="T198" s="64">
        <f>(O198/(L198+M198))*100</f>
        <v>3346.3726884779517</v>
      </c>
      <c r="U198" s="72">
        <f>(P198/(L198+M198))*100</f>
        <v>3321.4793741109534</v>
      </c>
      <c r="V198" s="2">
        <f>(Q198/(L198+M198))*100</f>
        <v>10320.056899004267</v>
      </c>
      <c r="W198" s="70">
        <f>(R198/(L198+M198))*100</f>
        <v>3353.4850640113796</v>
      </c>
    </row>
    <row r="199" spans="1:24" x14ac:dyDescent="0.25">
      <c r="A199" s="2">
        <v>1</v>
      </c>
      <c r="B199" s="2">
        <v>2</v>
      </c>
      <c r="C199" s="2" t="s">
        <v>319</v>
      </c>
      <c r="D199" s="2" t="s">
        <v>323</v>
      </c>
      <c r="E199" s="2" t="s">
        <v>330</v>
      </c>
      <c r="F199" s="66">
        <v>0.18</v>
      </c>
      <c r="G199" s="66">
        <v>0.18</v>
      </c>
      <c r="H199" s="66">
        <v>0</v>
      </c>
      <c r="I199" s="69">
        <v>0.18</v>
      </c>
      <c r="J199" s="66">
        <v>0.82</v>
      </c>
      <c r="K199" s="66">
        <v>1.1102230246251565E-16</v>
      </c>
      <c r="L199" s="19">
        <v>9.6299999999999997E-2</v>
      </c>
      <c r="M199" s="2">
        <v>0.17630000000000001</v>
      </c>
      <c r="N199" s="2">
        <v>51.89</v>
      </c>
      <c r="O199" s="2">
        <v>9.16</v>
      </c>
      <c r="P199" s="2">
        <v>9.15</v>
      </c>
      <c r="Q199" s="2">
        <v>25.64</v>
      </c>
      <c r="R199" s="2">
        <v>9.1</v>
      </c>
      <c r="S199" s="64">
        <f>(N199/(L199+M199))*100</f>
        <v>19035.216434336024</v>
      </c>
      <c r="T199" s="64">
        <f>(O199/(L199+M199))*100</f>
        <v>3360.2347762289073</v>
      </c>
      <c r="U199" s="72">
        <f>(P199/(L199+M199))*100</f>
        <v>3356.5663976522378</v>
      </c>
      <c r="V199" s="2">
        <f>(Q199/(L199+M199))*100</f>
        <v>9405.7226705796038</v>
      </c>
      <c r="W199" s="70">
        <f>(R199/(L199+M199))*100</f>
        <v>3338.2245047688921</v>
      </c>
    </row>
    <row r="200" spans="1:24" x14ac:dyDescent="0.25">
      <c r="A200" s="2" t="s">
        <v>724</v>
      </c>
      <c r="B200" s="2" t="s">
        <v>724</v>
      </c>
      <c r="C200" s="2" t="s">
        <v>331</v>
      </c>
      <c r="D200" s="2" t="s">
        <v>332</v>
      </c>
      <c r="E200" s="2" t="s">
        <v>333</v>
      </c>
      <c r="F200" s="66" t="s">
        <v>729</v>
      </c>
      <c r="G200" s="66" t="s">
        <v>729</v>
      </c>
      <c r="H200" s="66" t="s">
        <v>729</v>
      </c>
      <c r="I200" s="69" t="s">
        <v>729</v>
      </c>
      <c r="J200" s="66" t="s">
        <v>729</v>
      </c>
      <c r="K200" s="66" t="s">
        <v>729</v>
      </c>
      <c r="L200" s="19"/>
      <c r="S200" s="64" t="e">
        <f>(N200/(L200+M200))*100</f>
        <v>#DIV/0!</v>
      </c>
      <c r="T200" s="64" t="e">
        <f>(O200/(L200+M200))*100</f>
        <v>#DIV/0!</v>
      </c>
      <c r="U200" s="72" t="e">
        <f>(P200/(L200+M200))*100</f>
        <v>#DIV/0!</v>
      </c>
      <c r="V200" s="2" t="e">
        <f>(Q200/(L200+M200))*100</f>
        <v>#DIV/0!</v>
      </c>
      <c r="W200" s="70" t="e">
        <f>(R200/(L200+M200))*100</f>
        <v>#DIV/0!</v>
      </c>
      <c r="X200" s="2" t="s">
        <v>694</v>
      </c>
    </row>
    <row r="201" spans="1:24" x14ac:dyDescent="0.25">
      <c r="A201" s="2">
        <v>1</v>
      </c>
      <c r="B201" s="2">
        <v>2</v>
      </c>
      <c r="C201" s="2" t="s">
        <v>334</v>
      </c>
      <c r="D201" s="2" t="s">
        <v>335</v>
      </c>
      <c r="E201" s="2" t="s">
        <v>336</v>
      </c>
      <c r="F201" s="66">
        <v>0.31</v>
      </c>
      <c r="G201" s="66">
        <v>0.31</v>
      </c>
      <c r="H201" s="66">
        <v>0</v>
      </c>
      <c r="I201" s="69">
        <v>0.31</v>
      </c>
      <c r="J201" s="66">
        <v>0.69</v>
      </c>
      <c r="K201" s="66">
        <v>0</v>
      </c>
      <c r="L201" s="19">
        <v>0.43159999999999998</v>
      </c>
      <c r="M201" s="2">
        <v>0.31719999999999998</v>
      </c>
      <c r="N201" s="2">
        <v>213.84</v>
      </c>
      <c r="O201" s="2">
        <v>24.98</v>
      </c>
      <c r="P201" s="2">
        <v>24.78</v>
      </c>
      <c r="Q201" s="2">
        <v>130.63999999999999</v>
      </c>
      <c r="R201" s="2">
        <v>24.98</v>
      </c>
      <c r="S201" s="64">
        <f>(N201/(L201+M201))*100</f>
        <v>28557.692307692309</v>
      </c>
      <c r="T201" s="64">
        <f>(O201/(L201+M201))*100</f>
        <v>3336.0042735042739</v>
      </c>
      <c r="U201" s="72">
        <f>(P201/(L201+M201))*100</f>
        <v>3309.2948717948721</v>
      </c>
      <c r="V201" s="2">
        <f>(Q201/(L201+M201))*100</f>
        <v>17446.581196581199</v>
      </c>
      <c r="W201" s="70">
        <f>(R201/(L201+M201))*100</f>
        <v>3336.0042735042739</v>
      </c>
    </row>
    <row r="202" spans="1:24" x14ac:dyDescent="0.25">
      <c r="A202" s="2" t="s">
        <v>724</v>
      </c>
      <c r="B202" s="2" t="s">
        <v>724</v>
      </c>
      <c r="C202" s="2" t="s">
        <v>337</v>
      </c>
      <c r="D202" s="2" t="s">
        <v>294</v>
      </c>
      <c r="E202" s="2" t="s">
        <v>338</v>
      </c>
      <c r="F202" s="66" t="s">
        <v>729</v>
      </c>
      <c r="G202" s="66" t="s">
        <v>729</v>
      </c>
      <c r="H202" s="66" t="s">
        <v>729</v>
      </c>
      <c r="I202" s="69" t="s">
        <v>729</v>
      </c>
      <c r="J202" s="66" t="s">
        <v>729</v>
      </c>
      <c r="K202" s="66" t="s">
        <v>729</v>
      </c>
      <c r="L202" s="19" t="s">
        <v>581</v>
      </c>
      <c r="S202" s="64" t="e">
        <f>(N202/(L202+M202))*100</f>
        <v>#VALUE!</v>
      </c>
      <c r="T202" s="64" t="e">
        <f>(O202/(L202+M202))*100</f>
        <v>#VALUE!</v>
      </c>
      <c r="U202" s="72" t="e">
        <f>(P202/(L202+M202))*100</f>
        <v>#VALUE!</v>
      </c>
      <c r="V202" s="2" t="e">
        <f>(Q202/(L202+M202))*100</f>
        <v>#VALUE!</v>
      </c>
      <c r="W202" s="70" t="e">
        <f>(R202/(L202+M202))*100</f>
        <v>#VALUE!</v>
      </c>
      <c r="X202" s="2" t="s">
        <v>690</v>
      </c>
    </row>
    <row r="203" spans="1:24" x14ac:dyDescent="0.25">
      <c r="A203" s="2">
        <v>1</v>
      </c>
      <c r="B203" s="2">
        <v>2</v>
      </c>
      <c r="C203" s="2" t="s">
        <v>339</v>
      </c>
      <c r="D203" s="2" t="s">
        <v>340</v>
      </c>
      <c r="E203" s="2" t="s">
        <v>341</v>
      </c>
      <c r="F203" s="66">
        <v>0</v>
      </c>
      <c r="G203" s="66">
        <v>0</v>
      </c>
      <c r="H203" s="66">
        <v>0.34</v>
      </c>
      <c r="I203" s="69">
        <v>0.34</v>
      </c>
      <c r="J203" s="66">
        <v>0.27</v>
      </c>
      <c r="K203" s="66">
        <v>0.3899999999999999</v>
      </c>
      <c r="L203" s="19">
        <v>0.2697</v>
      </c>
      <c r="M203" s="2">
        <v>0.16689999999999999</v>
      </c>
      <c r="N203" s="2">
        <v>65.58</v>
      </c>
      <c r="O203" s="2">
        <v>14.58</v>
      </c>
      <c r="P203" s="2">
        <v>14.58</v>
      </c>
      <c r="Q203" s="2">
        <v>22.85</v>
      </c>
      <c r="R203" s="2">
        <v>14.55</v>
      </c>
      <c r="S203" s="64">
        <f>(N203/(L203+M203))*100</f>
        <v>15020.613834173157</v>
      </c>
      <c r="T203" s="64">
        <f>(O203/(L203+M203))*100</f>
        <v>3339.4411360513054</v>
      </c>
      <c r="U203" s="72">
        <f>(P203/(L203+M203))*100</f>
        <v>3339.4411360513054</v>
      </c>
      <c r="V203" s="2">
        <f>(Q203/(L203+M203))*100</f>
        <v>5233.6234539624375</v>
      </c>
      <c r="W203" s="70">
        <f>(R203/(L203+M203))*100</f>
        <v>3332.5698579935865</v>
      </c>
    </row>
    <row r="204" spans="1:24" x14ac:dyDescent="0.25">
      <c r="A204" s="2">
        <v>1</v>
      </c>
      <c r="B204" s="2">
        <v>2</v>
      </c>
      <c r="C204" s="2" t="s">
        <v>339</v>
      </c>
      <c r="D204" s="2" t="s">
        <v>340</v>
      </c>
      <c r="E204" s="2" t="s">
        <v>342</v>
      </c>
      <c r="F204" s="66">
        <v>0</v>
      </c>
      <c r="G204" s="66">
        <v>0</v>
      </c>
      <c r="H204" s="66">
        <v>0.41</v>
      </c>
      <c r="I204" s="69">
        <v>0.41</v>
      </c>
      <c r="J204" s="66">
        <v>0.17</v>
      </c>
      <c r="K204" s="66">
        <v>0.42000000000000004</v>
      </c>
      <c r="L204" s="19">
        <v>0.32419999999999999</v>
      </c>
      <c r="M204" s="2">
        <v>0.1469</v>
      </c>
      <c r="N204" s="2">
        <v>77.97</v>
      </c>
      <c r="O204" s="2">
        <v>15.83</v>
      </c>
      <c r="P204" s="2">
        <v>15.8</v>
      </c>
      <c r="Q204" s="2">
        <v>33.18</v>
      </c>
      <c r="R204" s="2">
        <v>15.61</v>
      </c>
      <c r="S204" s="64">
        <f>(N204/(L204+M204))*100</f>
        <v>16550.62619401401</v>
      </c>
      <c r="T204" s="64">
        <f>(O204/(L204+M204))*100</f>
        <v>3360.220759923583</v>
      </c>
      <c r="U204" s="72">
        <f>(P204/(L204+M204))*100</f>
        <v>3353.8526852048399</v>
      </c>
      <c r="V204" s="2">
        <f>(Q204/(L204+M204))*100</f>
        <v>7043.0906389301635</v>
      </c>
      <c r="W204" s="70">
        <f>(R204/(L204+M204))*100</f>
        <v>3313.5215453194655</v>
      </c>
    </row>
    <row r="205" spans="1:24" x14ac:dyDescent="0.25">
      <c r="A205" s="2">
        <v>1</v>
      </c>
      <c r="B205" s="2">
        <v>1</v>
      </c>
      <c r="C205" s="2" t="s">
        <v>339</v>
      </c>
      <c r="D205" s="2" t="s">
        <v>340</v>
      </c>
      <c r="E205" s="2" t="s">
        <v>343</v>
      </c>
      <c r="F205" s="66">
        <v>0</v>
      </c>
      <c r="G205" s="66">
        <v>0</v>
      </c>
      <c r="H205" s="66">
        <v>0.67</v>
      </c>
      <c r="I205" s="69">
        <v>0.67</v>
      </c>
      <c r="J205" s="66">
        <v>0</v>
      </c>
      <c r="K205" s="66">
        <v>0.32999999999999996</v>
      </c>
      <c r="L205" s="19">
        <v>0.3211</v>
      </c>
      <c r="M205" s="2">
        <v>0.1232</v>
      </c>
      <c r="N205" s="2">
        <v>50.26</v>
      </c>
      <c r="O205" s="2">
        <v>14.78</v>
      </c>
      <c r="P205" s="2">
        <v>14.92</v>
      </c>
      <c r="Q205" s="2">
        <v>7.25</v>
      </c>
      <c r="R205" s="2">
        <v>14.76</v>
      </c>
      <c r="S205" s="64">
        <f>(N205/(L205+M205))*100</f>
        <v>11312.176457348638</v>
      </c>
      <c r="T205" s="64">
        <f>(O205/(L205+M205))*100</f>
        <v>3326.5811388701322</v>
      </c>
      <c r="U205" s="72">
        <f>(P205/(L205+M205))*100</f>
        <v>3358.0913796984023</v>
      </c>
      <c r="V205" s="2">
        <f>(Q205/(L205+M205))*100</f>
        <v>1631.780328606797</v>
      </c>
      <c r="W205" s="70">
        <f>(R205/(L205+M205))*100</f>
        <v>3322.0796758946653</v>
      </c>
    </row>
    <row r="206" spans="1:24" x14ac:dyDescent="0.25">
      <c r="A206" s="2">
        <v>1</v>
      </c>
      <c r="B206" s="2">
        <v>2</v>
      </c>
      <c r="C206" s="2" t="s">
        <v>344</v>
      </c>
      <c r="D206" s="2" t="s">
        <v>345</v>
      </c>
      <c r="E206" s="2" t="s">
        <v>346</v>
      </c>
      <c r="F206" s="66">
        <v>0</v>
      </c>
      <c r="G206" s="66">
        <v>0.86538461538461542</v>
      </c>
      <c r="H206" s="66">
        <v>0.83653846153846156</v>
      </c>
      <c r="I206" s="69">
        <v>0.86538461538461542</v>
      </c>
      <c r="J206" s="66">
        <v>0</v>
      </c>
      <c r="K206" s="66">
        <v>0.13461538461538458</v>
      </c>
      <c r="L206" s="19">
        <v>0.65949999999999998</v>
      </c>
      <c r="M206" s="2">
        <v>8.3000000000000001E-3</v>
      </c>
      <c r="N206" s="2">
        <v>49.91</v>
      </c>
      <c r="O206" s="2">
        <v>19.991700000000002</v>
      </c>
      <c r="P206" s="2">
        <v>19.508700000000001</v>
      </c>
      <c r="Q206" s="2">
        <v>0</v>
      </c>
      <c r="R206" s="2">
        <v>9.8635999999999999</v>
      </c>
      <c r="S206" s="64">
        <f>(N206/(L206+M206))*100</f>
        <v>7473.7945492662475</v>
      </c>
      <c r="T206" s="64">
        <f>(O206/(L206+M206))*100</f>
        <v>2993.6657681940706</v>
      </c>
      <c r="U206" s="72">
        <f>(P206/(L206+M206))*100</f>
        <v>2921.3387241689134</v>
      </c>
      <c r="V206" s="2">
        <f>(Q206/(L206+M206))*100</f>
        <v>0</v>
      </c>
      <c r="W206" s="70">
        <f>(R206/(L206+M206))*100</f>
        <v>1477.0290506139563</v>
      </c>
    </row>
    <row r="207" spans="1:24" x14ac:dyDescent="0.25">
      <c r="A207" s="2">
        <v>1</v>
      </c>
      <c r="B207" s="2">
        <v>2</v>
      </c>
      <c r="C207" s="2" t="s">
        <v>344</v>
      </c>
      <c r="D207" s="2" t="s">
        <v>345</v>
      </c>
      <c r="E207" s="2" t="s">
        <v>347</v>
      </c>
      <c r="F207" s="66">
        <v>0.02</v>
      </c>
      <c r="G207" s="66">
        <v>0.85</v>
      </c>
      <c r="H207" s="66">
        <v>0.83</v>
      </c>
      <c r="I207" s="69">
        <v>0.85</v>
      </c>
      <c r="J207" s="66">
        <v>0</v>
      </c>
      <c r="K207" s="66">
        <v>0.15000000000000002</v>
      </c>
      <c r="L207" s="19">
        <v>0.6774</v>
      </c>
      <c r="M207" s="2">
        <v>5.4000000000000003E-3</v>
      </c>
      <c r="N207" s="2">
        <v>120.44</v>
      </c>
      <c r="O207" s="2">
        <v>22.76</v>
      </c>
      <c r="P207" s="2">
        <v>22.76</v>
      </c>
      <c r="Q207" s="2">
        <v>51.7</v>
      </c>
      <c r="R207" s="2">
        <v>22.77</v>
      </c>
      <c r="S207" s="64">
        <f>(N207/(L207+M207))*100</f>
        <v>17639.132981839484</v>
      </c>
      <c r="T207" s="64">
        <f>(O207/(L207+M207))*100</f>
        <v>3333.3333333333335</v>
      </c>
      <c r="U207" s="72">
        <f>(P207/(L207+M207))*100</f>
        <v>3333.3333333333335</v>
      </c>
      <c r="V207" s="2">
        <f>(Q207/(L207+M207))*100</f>
        <v>7571.7633274751033</v>
      </c>
      <c r="W207" s="70">
        <f>(R207/(L207+M207))*100</f>
        <v>3334.797891036907</v>
      </c>
    </row>
    <row r="208" spans="1:24" x14ac:dyDescent="0.25">
      <c r="A208" s="2" t="s">
        <v>715</v>
      </c>
      <c r="B208" s="2" t="s">
        <v>718</v>
      </c>
      <c r="C208" s="2" t="s">
        <v>348</v>
      </c>
      <c r="D208" s="2" t="s">
        <v>349</v>
      </c>
      <c r="E208" s="2" t="s">
        <v>350</v>
      </c>
      <c r="F208" s="66">
        <v>0.44</v>
      </c>
      <c r="G208" s="66">
        <v>0.44</v>
      </c>
      <c r="H208" s="66">
        <v>0.15</v>
      </c>
      <c r="I208" s="69">
        <v>0.59</v>
      </c>
      <c r="J208" s="66">
        <v>0.28000000000000003</v>
      </c>
      <c r="K208" s="66">
        <v>0.13</v>
      </c>
      <c r="L208" s="19">
        <v>0.75980000000000003</v>
      </c>
      <c r="M208" s="2">
        <v>16.47</v>
      </c>
      <c r="N208" s="2">
        <v>3595.06</v>
      </c>
      <c r="O208" s="2">
        <v>574.45000000000005</v>
      </c>
      <c r="P208" s="2">
        <v>575.28</v>
      </c>
      <c r="Q208" s="2">
        <v>1929.33</v>
      </c>
      <c r="R208" s="2">
        <v>575.16</v>
      </c>
      <c r="S208" s="64">
        <f>(N208/(L208+M208))*100</f>
        <v>20865.361176566184</v>
      </c>
      <c r="T208" s="64">
        <f>(O208/(L208+M208))*100</f>
        <v>3334.0491474073992</v>
      </c>
      <c r="U208" s="72">
        <f>(P208/(L208+M208))*100</f>
        <v>3338.8663826625966</v>
      </c>
      <c r="V208" s="2">
        <f>(Q208/(L208+M208))*100</f>
        <v>11197.634331216846</v>
      </c>
      <c r="W208" s="70">
        <f>(R208/(L208+M208))*100</f>
        <v>3338.1699149148571</v>
      </c>
    </row>
    <row r="209" spans="1:24" x14ac:dyDescent="0.25">
      <c r="A209" s="2">
        <v>1</v>
      </c>
      <c r="B209" s="2">
        <v>2</v>
      </c>
      <c r="C209" s="2" t="s">
        <v>348</v>
      </c>
      <c r="D209" s="2" t="s">
        <v>351</v>
      </c>
      <c r="E209" s="2" t="s">
        <v>352</v>
      </c>
      <c r="F209" s="66">
        <v>0.36</v>
      </c>
      <c r="G209" s="66">
        <v>0.36</v>
      </c>
      <c r="H209" s="66">
        <v>0.06</v>
      </c>
      <c r="I209" s="69">
        <v>0.42</v>
      </c>
      <c r="J209" s="66">
        <v>0.05</v>
      </c>
      <c r="K209" s="66">
        <v>0.53</v>
      </c>
      <c r="L209" s="19">
        <v>0.81889999999999996</v>
      </c>
      <c r="M209" s="2">
        <v>1.0699999999999999E-2</v>
      </c>
      <c r="N209" s="2">
        <v>140.41999999999999</v>
      </c>
      <c r="O209" s="2">
        <v>27.76</v>
      </c>
      <c r="P209" s="2">
        <v>27.59</v>
      </c>
      <c r="Q209" s="2">
        <v>57.67</v>
      </c>
      <c r="R209" s="2">
        <v>27.8</v>
      </c>
      <c r="S209" s="64">
        <f>(N209/(L209+M209))*100</f>
        <v>16926.22950819672</v>
      </c>
      <c r="T209" s="64">
        <f>(O209/(L209+M209))*100</f>
        <v>3346.1909353905498</v>
      </c>
      <c r="U209" s="72">
        <f>(P209/(L209+M209))*100</f>
        <v>3325.6991321118612</v>
      </c>
      <c r="V209" s="2">
        <f>(Q209/(L209+M209))*100</f>
        <v>6951.5429122468659</v>
      </c>
      <c r="W209" s="70">
        <f>(R209/(L209+M209))*100</f>
        <v>3351.0125361620057</v>
      </c>
    </row>
    <row r="210" spans="1:24" x14ac:dyDescent="0.25">
      <c r="A210" s="2">
        <v>2</v>
      </c>
      <c r="B210" s="2">
        <v>2</v>
      </c>
      <c r="C210" s="2" t="s">
        <v>353</v>
      </c>
      <c r="D210" s="2" t="s">
        <v>354</v>
      </c>
      <c r="E210" s="2" t="s">
        <v>355</v>
      </c>
      <c r="F210" s="66">
        <v>0.05</v>
      </c>
      <c r="G210" s="66">
        <v>0.05</v>
      </c>
      <c r="H210" s="66">
        <v>0.2</v>
      </c>
      <c r="I210" s="69">
        <v>0.25</v>
      </c>
      <c r="J210" s="66">
        <v>0.5</v>
      </c>
      <c r="K210" s="66">
        <v>0.25</v>
      </c>
      <c r="L210" s="19">
        <v>0.53069999999999995</v>
      </c>
      <c r="M210" s="2">
        <v>3.7100000000000001E-2</v>
      </c>
      <c r="N210" s="2">
        <v>47.83</v>
      </c>
      <c r="O210" s="2">
        <v>14.8</v>
      </c>
      <c r="P210" s="2">
        <v>14.47</v>
      </c>
      <c r="Q210" s="2">
        <v>0</v>
      </c>
      <c r="R210" s="2">
        <v>14.23</v>
      </c>
      <c r="S210" s="64">
        <f>(N210/(L210+M210))*100</f>
        <v>8423.7407537865456</v>
      </c>
      <c r="T210" s="64">
        <f>(O210/(L210+M210))*100</f>
        <v>2606.5516026769992</v>
      </c>
      <c r="U210" s="72">
        <f>(P210/(L210+M210))*100</f>
        <v>2548.4325466713635</v>
      </c>
      <c r="V210" s="2">
        <f>(Q210/(L210+M210))*100</f>
        <v>0</v>
      </c>
      <c r="W210" s="70">
        <f>(R210/(L210+M210))*100</f>
        <v>2506.1641423036281</v>
      </c>
    </row>
    <row r="211" spans="1:24" x14ac:dyDescent="0.25">
      <c r="A211" s="2">
        <v>1</v>
      </c>
      <c r="B211" s="2">
        <v>2</v>
      </c>
      <c r="C211" s="2" t="s">
        <v>356</v>
      </c>
      <c r="D211" s="2" t="s">
        <v>357</v>
      </c>
      <c r="E211" s="2" t="s">
        <v>358</v>
      </c>
      <c r="F211" s="66">
        <v>0</v>
      </c>
      <c r="G211" s="66">
        <v>0</v>
      </c>
      <c r="H211" s="66">
        <v>0.31</v>
      </c>
      <c r="I211" s="69">
        <v>0.31</v>
      </c>
      <c r="J211" s="66">
        <v>0.64</v>
      </c>
      <c r="K211" s="66">
        <v>4.9999999999999933E-2</v>
      </c>
      <c r="L211" s="19">
        <v>3.4599999999999999E-2</v>
      </c>
      <c r="M211" s="2">
        <v>0.10829999999999999</v>
      </c>
      <c r="N211" s="2">
        <v>145.28</v>
      </c>
      <c r="O211" s="2">
        <v>10.48</v>
      </c>
      <c r="P211" s="2">
        <v>10.44</v>
      </c>
      <c r="Q211" s="2">
        <v>122.55</v>
      </c>
      <c r="R211" s="2">
        <v>10.48</v>
      </c>
      <c r="S211" s="64">
        <f>(N211/(L211+M211))*100</f>
        <v>101665.50034989504</v>
      </c>
      <c r="T211" s="64">
        <f>(O211/(L211+M211))*100</f>
        <v>7333.7998600419878</v>
      </c>
      <c r="U211" s="72">
        <f>(P211/(L211+M211))*100</f>
        <v>7305.8082575227427</v>
      </c>
      <c r="V211" s="2">
        <f>(Q211/(L211+M211))*100</f>
        <v>85759.272218334503</v>
      </c>
      <c r="W211" s="70">
        <f>(R211/(L211+M211))*100</f>
        <v>7333.7998600419878</v>
      </c>
    </row>
    <row r="212" spans="1:24" x14ac:dyDescent="0.25">
      <c r="A212" s="2">
        <v>1</v>
      </c>
      <c r="B212" s="2">
        <v>2</v>
      </c>
      <c r="C212" s="2" t="s">
        <v>359</v>
      </c>
      <c r="D212" s="2" t="s">
        <v>360</v>
      </c>
      <c r="E212" s="2" t="s">
        <v>361</v>
      </c>
      <c r="F212" s="66">
        <v>0.23</v>
      </c>
      <c r="G212" s="66">
        <v>0.23</v>
      </c>
      <c r="H212" s="66">
        <v>0.08</v>
      </c>
      <c r="I212" s="69">
        <v>0.31</v>
      </c>
      <c r="J212" s="66">
        <v>0.14000000000000001</v>
      </c>
      <c r="K212" s="66">
        <v>0.54999999999999993</v>
      </c>
      <c r="L212" s="19">
        <v>1.37E-2</v>
      </c>
      <c r="M212" s="2">
        <v>7.3099999999999998E-2</v>
      </c>
      <c r="N212" s="19">
        <v>22.23</v>
      </c>
      <c r="O212" s="2">
        <v>2.88</v>
      </c>
      <c r="P212" s="2">
        <v>2.9</v>
      </c>
      <c r="Q212" s="2">
        <v>12.7</v>
      </c>
      <c r="R212" s="2">
        <v>2.88</v>
      </c>
      <c r="S212" s="64">
        <f>(N212/(L212+M212))*100</f>
        <v>25610.599078341016</v>
      </c>
      <c r="T212" s="64">
        <f>(O212/(L212+M212))*100</f>
        <v>3317.9723502304141</v>
      </c>
      <c r="U212" s="72">
        <f>(P212/(L212+M212))*100</f>
        <v>3341.013824884792</v>
      </c>
      <c r="V212" s="2">
        <f>(Q212/(L212+M212))*100</f>
        <v>14631.336405529953</v>
      </c>
      <c r="W212" s="70">
        <f>(R212/(L212+M212))*100</f>
        <v>3317.9723502304141</v>
      </c>
    </row>
    <row r="213" spans="1:24" x14ac:dyDescent="0.25">
      <c r="A213" s="2">
        <v>1</v>
      </c>
      <c r="B213" s="2">
        <v>2</v>
      </c>
      <c r="C213" s="2" t="s">
        <v>359</v>
      </c>
      <c r="D213" s="2" t="s">
        <v>360</v>
      </c>
      <c r="E213" s="2" t="s">
        <v>362</v>
      </c>
      <c r="F213" s="66">
        <v>0.12</v>
      </c>
      <c r="G213" s="66">
        <v>0.12</v>
      </c>
      <c r="H213" s="66">
        <v>0.03</v>
      </c>
      <c r="I213" s="69">
        <v>0.15</v>
      </c>
      <c r="J213" s="66">
        <v>0.42</v>
      </c>
      <c r="K213" s="66">
        <v>0.43</v>
      </c>
      <c r="L213" s="19">
        <v>1.7100000000000001E-2</v>
      </c>
      <c r="M213" s="2">
        <v>7.8700000000000006E-2</v>
      </c>
      <c r="N213" s="2">
        <v>18.600000000000001</v>
      </c>
      <c r="O213" s="2">
        <v>3.57</v>
      </c>
      <c r="P213" s="2">
        <v>3.6</v>
      </c>
      <c r="Q213" s="2">
        <v>8.5500000000000007</v>
      </c>
      <c r="R213" s="2">
        <v>3.44</v>
      </c>
      <c r="S213" s="64">
        <f>(N213/(L213+M213))*100</f>
        <v>19415.44885177453</v>
      </c>
      <c r="T213" s="64">
        <f>(O213/(L213+M213))*100</f>
        <v>3726.5135699373686</v>
      </c>
      <c r="U213" s="72">
        <f>(P213/(L213+M213))*100</f>
        <v>3757.8288100208765</v>
      </c>
      <c r="V213" s="2">
        <f>(Q213/(L213+M213))*100</f>
        <v>8924.8434237995825</v>
      </c>
      <c r="W213" s="70">
        <f>(R213/(L213+M213))*100</f>
        <v>3590.814196242171</v>
      </c>
    </row>
    <row r="214" spans="1:24" x14ac:dyDescent="0.25">
      <c r="A214" s="2">
        <v>1</v>
      </c>
      <c r="B214" s="2">
        <v>1</v>
      </c>
      <c r="C214" s="2" t="s">
        <v>359</v>
      </c>
      <c r="D214" s="2" t="s">
        <v>360</v>
      </c>
      <c r="E214" s="2" t="s">
        <v>363</v>
      </c>
      <c r="F214" s="66">
        <v>0.11</v>
      </c>
      <c r="G214" s="66">
        <v>0.11</v>
      </c>
      <c r="H214" s="66">
        <v>0.06</v>
      </c>
      <c r="I214" s="69">
        <v>0.17</v>
      </c>
      <c r="J214" s="66">
        <v>0.09</v>
      </c>
      <c r="K214" s="66">
        <v>0.74</v>
      </c>
      <c r="L214" s="19">
        <v>1.49E-2</v>
      </c>
      <c r="M214" s="2">
        <v>5.5199999999999999E-2</v>
      </c>
      <c r="N214" s="2">
        <v>155.63999999999999</v>
      </c>
      <c r="O214" s="2">
        <v>7.39</v>
      </c>
      <c r="P214" s="2">
        <v>7.35</v>
      </c>
      <c r="Q214" s="2">
        <v>132.6</v>
      </c>
      <c r="R214" s="2">
        <v>7.35</v>
      </c>
      <c r="S214" s="64">
        <f>(N214/(L214+M214))*100</f>
        <v>222025.67760342368</v>
      </c>
      <c r="T214" s="64">
        <f>(O214/(L214+M214))*100</f>
        <v>10542.082738944366</v>
      </c>
      <c r="U214" s="72">
        <f>(P214/(L214+M214))*100</f>
        <v>10485.021398002853</v>
      </c>
      <c r="V214" s="2">
        <f>(Q214/(L214+M214))*100</f>
        <v>189158.34522111269</v>
      </c>
      <c r="W214" s="70">
        <f>(R214/(L214+M214))*100</f>
        <v>10485.021398002853</v>
      </c>
    </row>
    <row r="215" spans="1:24" x14ac:dyDescent="0.25">
      <c r="A215" s="2">
        <v>1</v>
      </c>
      <c r="B215" s="2">
        <v>2</v>
      </c>
      <c r="C215" s="2" t="s">
        <v>359</v>
      </c>
      <c r="D215" s="2" t="s">
        <v>360</v>
      </c>
      <c r="E215" s="2" t="s">
        <v>364</v>
      </c>
      <c r="F215" s="66">
        <v>0.2</v>
      </c>
      <c r="G215" s="66">
        <v>0.2</v>
      </c>
      <c r="H215" s="66">
        <v>0.01</v>
      </c>
      <c r="I215" s="69">
        <v>0.21</v>
      </c>
      <c r="J215" s="66">
        <v>0.15</v>
      </c>
      <c r="K215" s="66">
        <v>0.64</v>
      </c>
      <c r="L215" s="19">
        <v>2.2200000000000001E-2</v>
      </c>
      <c r="M215" s="2">
        <v>6.3500000000000001E-2</v>
      </c>
      <c r="N215" s="2">
        <v>35</v>
      </c>
      <c r="O215" s="2">
        <v>3.05</v>
      </c>
      <c r="P215" s="2">
        <v>3.11</v>
      </c>
      <c r="Q215" s="2">
        <v>27.07</v>
      </c>
      <c r="R215" s="2">
        <v>3.06</v>
      </c>
      <c r="S215" s="64">
        <f>(N215/(L215+M215))*100</f>
        <v>40840.140023337219</v>
      </c>
      <c r="T215" s="64">
        <f>(O215/(L215+M215))*100</f>
        <v>3558.9264877479577</v>
      </c>
      <c r="U215" s="72">
        <f>(P215/(L215+M215))*100</f>
        <v>3628.9381563593934</v>
      </c>
      <c r="V215" s="2">
        <f>(Q215/(L215+M215))*100</f>
        <v>31586.931155192531</v>
      </c>
      <c r="W215" s="70">
        <f>(R215/(L215+M215))*100</f>
        <v>3570.5950991831978</v>
      </c>
    </row>
    <row r="216" spans="1:24" x14ac:dyDescent="0.25">
      <c r="A216" s="2">
        <v>1</v>
      </c>
      <c r="B216" s="2">
        <v>2</v>
      </c>
      <c r="C216" s="2" t="s">
        <v>359</v>
      </c>
      <c r="D216" s="2" t="s">
        <v>360</v>
      </c>
      <c r="E216" s="2" t="s">
        <v>365</v>
      </c>
      <c r="F216" s="66">
        <v>0.46</v>
      </c>
      <c r="G216" s="66">
        <v>0.46</v>
      </c>
      <c r="H216" s="66">
        <v>0.01</v>
      </c>
      <c r="I216" s="69">
        <v>0.47</v>
      </c>
      <c r="J216" s="66">
        <v>0.43</v>
      </c>
      <c r="K216" s="66">
        <v>0.10000000000000003</v>
      </c>
      <c r="L216" s="19">
        <v>2.0299999999999999E-2</v>
      </c>
      <c r="M216" s="2">
        <v>6.8599999999999994E-2</v>
      </c>
      <c r="N216" s="2">
        <v>48.53</v>
      </c>
      <c r="O216" s="2">
        <v>3.57</v>
      </c>
      <c r="P216" s="2">
        <v>3.66</v>
      </c>
      <c r="Q216" s="2">
        <v>38.31</v>
      </c>
      <c r="R216" s="2">
        <v>3.52</v>
      </c>
      <c r="S216" s="64">
        <f>(N216/(L216+M216))*100</f>
        <v>54589.42632170979</v>
      </c>
      <c r="T216" s="64">
        <f>(O216/(L216+M216))*100</f>
        <v>4015.748031496063</v>
      </c>
      <c r="U216" s="72">
        <f>(P216/(L216+M216))*100</f>
        <v>4116.9853768278972</v>
      </c>
      <c r="V216" s="2">
        <f>(Q216/(L216+M216))*100</f>
        <v>43093.363329583808</v>
      </c>
      <c r="W216" s="70">
        <f>(R216/(L216+M216))*100</f>
        <v>3959.5050618672672</v>
      </c>
    </row>
    <row r="217" spans="1:24" x14ac:dyDescent="0.25">
      <c r="A217" s="2" t="s">
        <v>724</v>
      </c>
      <c r="B217" s="2">
        <v>1</v>
      </c>
      <c r="C217" s="2" t="s">
        <v>366</v>
      </c>
      <c r="D217" s="2" t="s">
        <v>351</v>
      </c>
      <c r="E217" s="2" t="s">
        <v>367</v>
      </c>
      <c r="F217" s="66" t="s">
        <v>729</v>
      </c>
      <c r="G217" s="66" t="s">
        <v>729</v>
      </c>
      <c r="H217" s="66" t="s">
        <v>729</v>
      </c>
      <c r="I217" s="69">
        <v>0</v>
      </c>
      <c r="J217" s="66" t="s">
        <v>729</v>
      </c>
      <c r="K217" s="66">
        <v>1</v>
      </c>
      <c r="L217" s="19">
        <v>16.16</v>
      </c>
      <c r="M217" s="2">
        <v>2.4899999999999999E-2</v>
      </c>
      <c r="N217" s="2">
        <v>1042.58</v>
      </c>
      <c r="O217" s="2">
        <v>514.11</v>
      </c>
      <c r="P217" s="2">
        <v>514.09</v>
      </c>
      <c r="Q217" s="2">
        <v>0</v>
      </c>
      <c r="R217" s="2">
        <v>0</v>
      </c>
      <c r="S217" s="64">
        <f>(N217/(L217+M217))*100</f>
        <v>6441.6832973944847</v>
      </c>
      <c r="T217" s="64">
        <f>(O217/(L217+M217))*100</f>
        <v>3176.4793109626876</v>
      </c>
      <c r="U217" s="72">
        <f>(P217/(L217+M217))*100</f>
        <v>3176.3557389912821</v>
      </c>
      <c r="V217" s="2">
        <f>(Q217/(L217+M217))*100</f>
        <v>0</v>
      </c>
      <c r="W217" s="70">
        <f>(R217/(L217+M217))*100</f>
        <v>0</v>
      </c>
      <c r="X217" s="2" t="s">
        <v>689</v>
      </c>
    </row>
    <row r="218" spans="1:24" x14ac:dyDescent="0.25">
      <c r="A218" s="2">
        <v>3</v>
      </c>
      <c r="B218" s="2">
        <v>1</v>
      </c>
      <c r="C218" s="2" t="s">
        <v>368</v>
      </c>
      <c r="D218" s="2" t="s">
        <v>369</v>
      </c>
      <c r="E218" s="2" t="s">
        <v>370</v>
      </c>
      <c r="F218" s="66" t="s">
        <v>729</v>
      </c>
      <c r="G218" s="66" t="s">
        <v>729</v>
      </c>
      <c r="H218" s="66" t="s">
        <v>729</v>
      </c>
      <c r="I218" s="69">
        <v>0</v>
      </c>
      <c r="J218" s="66" t="s">
        <v>729</v>
      </c>
      <c r="K218" s="66">
        <v>1</v>
      </c>
      <c r="L218" s="19">
        <v>1.1999999999999999E-3</v>
      </c>
      <c r="M218" s="2">
        <v>0.15</v>
      </c>
      <c r="N218" s="2">
        <v>38.090000000000003</v>
      </c>
      <c r="O218" s="2">
        <v>5.2</v>
      </c>
      <c r="P218" s="2">
        <v>5.14</v>
      </c>
      <c r="Q218" s="2">
        <v>24.32</v>
      </c>
      <c r="R218" s="2">
        <v>5.13</v>
      </c>
      <c r="S218" s="64">
        <f>(N218/(L218+M218))*100</f>
        <v>25191.798941798945</v>
      </c>
      <c r="T218" s="64">
        <f>(O218/(L218+M218))*100</f>
        <v>3439.1534391534392</v>
      </c>
      <c r="U218" s="72">
        <f>(P218/(L218+M218))*100</f>
        <v>3399.4708994708994</v>
      </c>
      <c r="V218" s="2">
        <f>(Q218/(L218+M218))*100</f>
        <v>16084.656084656084</v>
      </c>
      <c r="W218" s="70">
        <f>(R218/(L218+M218))*100</f>
        <v>3392.8571428571431</v>
      </c>
      <c r="X218" s="2" t="s">
        <v>689</v>
      </c>
    </row>
    <row r="219" spans="1:24" x14ac:dyDescent="0.25">
      <c r="A219" s="2">
        <v>3</v>
      </c>
      <c r="B219" s="2">
        <v>1</v>
      </c>
      <c r="C219" s="2" t="s">
        <v>368</v>
      </c>
      <c r="D219" s="2" t="s">
        <v>369</v>
      </c>
      <c r="E219" s="2" t="s">
        <v>371</v>
      </c>
      <c r="F219" s="66" t="s">
        <v>729</v>
      </c>
      <c r="G219" s="66" t="s">
        <v>729</v>
      </c>
      <c r="H219" s="66" t="s">
        <v>729</v>
      </c>
      <c r="I219" s="69">
        <v>0</v>
      </c>
      <c r="J219" s="66" t="s">
        <v>729</v>
      </c>
      <c r="K219" s="66">
        <v>1</v>
      </c>
      <c r="L219" s="19">
        <v>1.9E-3</v>
      </c>
      <c r="M219" s="2">
        <v>0.2</v>
      </c>
      <c r="N219" s="2">
        <v>25.66</v>
      </c>
      <c r="O219" s="2">
        <v>6.78</v>
      </c>
      <c r="P219" s="2">
        <v>6.75</v>
      </c>
      <c r="Q219" s="2">
        <v>6.56</v>
      </c>
      <c r="R219" s="2">
        <v>6.78</v>
      </c>
      <c r="S219" s="64">
        <f>(N219/(L219+M219))*100</f>
        <v>12709.262010896482</v>
      </c>
      <c r="T219" s="64">
        <f>(O219/(L219+M219))*100</f>
        <v>3358.0980683506682</v>
      </c>
      <c r="U219" s="72">
        <f>(P219/(L219+M219))*100</f>
        <v>3343.239227340267</v>
      </c>
      <c r="V219" s="2">
        <f>(Q219/(L219+M219))*100</f>
        <v>3249.1332342743922</v>
      </c>
      <c r="W219" s="70">
        <f>(R219/(L219+M219))*100</f>
        <v>3358.0980683506682</v>
      </c>
      <c r="X219" s="2" t="s">
        <v>689</v>
      </c>
    </row>
    <row r="220" spans="1:24" x14ac:dyDescent="0.25">
      <c r="A220" s="2">
        <v>1</v>
      </c>
      <c r="B220" s="2">
        <v>1</v>
      </c>
      <c r="C220" s="2" t="s">
        <v>372</v>
      </c>
      <c r="D220" s="2" t="s">
        <v>373</v>
      </c>
      <c r="E220" s="2" t="s">
        <v>374</v>
      </c>
      <c r="F220" s="66">
        <v>0.33</v>
      </c>
      <c r="G220" s="66">
        <v>0.33</v>
      </c>
      <c r="H220" s="66">
        <v>0</v>
      </c>
      <c r="I220" s="69">
        <v>0.33</v>
      </c>
      <c r="J220" s="66">
        <v>0.67</v>
      </c>
      <c r="K220" s="66">
        <v>-1.1102230246251565E-16</v>
      </c>
      <c r="L220" s="19">
        <v>6.8999999999999999E-3</v>
      </c>
      <c r="M220" s="2">
        <v>4.4699999999999997E-2</v>
      </c>
      <c r="N220" s="2">
        <v>110.84</v>
      </c>
      <c r="O220" s="2">
        <v>10.01</v>
      </c>
      <c r="P220" s="2">
        <v>10</v>
      </c>
      <c r="Q220" s="2">
        <v>82.18</v>
      </c>
      <c r="R220" s="2">
        <v>9.99</v>
      </c>
      <c r="S220" s="64">
        <f>(N220/(L220+M220))*100</f>
        <v>214806.20155038763</v>
      </c>
      <c r="T220" s="64">
        <f>(O220/(L220+M220))*100</f>
        <v>19399.224806201553</v>
      </c>
      <c r="U220" s="72">
        <f>(P220/(L220+M220))*100</f>
        <v>19379.844961240313</v>
      </c>
      <c r="V220" s="2">
        <f>(Q220/(L220+M220))*100</f>
        <v>159263.56589147291</v>
      </c>
      <c r="W220" s="70">
        <f>(R220/(L220+M220))*100</f>
        <v>19360.465116279072</v>
      </c>
    </row>
    <row r="221" spans="1:24" x14ac:dyDescent="0.25">
      <c r="A221" s="2">
        <v>2</v>
      </c>
      <c r="B221" s="2">
        <v>2</v>
      </c>
      <c r="C221" s="2" t="s">
        <v>375</v>
      </c>
      <c r="D221" s="2" t="s">
        <v>376</v>
      </c>
      <c r="E221" s="2" t="s">
        <v>377</v>
      </c>
      <c r="F221" s="66">
        <v>0.01</v>
      </c>
      <c r="G221" s="66">
        <v>0.01</v>
      </c>
      <c r="H221" s="66">
        <v>0.77</v>
      </c>
      <c r="I221" s="69">
        <v>0.78</v>
      </c>
      <c r="J221" s="66">
        <v>0</v>
      </c>
      <c r="K221" s="66">
        <v>0.21999999999999997</v>
      </c>
      <c r="L221" s="19">
        <v>1.3389</v>
      </c>
      <c r="M221" s="2">
        <v>1.5189999999999999</v>
      </c>
      <c r="N221" s="2">
        <v>403.34</v>
      </c>
      <c r="O221" s="2">
        <v>95.72</v>
      </c>
      <c r="P221" s="2">
        <v>95.92</v>
      </c>
      <c r="Q221" s="2">
        <v>116.91</v>
      </c>
      <c r="R221" s="2">
        <v>95.19</v>
      </c>
      <c r="S221" s="64">
        <f>(N221/(L221+M221))*100</f>
        <v>14113.160012596663</v>
      </c>
      <c r="T221" s="64">
        <f>(O221/(L221+M221))*100</f>
        <v>3349.3124322054655</v>
      </c>
      <c r="U221" s="72">
        <f>(P221/(L221+M221))*100</f>
        <v>3356.3105776969101</v>
      </c>
      <c r="V221" s="2">
        <f>(Q221/(L221+M221))*100</f>
        <v>4090.7659470240387</v>
      </c>
      <c r="W221" s="70">
        <f>(R221/(L221+M221))*100</f>
        <v>3330.7673466531369</v>
      </c>
    </row>
    <row r="222" spans="1:24" x14ac:dyDescent="0.25">
      <c r="A222" s="2">
        <v>1</v>
      </c>
      <c r="B222" s="2">
        <v>2</v>
      </c>
      <c r="C222" s="2" t="s">
        <v>375</v>
      </c>
      <c r="D222" s="2" t="s">
        <v>378</v>
      </c>
      <c r="E222" s="2" t="s">
        <v>379</v>
      </c>
      <c r="F222" s="66">
        <v>0.13</v>
      </c>
      <c r="G222" s="66">
        <v>0.13</v>
      </c>
      <c r="H222" s="66">
        <v>0.79</v>
      </c>
      <c r="I222" s="69">
        <v>0.92</v>
      </c>
      <c r="J222" s="66">
        <v>0</v>
      </c>
      <c r="K222" s="66">
        <v>7.999999999999996E-2</v>
      </c>
      <c r="L222" s="19">
        <v>0.81599999999999995</v>
      </c>
      <c r="M222" s="2">
        <v>1.78E-2</v>
      </c>
      <c r="N222" s="2">
        <v>1176.9286</v>
      </c>
      <c r="O222" s="2">
        <v>33.119300000000003</v>
      </c>
      <c r="P222" s="2">
        <v>33.110500000000002</v>
      </c>
      <c r="Q222" s="2">
        <v>1075.25</v>
      </c>
      <c r="R222" s="2">
        <v>33.116900000000001</v>
      </c>
      <c r="S222" s="64">
        <f>(N222/(L222+M222))*100</f>
        <v>141152.38666346844</v>
      </c>
      <c r="T222" s="64">
        <f>(O222/(L222+M222))*100</f>
        <v>3972.0916286879351</v>
      </c>
      <c r="U222" s="72">
        <f>(P222/(L222+M222))*100</f>
        <v>3971.0362197169588</v>
      </c>
      <c r="V222" s="2">
        <f>(Q222/(L222+M222))*100</f>
        <v>128957.78364116095</v>
      </c>
      <c r="W222" s="70">
        <f>(R222/(L222+M222))*100</f>
        <v>3971.8037898776684</v>
      </c>
    </row>
    <row r="223" spans="1:24" x14ac:dyDescent="0.25">
      <c r="A223" s="2">
        <v>1</v>
      </c>
      <c r="B223" s="2">
        <v>2</v>
      </c>
      <c r="C223" s="2" t="s">
        <v>375</v>
      </c>
      <c r="D223" s="2" t="s">
        <v>378</v>
      </c>
      <c r="E223" s="2" t="s">
        <v>721</v>
      </c>
      <c r="F223" s="66">
        <v>0.2</v>
      </c>
      <c r="G223" s="66">
        <v>0.2</v>
      </c>
      <c r="H223" s="66">
        <v>0.68</v>
      </c>
      <c r="I223" s="69">
        <v>0.88</v>
      </c>
      <c r="J223" s="66">
        <v>0</v>
      </c>
      <c r="K223" s="66">
        <v>0.12</v>
      </c>
      <c r="L223" s="19">
        <v>0.74780000000000002</v>
      </c>
      <c r="M223" s="2">
        <v>1.21E-2</v>
      </c>
      <c r="N223" s="2">
        <v>492.81299999999999</v>
      </c>
      <c r="O223" s="2">
        <v>28.960799999999999</v>
      </c>
      <c r="P223" s="2">
        <v>28.967099999999999</v>
      </c>
      <c r="Q223" s="2">
        <v>406.06</v>
      </c>
      <c r="R223" s="2">
        <v>28.9115</v>
      </c>
      <c r="S223" s="64">
        <f>(N223/(L223+M223))*100</f>
        <v>64852.348993288593</v>
      </c>
      <c r="T223" s="64">
        <f>(O223/(L223+M223))*100</f>
        <v>3811.1330438215555</v>
      </c>
      <c r="U223" s="72">
        <f>(P223/(L223+M223))*100</f>
        <v>3811.9621002763515</v>
      </c>
      <c r="V223" s="2">
        <f>(Q223/(L223+M223))*100</f>
        <v>53435.978418212922</v>
      </c>
      <c r="W223" s="70">
        <f>(R223/(L223+M223))*100</f>
        <v>3804.6453480721148</v>
      </c>
    </row>
    <row r="224" spans="1:24" x14ac:dyDescent="0.25">
      <c r="A224" s="2">
        <v>1</v>
      </c>
      <c r="B224" s="2">
        <v>2</v>
      </c>
      <c r="C224" s="2" t="s">
        <v>375</v>
      </c>
      <c r="D224" s="2" t="s">
        <v>378</v>
      </c>
      <c r="E224" s="2" t="s">
        <v>381</v>
      </c>
      <c r="F224" s="66">
        <v>0.35</v>
      </c>
      <c r="G224" s="66">
        <v>0.35</v>
      </c>
      <c r="H224" s="66">
        <v>0.5</v>
      </c>
      <c r="I224" s="69">
        <v>0.85</v>
      </c>
      <c r="J224" s="66">
        <v>0</v>
      </c>
      <c r="K224" s="66">
        <v>0.15000000000000002</v>
      </c>
      <c r="L224" s="19">
        <v>0.95830000000000004</v>
      </c>
      <c r="M224" s="2">
        <v>2.0899999999999998E-2</v>
      </c>
      <c r="N224" s="2">
        <v>917.89179999999999</v>
      </c>
      <c r="O224" s="2">
        <v>32.646799999999999</v>
      </c>
      <c r="P224" s="2">
        <v>32.656300000000002</v>
      </c>
      <c r="Q224" s="2">
        <v>820.15</v>
      </c>
      <c r="R224" s="2">
        <v>32.667200000000001</v>
      </c>
      <c r="S224" s="64">
        <f>(N224/(L224+M224))*100</f>
        <v>93738.95016339868</v>
      </c>
      <c r="T224" s="64">
        <f>(O224/(L224+M224))*100</f>
        <v>3334.0277777777774</v>
      </c>
      <c r="U224" s="72">
        <f>(P224/(L224+M224))*100</f>
        <v>3334.9979575163397</v>
      </c>
      <c r="V224" s="2">
        <f>(Q224/(L224+M224))*100</f>
        <v>83757.148692810442</v>
      </c>
      <c r="W224" s="70">
        <f>(R224/(L224+M224))*100</f>
        <v>3336.1111111111109</v>
      </c>
    </row>
    <row r="225" spans="1:23" x14ac:dyDescent="0.25">
      <c r="A225" s="2">
        <v>2</v>
      </c>
      <c r="B225" s="2">
        <v>2</v>
      </c>
      <c r="C225" s="2" t="s">
        <v>375</v>
      </c>
      <c r="D225" s="2" t="s">
        <v>382</v>
      </c>
      <c r="E225" s="2" t="s">
        <v>383</v>
      </c>
      <c r="F225" s="66">
        <v>0.2</v>
      </c>
      <c r="G225" s="66">
        <v>0.2</v>
      </c>
      <c r="H225" s="66">
        <v>0.73</v>
      </c>
      <c r="I225" s="69">
        <v>0.93</v>
      </c>
      <c r="J225" s="66">
        <v>0</v>
      </c>
      <c r="K225" s="66">
        <v>6.9999999999999951E-2</v>
      </c>
      <c r="L225" s="19">
        <v>1.3807</v>
      </c>
      <c r="M225" s="2">
        <v>0.97199999999999998</v>
      </c>
      <c r="N225" s="2">
        <v>1055.6400000000001</v>
      </c>
      <c r="O225" s="2">
        <v>79.459999999999994</v>
      </c>
      <c r="P225" s="2">
        <v>78.95</v>
      </c>
      <c r="Q225" s="2">
        <v>828.59</v>
      </c>
      <c r="R225" s="2">
        <v>79.13</v>
      </c>
      <c r="S225" s="64">
        <f>(N225/(L225+M225))*100</f>
        <v>44869.299103158082</v>
      </c>
      <c r="T225" s="64">
        <f>(O225/(L225+M225))*100</f>
        <v>3377.3961831087681</v>
      </c>
      <c r="U225" s="72">
        <f>(P225/(L225+M225))*100</f>
        <v>3355.7189611935223</v>
      </c>
      <c r="V225" s="2">
        <f>(Q225/(L225+M225))*100</f>
        <v>35218.684915203812</v>
      </c>
      <c r="W225" s="70">
        <f>(R225/(L225+M225))*100</f>
        <v>3363.369745398903</v>
      </c>
    </row>
    <row r="226" spans="1:23" x14ac:dyDescent="0.25">
      <c r="A226" s="2">
        <v>1</v>
      </c>
      <c r="B226" s="2">
        <v>2</v>
      </c>
      <c r="C226" s="2" t="s">
        <v>384</v>
      </c>
      <c r="D226" s="2" t="s">
        <v>385</v>
      </c>
      <c r="E226" s="2" t="s">
        <v>386</v>
      </c>
      <c r="F226" s="66">
        <v>0.43</v>
      </c>
      <c r="G226" s="66">
        <v>0.43</v>
      </c>
      <c r="H226" s="66">
        <v>0.34</v>
      </c>
      <c r="I226" s="69">
        <v>0.77</v>
      </c>
      <c r="J226" s="66">
        <v>0</v>
      </c>
      <c r="K226" s="66">
        <v>0.22999999999999998</v>
      </c>
      <c r="L226" s="19">
        <v>5.57E-2</v>
      </c>
      <c r="M226" s="2">
        <v>2.2110000000000001E-2</v>
      </c>
      <c r="N226" s="19">
        <v>25.03</v>
      </c>
      <c r="O226" s="2">
        <v>8.49</v>
      </c>
      <c r="P226" s="2">
        <v>8.52</v>
      </c>
      <c r="Q226" s="2">
        <v>0</v>
      </c>
      <c r="R226" s="2">
        <v>8.5</v>
      </c>
      <c r="S226" s="64">
        <f>(N226/(L226+M226))*100</f>
        <v>32168.101786402774</v>
      </c>
      <c r="T226" s="64">
        <f>(O226/(L226+M226))*100</f>
        <v>10911.193933941653</v>
      </c>
      <c r="U226" s="72">
        <f>(P226/(L226+M226))*100</f>
        <v>10949.749389538618</v>
      </c>
      <c r="V226" s="2">
        <f>(Q226/(L226+M226))*100</f>
        <v>0</v>
      </c>
      <c r="W226" s="70">
        <f>(R226/(L226+M226))*100</f>
        <v>10924.045752473974</v>
      </c>
    </row>
    <row r="227" spans="1:23" x14ac:dyDescent="0.25">
      <c r="A227" s="2">
        <v>1</v>
      </c>
      <c r="B227" s="3">
        <v>1</v>
      </c>
      <c r="C227" s="2" t="s">
        <v>384</v>
      </c>
      <c r="D227" s="41" t="s">
        <v>722</v>
      </c>
      <c r="E227" s="2" t="s">
        <v>387</v>
      </c>
      <c r="F227" s="66">
        <v>0.74</v>
      </c>
      <c r="G227" s="66">
        <v>0.74</v>
      </c>
      <c r="H227" s="66">
        <v>0.12</v>
      </c>
      <c r="I227" s="69">
        <v>0.86</v>
      </c>
      <c r="J227" s="66">
        <v>0.02</v>
      </c>
      <c r="K227" s="66">
        <v>0.12000000000000001</v>
      </c>
      <c r="L227" s="19">
        <v>2.5899999999999999E-2</v>
      </c>
      <c r="M227" s="2">
        <v>0.27310000000000001</v>
      </c>
      <c r="N227" s="19">
        <v>69.95</v>
      </c>
      <c r="O227" s="2">
        <v>10.130000000000001</v>
      </c>
      <c r="P227" s="2">
        <v>10.29</v>
      </c>
      <c r="Q227" s="2">
        <v>35.85</v>
      </c>
      <c r="R227" s="2">
        <v>10.220000000000001</v>
      </c>
      <c r="S227" s="64">
        <f>(N227/(L227+M227))*100</f>
        <v>23394.64882943144</v>
      </c>
      <c r="T227" s="64">
        <f>(O227/(L227+M227))*100</f>
        <v>3387.9598662207363</v>
      </c>
      <c r="U227" s="72">
        <f>(P227/(L227+M227))*100</f>
        <v>3441.4715719063543</v>
      </c>
      <c r="V227" s="2">
        <f>(Q227/(L227+M227))*100</f>
        <v>11989.966555183948</v>
      </c>
      <c r="W227" s="70">
        <f>(R227/(L227+M227))*100</f>
        <v>3418.0602006688964</v>
      </c>
    </row>
    <row r="228" spans="1:23" x14ac:dyDescent="0.25">
      <c r="A228" s="2">
        <v>1</v>
      </c>
      <c r="B228" s="2">
        <v>1</v>
      </c>
      <c r="C228" s="2" t="s">
        <v>384</v>
      </c>
      <c r="D228" s="2" t="s">
        <v>388</v>
      </c>
      <c r="E228" s="2" t="s">
        <v>389</v>
      </c>
      <c r="F228" s="66">
        <v>0.02</v>
      </c>
      <c r="G228" s="66">
        <v>0.02</v>
      </c>
      <c r="H228" s="66">
        <v>0.28999999999999998</v>
      </c>
      <c r="I228" s="69">
        <v>0.31</v>
      </c>
      <c r="J228" s="66">
        <v>0</v>
      </c>
      <c r="K228" s="66">
        <v>0.69</v>
      </c>
      <c r="L228" s="19">
        <v>2.4299999999999999E-2</v>
      </c>
      <c r="M228" s="2">
        <v>0.1782</v>
      </c>
      <c r="N228" s="2">
        <v>80.84</v>
      </c>
      <c r="O228" s="2">
        <v>12.62</v>
      </c>
      <c r="P228" s="2">
        <v>12.66</v>
      </c>
      <c r="Q228" s="2">
        <v>43.98</v>
      </c>
      <c r="R228" s="2">
        <v>12.6</v>
      </c>
      <c r="S228" s="64">
        <f>(N228/(L228+M228))*100</f>
        <v>39920.98765432099</v>
      </c>
      <c r="T228" s="64">
        <f>(O228/(L228+M228))*100</f>
        <v>6232.0987654320988</v>
      </c>
      <c r="U228" s="72">
        <f>(P228/(L228+M228))*100</f>
        <v>6251.8518518518522</v>
      </c>
      <c r="V228" s="2">
        <f>(Q228/(L228+M228))*100</f>
        <v>21718.518518518518</v>
      </c>
      <c r="W228" s="70">
        <f>(R228/(L228+M228))*100</f>
        <v>6222.2222222222217</v>
      </c>
    </row>
    <row r="229" spans="1:23" x14ac:dyDescent="0.25">
      <c r="A229" s="2">
        <v>1</v>
      </c>
      <c r="B229" s="2">
        <v>1</v>
      </c>
      <c r="C229" s="2" t="s">
        <v>384</v>
      </c>
      <c r="D229" s="2" t="s">
        <v>388</v>
      </c>
      <c r="E229" s="2" t="s">
        <v>390</v>
      </c>
      <c r="F229" s="66">
        <v>0.05</v>
      </c>
      <c r="G229" s="66">
        <v>0.05</v>
      </c>
      <c r="H229" s="66">
        <v>0.33</v>
      </c>
      <c r="I229" s="69">
        <v>0.38</v>
      </c>
      <c r="J229" s="66">
        <v>0</v>
      </c>
      <c r="K229" s="66">
        <v>0.62</v>
      </c>
      <c r="L229" s="19">
        <v>2.46E-2</v>
      </c>
      <c r="M229" s="2">
        <v>0.19009999999999999</v>
      </c>
      <c r="N229" s="2">
        <v>30.39</v>
      </c>
      <c r="O229" s="2">
        <v>7.16</v>
      </c>
      <c r="P229" s="2">
        <v>7.14</v>
      </c>
      <c r="Q229" s="2">
        <v>6.12</v>
      </c>
      <c r="R229" s="2">
        <v>7.14</v>
      </c>
      <c r="S229" s="64">
        <f>(N229/(L229+M229))*100</f>
        <v>14154.634373544483</v>
      </c>
      <c r="T229" s="64">
        <f>(O229/(L229+M229))*100</f>
        <v>3334.8858872845831</v>
      </c>
      <c r="U229" s="72">
        <f>(P229/(L229+M229))*100</f>
        <v>3325.5705635770846</v>
      </c>
      <c r="V229" s="2">
        <f>(Q229/(L229+M229))*100</f>
        <v>2850.4890544946438</v>
      </c>
      <c r="W229" s="70">
        <f>(R229/(L229+M229))*100</f>
        <v>3325.5705635770846</v>
      </c>
    </row>
    <row r="230" spans="1:23" x14ac:dyDescent="0.25">
      <c r="A230" s="2">
        <v>2</v>
      </c>
      <c r="B230" s="2">
        <v>1</v>
      </c>
      <c r="C230" s="2" t="s">
        <v>391</v>
      </c>
      <c r="D230" s="2" t="s">
        <v>392</v>
      </c>
      <c r="E230" s="2" t="s">
        <v>393</v>
      </c>
      <c r="F230" s="66">
        <v>0.01</v>
      </c>
      <c r="G230" s="66">
        <v>7.0000000000000007E-2</v>
      </c>
      <c r="H230" s="66">
        <v>0.92</v>
      </c>
      <c r="I230" s="69">
        <v>0.99</v>
      </c>
      <c r="J230" s="66">
        <v>0</v>
      </c>
      <c r="K230" s="66">
        <v>1.0000000000000009E-2</v>
      </c>
      <c r="L230" s="19">
        <v>8.3000000000000004E-2</v>
      </c>
      <c r="M230" s="2">
        <v>4.7399999999999998E-2</v>
      </c>
      <c r="N230" s="19">
        <v>283.54000000000002</v>
      </c>
      <c r="O230" s="2">
        <v>6.45</v>
      </c>
      <c r="P230" s="2">
        <v>6.45</v>
      </c>
      <c r="Q230" s="2">
        <v>257.83</v>
      </c>
      <c r="R230" s="2">
        <v>6.5</v>
      </c>
      <c r="S230" s="64">
        <f>(N230/(L230+M230))*100</f>
        <v>217438.65030674846</v>
      </c>
      <c r="T230" s="64">
        <f>(O230/(L230+M230))*100</f>
        <v>4946.3190184049072</v>
      </c>
      <c r="U230" s="72">
        <f>(P230/(L230+M230))*100</f>
        <v>4946.3190184049072</v>
      </c>
      <c r="V230" s="2">
        <f>(Q230/(L230+M230))*100</f>
        <v>197722.39263803675</v>
      </c>
      <c r="W230" s="70">
        <f>(R230/(L230+M230))*100</f>
        <v>4984.6625766871157</v>
      </c>
    </row>
    <row r="231" spans="1:23" x14ac:dyDescent="0.25">
      <c r="A231" s="2">
        <v>1</v>
      </c>
      <c r="B231" s="2">
        <v>2</v>
      </c>
      <c r="C231" s="2" t="s">
        <v>394</v>
      </c>
      <c r="D231" s="2" t="s">
        <v>395</v>
      </c>
      <c r="E231" s="2" t="s">
        <v>396</v>
      </c>
      <c r="F231" s="66">
        <v>0.38461538461538464</v>
      </c>
      <c r="G231" s="66">
        <v>0.43269230769230771</v>
      </c>
      <c r="H231" s="66">
        <v>0.29807692307692307</v>
      </c>
      <c r="I231" s="69">
        <v>0.73076923076923073</v>
      </c>
      <c r="J231" s="66">
        <v>0</v>
      </c>
      <c r="K231" s="66">
        <v>0.26923076923076927</v>
      </c>
      <c r="L231" s="19">
        <v>5.5100000000000003E-2</v>
      </c>
      <c r="M231" s="2">
        <v>9.2399999999999996E-2</v>
      </c>
      <c r="N231" s="2">
        <v>35.92</v>
      </c>
      <c r="O231" s="2">
        <v>5</v>
      </c>
      <c r="P231" s="2">
        <v>5.0199999999999996</v>
      </c>
      <c r="Q231" s="2">
        <v>20.54</v>
      </c>
      <c r="R231" s="2">
        <v>5.03</v>
      </c>
      <c r="S231" s="64">
        <f>(N231/(L231+M231))*100</f>
        <v>24352.542372881358</v>
      </c>
      <c r="T231" s="64">
        <f>(O231/(L231+M231))*100</f>
        <v>3389.8305084745766</v>
      </c>
      <c r="U231" s="72">
        <f>(P231/(L231+M231))*100</f>
        <v>3403.3898305084749</v>
      </c>
      <c r="V231" s="2">
        <f>(Q231/(L231+M231))*100</f>
        <v>13925.423728813559</v>
      </c>
      <c r="W231" s="70">
        <f>(R231/(L231+M231))*100</f>
        <v>3410.1694915254243</v>
      </c>
    </row>
    <row r="232" spans="1:23" x14ac:dyDescent="0.25">
      <c r="A232" s="2">
        <v>1</v>
      </c>
      <c r="B232" s="2">
        <v>2</v>
      </c>
      <c r="C232" s="2" t="s">
        <v>394</v>
      </c>
      <c r="D232" s="2" t="s">
        <v>395</v>
      </c>
      <c r="E232" s="2" t="s">
        <v>397</v>
      </c>
      <c r="F232" s="66">
        <v>0.23148148148148148</v>
      </c>
      <c r="G232" s="66">
        <v>0.30555555555555558</v>
      </c>
      <c r="H232" s="66">
        <v>3.7037037037037035E-2</v>
      </c>
      <c r="I232" s="69">
        <v>0.34259259259259262</v>
      </c>
      <c r="J232" s="66">
        <v>0</v>
      </c>
      <c r="K232" s="66">
        <v>0.65740740740740744</v>
      </c>
      <c r="L232" s="19">
        <v>7.1999999999999995E-2</v>
      </c>
      <c r="M232" s="2">
        <v>0.13550000000000001</v>
      </c>
      <c r="N232" s="2">
        <v>24.17</v>
      </c>
      <c r="O232" s="2">
        <v>6.92</v>
      </c>
      <c r="P232" s="2">
        <v>6.97</v>
      </c>
      <c r="Q232" s="2">
        <v>3.54</v>
      </c>
      <c r="R232" s="2">
        <v>6.94</v>
      </c>
      <c r="S232" s="64">
        <f>(N232/(L232+M232))*100</f>
        <v>11648.192771084337</v>
      </c>
      <c r="T232" s="64">
        <f>(O232/(L232+M232))*100</f>
        <v>3334.9397590361441</v>
      </c>
      <c r="U232" s="72">
        <f>(P232/(L232+M232))*100</f>
        <v>3359.0361445783133</v>
      </c>
      <c r="V232" s="2">
        <f>(Q232/(L232+M232))*100</f>
        <v>1706.0240963855422</v>
      </c>
      <c r="W232" s="70">
        <f>(R232/(L232+M232))*100</f>
        <v>3344.5783132530119</v>
      </c>
    </row>
    <row r="233" spans="1:23" x14ac:dyDescent="0.25">
      <c r="A233" s="2">
        <v>2</v>
      </c>
      <c r="B233" s="2">
        <v>1</v>
      </c>
      <c r="C233" s="2" t="s">
        <v>398</v>
      </c>
      <c r="D233" s="2" t="s">
        <v>399</v>
      </c>
      <c r="E233" s="2" t="s">
        <v>400</v>
      </c>
      <c r="F233" s="66">
        <v>0.49</v>
      </c>
      <c r="G233" s="66">
        <v>0.56000000000000005</v>
      </c>
      <c r="H233" s="66">
        <v>0</v>
      </c>
      <c r="I233" s="69">
        <v>0.56000000000000005</v>
      </c>
      <c r="J233" s="66">
        <v>0.44</v>
      </c>
      <c r="K233" s="66">
        <v>-5.5511151231257827E-17</v>
      </c>
      <c r="L233" s="19">
        <v>0.14829999999999999</v>
      </c>
      <c r="M233" s="2">
        <v>0.1421</v>
      </c>
      <c r="N233" s="2">
        <v>69.540000000000006</v>
      </c>
      <c r="O233" s="2">
        <v>19.7</v>
      </c>
      <c r="P233" s="2">
        <v>19.72</v>
      </c>
      <c r="Q233" s="2">
        <v>14.89</v>
      </c>
      <c r="R233" s="2">
        <v>19.73</v>
      </c>
      <c r="S233" s="64">
        <f>(N233/(L233+M233))*100</f>
        <v>23946.280991735541</v>
      </c>
      <c r="T233" s="64">
        <f>(O233/(L233+M233))*100</f>
        <v>6783.7465564738295</v>
      </c>
      <c r="U233" s="72">
        <f>(P233/(L233+M233))*100</f>
        <v>6790.6336088154258</v>
      </c>
      <c r="V233" s="2">
        <f>(Q233/(L233+M233))*100</f>
        <v>5127.4104683195592</v>
      </c>
      <c r="W233" s="70">
        <f>(R233/(L233+M233))*100</f>
        <v>6794.0771349862262</v>
      </c>
    </row>
    <row r="234" spans="1:23" x14ac:dyDescent="0.25">
      <c r="A234" s="2" t="s">
        <v>725</v>
      </c>
      <c r="B234" s="2">
        <v>1</v>
      </c>
      <c r="C234" s="2" t="s">
        <v>401</v>
      </c>
      <c r="D234" s="2" t="s">
        <v>402</v>
      </c>
      <c r="E234" s="2" t="s">
        <v>403</v>
      </c>
      <c r="F234" s="66">
        <v>0.25</v>
      </c>
      <c r="G234" s="66">
        <v>0.25</v>
      </c>
      <c r="H234" s="66">
        <v>0.26</v>
      </c>
      <c r="I234" s="69">
        <v>0.51</v>
      </c>
      <c r="J234" s="66">
        <v>0.48</v>
      </c>
      <c r="K234" s="66">
        <v>1.0000000000000009E-2</v>
      </c>
      <c r="L234" s="19">
        <v>0.1681</v>
      </c>
      <c r="M234" s="2">
        <v>9.8799999999999999E-2</v>
      </c>
      <c r="N234" s="2">
        <v>338.65</v>
      </c>
      <c r="O234" s="2">
        <v>8.89</v>
      </c>
      <c r="P234" s="2">
        <v>8.89</v>
      </c>
      <c r="Q234" s="2">
        <v>279.36</v>
      </c>
      <c r="R234" s="2">
        <v>8.8699999999999992</v>
      </c>
      <c r="S234" s="64">
        <f>(N234/(L234+M234))*100</f>
        <v>126882.72761333831</v>
      </c>
      <c r="T234" s="64">
        <f>(O234/(L234+M234))*100</f>
        <v>3330.8355189209442</v>
      </c>
      <c r="U234" s="72">
        <f>(P234/(L234+M234))*100</f>
        <v>3330.8355189209442</v>
      </c>
      <c r="V234" s="2">
        <f>(Q234/(L234+M234))*100</f>
        <v>104668.41513675533</v>
      </c>
      <c r="W234" s="70">
        <f>(R234/(L234+M234))*100</f>
        <v>3323.3420756837759</v>
      </c>
    </row>
    <row r="235" spans="1:23" x14ac:dyDescent="0.25">
      <c r="A235" s="2">
        <v>3</v>
      </c>
      <c r="B235" s="2">
        <v>1</v>
      </c>
      <c r="C235" s="2" t="s">
        <v>401</v>
      </c>
      <c r="D235" s="2" t="s">
        <v>404</v>
      </c>
      <c r="E235" s="2" t="s">
        <v>405</v>
      </c>
      <c r="F235" s="66">
        <v>0.1</v>
      </c>
      <c r="G235" s="66">
        <v>0.1</v>
      </c>
      <c r="H235" s="66">
        <v>0</v>
      </c>
      <c r="I235" s="69">
        <v>0.1</v>
      </c>
      <c r="J235" s="66">
        <v>0.9</v>
      </c>
      <c r="K235" s="66">
        <v>0</v>
      </c>
      <c r="L235" s="19">
        <v>0.1249</v>
      </c>
      <c r="M235" s="2">
        <v>9.1700000000000004E-2</v>
      </c>
      <c r="N235" s="19">
        <v>44.82</v>
      </c>
      <c r="O235" s="2">
        <v>7.2</v>
      </c>
      <c r="P235" s="2">
        <v>7.23</v>
      </c>
      <c r="Q235" s="2">
        <v>23.97</v>
      </c>
      <c r="R235" s="2">
        <v>7.21</v>
      </c>
      <c r="S235" s="64">
        <f>(N235/(L235+M235))*100</f>
        <v>20692.520775623267</v>
      </c>
      <c r="T235" s="64">
        <f>(O235/(L235+M235))*100</f>
        <v>3324.0997229916893</v>
      </c>
      <c r="U235" s="72">
        <f>(P235/(L235+M235))*100</f>
        <v>3337.9501385041549</v>
      </c>
      <c r="V235" s="2">
        <f>(Q235/(L235+M235))*100</f>
        <v>11066.481994459831</v>
      </c>
      <c r="W235" s="70">
        <f>(R235/(L235+M235))*100</f>
        <v>3328.7165281625116</v>
      </c>
    </row>
    <row r="236" spans="1:23" x14ac:dyDescent="0.25">
      <c r="A236" s="2">
        <v>3</v>
      </c>
      <c r="B236" s="2">
        <v>1</v>
      </c>
      <c r="C236" s="2" t="s">
        <v>401</v>
      </c>
      <c r="D236" s="2" t="s">
        <v>404</v>
      </c>
      <c r="E236" s="2" t="s">
        <v>406</v>
      </c>
      <c r="F236" s="66">
        <v>0.04</v>
      </c>
      <c r="G236" s="66">
        <v>0.04</v>
      </c>
      <c r="H236" s="66">
        <v>0</v>
      </c>
      <c r="I236" s="69">
        <v>0.04</v>
      </c>
      <c r="J236" s="66">
        <v>0.96</v>
      </c>
      <c r="K236" s="66">
        <v>0</v>
      </c>
      <c r="L236" s="19">
        <v>0.10979999999999999</v>
      </c>
      <c r="M236" s="2">
        <v>8.4099999999999994E-2</v>
      </c>
      <c r="N236" s="19">
        <v>89.88</v>
      </c>
      <c r="O236" s="2">
        <v>6.49</v>
      </c>
      <c r="P236" s="2">
        <v>6.46</v>
      </c>
      <c r="Q236" s="2">
        <v>67.53</v>
      </c>
      <c r="R236" s="2">
        <v>6.44</v>
      </c>
      <c r="S236" s="64">
        <f>(N236/(L236+M236))*100</f>
        <v>46353.790613718411</v>
      </c>
      <c r="T236" s="64">
        <f>(O236/(L236+M236))*100</f>
        <v>3347.0861268695207</v>
      </c>
      <c r="U236" s="72">
        <f>(P236/(L236+M236))*100</f>
        <v>3331.6142341413097</v>
      </c>
      <c r="V236" s="2">
        <f>(Q236/(L236+M236))*100</f>
        <v>34827.230531201654</v>
      </c>
      <c r="W236" s="70">
        <f>(R236/(L236+M236))*100</f>
        <v>3321.29963898917</v>
      </c>
    </row>
    <row r="237" spans="1:23" x14ac:dyDescent="0.25">
      <c r="A237" s="2">
        <v>3</v>
      </c>
      <c r="B237" s="2">
        <v>1</v>
      </c>
      <c r="C237" s="2" t="s">
        <v>401</v>
      </c>
      <c r="D237" s="2" t="s">
        <v>404</v>
      </c>
      <c r="E237" s="2" t="s">
        <v>407</v>
      </c>
      <c r="F237" s="66">
        <v>0.12</v>
      </c>
      <c r="G237" s="66">
        <v>0.12</v>
      </c>
      <c r="H237" s="66">
        <v>0.11</v>
      </c>
      <c r="I237" s="69">
        <v>0.23</v>
      </c>
      <c r="J237" s="66">
        <v>0.7</v>
      </c>
      <c r="K237" s="66">
        <v>7.0000000000000062E-2</v>
      </c>
      <c r="L237" s="19">
        <v>0.18540000000000001</v>
      </c>
      <c r="M237" s="2">
        <v>8.2500000000000004E-2</v>
      </c>
      <c r="N237" s="2">
        <v>489.12</v>
      </c>
      <c r="O237" s="2">
        <v>19.55</v>
      </c>
      <c r="P237" s="2">
        <v>23.53</v>
      </c>
      <c r="Q237" s="2">
        <v>399.77</v>
      </c>
      <c r="R237" s="2">
        <v>24.73</v>
      </c>
      <c r="S237" s="64">
        <f>(N237/(L237+M237))*100</f>
        <v>182575.58790593501</v>
      </c>
      <c r="T237" s="64">
        <f>(O237/(L237+M237))*100</f>
        <v>7297.4990668159762</v>
      </c>
      <c r="U237" s="72">
        <f>(P237/(L237+M237))*100</f>
        <v>8783.1280328480771</v>
      </c>
      <c r="V237" s="2">
        <f>(Q237/(L237+M237))*100</f>
        <v>149223.5908921239</v>
      </c>
      <c r="W237" s="70">
        <f>(R237/(L237+M237))*100</f>
        <v>9231.0563643150417</v>
      </c>
    </row>
    <row r="238" spans="1:23" x14ac:dyDescent="0.25">
      <c r="A238" s="2">
        <v>3</v>
      </c>
      <c r="B238" s="2">
        <v>1</v>
      </c>
      <c r="C238" s="2" t="s">
        <v>401</v>
      </c>
      <c r="D238" s="2" t="s">
        <v>404</v>
      </c>
      <c r="E238" s="2" t="s">
        <v>408</v>
      </c>
      <c r="F238" s="66">
        <v>0.54</v>
      </c>
      <c r="G238" s="66">
        <v>0.65</v>
      </c>
      <c r="H238" s="66">
        <v>0.08</v>
      </c>
      <c r="I238" s="69">
        <v>0.73</v>
      </c>
      <c r="J238" s="66">
        <v>0</v>
      </c>
      <c r="K238" s="66">
        <v>0.27</v>
      </c>
      <c r="L238" s="19">
        <v>9.7600000000000006E-2</v>
      </c>
      <c r="M238" s="2">
        <v>0.1027</v>
      </c>
      <c r="N238" s="19">
        <v>83.65</v>
      </c>
      <c r="O238" s="2">
        <v>6.69</v>
      </c>
      <c r="P238" s="2">
        <v>6.87</v>
      </c>
      <c r="Q238" s="2">
        <v>65.3</v>
      </c>
      <c r="R238" s="2">
        <v>6.73</v>
      </c>
      <c r="S238" s="64">
        <f>(N238/(L238+M238))*100</f>
        <v>41762.356465302051</v>
      </c>
      <c r="T238" s="64">
        <f>(O238/(L238+M238))*100</f>
        <v>3339.990014977534</v>
      </c>
      <c r="U238" s="72">
        <f>(P238/(L238+M238))*100</f>
        <v>3429.8552171742385</v>
      </c>
      <c r="V238" s="2">
        <f>(Q238/(L238+M238))*100</f>
        <v>32601.09835247129</v>
      </c>
      <c r="W238" s="70">
        <f>(R238/(L238+M238))*100</f>
        <v>3359.960059910135</v>
      </c>
    </row>
    <row r="239" spans="1:23" x14ac:dyDescent="0.25">
      <c r="A239" s="2">
        <v>3</v>
      </c>
      <c r="B239" s="2" t="s">
        <v>725</v>
      </c>
      <c r="C239" s="2" t="s">
        <v>401</v>
      </c>
      <c r="D239" s="2" t="s">
        <v>404</v>
      </c>
      <c r="E239" s="2" t="s">
        <v>409</v>
      </c>
      <c r="F239" s="66">
        <v>0.03</v>
      </c>
      <c r="G239" s="66">
        <v>0.03</v>
      </c>
      <c r="H239" s="66">
        <v>0.11</v>
      </c>
      <c r="I239" s="69">
        <v>0.14000000000000001</v>
      </c>
      <c r="J239" s="66">
        <v>0.85</v>
      </c>
      <c r="K239" s="66">
        <v>1.0000000000000009E-2</v>
      </c>
      <c r="L239" s="19">
        <v>0.1179</v>
      </c>
      <c r="M239" s="2">
        <v>9.9900000000000003E-2</v>
      </c>
      <c r="N239" s="2">
        <v>174.02</v>
      </c>
      <c r="O239" s="2">
        <v>7.37</v>
      </c>
      <c r="P239" s="2">
        <v>7.39</v>
      </c>
      <c r="Q239" s="2">
        <v>139.58000000000001</v>
      </c>
      <c r="R239" s="2">
        <v>7.38</v>
      </c>
      <c r="S239" s="64">
        <f>(N239/(L239+M239))*100</f>
        <v>79898.989898989908</v>
      </c>
      <c r="T239" s="64">
        <f>(O239/(L239+M239))*100</f>
        <v>3383.8383838383843</v>
      </c>
      <c r="U239" s="72">
        <f>(P239/(L239+M239))*100</f>
        <v>3393.0211202938472</v>
      </c>
      <c r="V239" s="2">
        <f>(Q239/(L239+M239))*100</f>
        <v>64086.317722681371</v>
      </c>
      <c r="W239" s="70">
        <f>(R239/(L239+M239))*100</f>
        <v>3388.4297520661157</v>
      </c>
    </row>
    <row r="240" spans="1:23" x14ac:dyDescent="0.25">
      <c r="A240" s="2">
        <v>3</v>
      </c>
      <c r="B240" s="2">
        <v>1</v>
      </c>
      <c r="C240" s="2" t="s">
        <v>401</v>
      </c>
      <c r="D240" s="2" t="s">
        <v>404</v>
      </c>
      <c r="E240" s="2" t="s">
        <v>410</v>
      </c>
      <c r="F240" s="66">
        <v>0.05</v>
      </c>
      <c r="G240" s="66">
        <v>0.05</v>
      </c>
      <c r="H240" s="66">
        <v>0</v>
      </c>
      <c r="I240" s="69">
        <v>0.05</v>
      </c>
      <c r="J240" s="66">
        <v>0.95</v>
      </c>
      <c r="K240" s="66">
        <v>0</v>
      </c>
      <c r="L240" s="19">
        <v>7.8600000000000003E-2</v>
      </c>
      <c r="M240" s="2">
        <v>3.1699999999999999E-2</v>
      </c>
      <c r="N240" s="2">
        <v>88.09</v>
      </c>
      <c r="O240" s="2">
        <v>4.53</v>
      </c>
      <c r="P240" s="2">
        <v>4.55</v>
      </c>
      <c r="Q240" s="2">
        <v>75.349999999999994</v>
      </c>
      <c r="R240" s="2">
        <v>4.59</v>
      </c>
      <c r="S240" s="64">
        <f>(N240/(L240+M240))*100</f>
        <v>79864.007252946511</v>
      </c>
      <c r="T240" s="64">
        <f>(O240/(L240+M240))*100</f>
        <v>4106.9809610154125</v>
      </c>
      <c r="U240" s="72">
        <f>(P240/(L240+M240))*100</f>
        <v>4125.1133272892102</v>
      </c>
      <c r="V240" s="2">
        <f>(Q240/(L240+M240))*100</f>
        <v>68313.689936536714</v>
      </c>
      <c r="W240" s="70">
        <f>(R240/(L240+M240))*100</f>
        <v>4161.3780598368085</v>
      </c>
    </row>
    <row r="241" spans="1:23" x14ac:dyDescent="0.25">
      <c r="A241" s="2">
        <v>3</v>
      </c>
      <c r="B241" s="2">
        <v>1</v>
      </c>
      <c r="C241" s="2" t="s">
        <v>401</v>
      </c>
      <c r="D241" s="2" t="s">
        <v>404</v>
      </c>
      <c r="E241" s="2" t="s">
        <v>411</v>
      </c>
      <c r="F241" s="66">
        <v>0.35353535353535354</v>
      </c>
      <c r="G241" s="66">
        <v>0.45454545454545453</v>
      </c>
      <c r="H241" s="66">
        <v>0.17171717171717171</v>
      </c>
      <c r="I241" s="69">
        <v>0.6262626262626263</v>
      </c>
      <c r="J241" s="66">
        <v>0</v>
      </c>
      <c r="K241" s="66">
        <v>0.3737373737373737</v>
      </c>
      <c r="L241" s="19">
        <v>8.9300000000000004E-2</v>
      </c>
      <c r="M241" s="2">
        <v>8.2799999999999999E-2</v>
      </c>
      <c r="N241" s="2">
        <v>428.19</v>
      </c>
      <c r="O241" s="2">
        <v>5.73</v>
      </c>
      <c r="P241" s="2">
        <v>5.72</v>
      </c>
      <c r="Q241" s="2">
        <v>408.13</v>
      </c>
      <c r="R241" s="2">
        <v>5.73</v>
      </c>
      <c r="S241" s="64">
        <f>(N241/(L241+M241))*100</f>
        <v>248803.0214991284</v>
      </c>
      <c r="T241" s="64">
        <f>(O241/(L241+M241))*100</f>
        <v>3329.4596165020339</v>
      </c>
      <c r="U241" s="72">
        <f>(P241/(L241+M241))*100</f>
        <v>3323.6490412550843</v>
      </c>
      <c r="V241" s="2">
        <f>(Q241/(L241+M241))*100</f>
        <v>237147.00755374783</v>
      </c>
      <c r="W241" s="70">
        <f>(R241/(L241+M241))*100</f>
        <v>3329.4596165020339</v>
      </c>
    </row>
    <row r="242" spans="1:23" x14ac:dyDescent="0.25">
      <c r="A242" s="2">
        <v>3</v>
      </c>
      <c r="B242" s="2">
        <v>1</v>
      </c>
      <c r="C242" s="2" t="s">
        <v>401</v>
      </c>
      <c r="D242" s="2" t="s">
        <v>404</v>
      </c>
      <c r="E242" s="2" t="s">
        <v>412</v>
      </c>
      <c r="F242" s="66">
        <v>0.04</v>
      </c>
      <c r="G242" s="66">
        <v>0.04</v>
      </c>
      <c r="H242" s="66">
        <v>0.2</v>
      </c>
      <c r="I242" s="69">
        <v>0.24</v>
      </c>
      <c r="J242" s="66">
        <v>0.72</v>
      </c>
      <c r="K242" s="66">
        <v>4.0000000000000036E-2</v>
      </c>
      <c r="L242" s="19">
        <v>0.1028</v>
      </c>
      <c r="M242" s="2">
        <v>7.3200000000000001E-2</v>
      </c>
      <c r="N242" s="2">
        <v>80.94</v>
      </c>
      <c r="O242" s="2">
        <v>9.4</v>
      </c>
      <c r="P242" s="2">
        <v>9.4</v>
      </c>
      <c r="Q242" s="2">
        <v>53.75</v>
      </c>
      <c r="R242" s="2">
        <v>9.3000000000000007</v>
      </c>
      <c r="S242" s="64">
        <f>(N242/(L242+M242))*100</f>
        <v>45988.63636363636</v>
      </c>
      <c r="T242" s="64">
        <f>(O242/(L242+M242))*100</f>
        <v>5340.909090909091</v>
      </c>
      <c r="U242" s="72">
        <f>(P242/(L242+M242))*100</f>
        <v>5340.909090909091</v>
      </c>
      <c r="V242" s="2">
        <f>(Q242/(L242+M242))*100</f>
        <v>30539.772727272732</v>
      </c>
      <c r="W242" s="70">
        <f>(R242/(L242+M242))*100</f>
        <v>5284.0909090909099</v>
      </c>
    </row>
    <row r="243" spans="1:23" x14ac:dyDescent="0.25">
      <c r="A243" s="2">
        <v>3</v>
      </c>
      <c r="B243" s="2">
        <v>1</v>
      </c>
      <c r="C243" s="2" t="s">
        <v>401</v>
      </c>
      <c r="D243" s="2" t="s">
        <v>404</v>
      </c>
      <c r="E243" s="2" t="s">
        <v>413</v>
      </c>
      <c r="F243" s="66">
        <v>0.06</v>
      </c>
      <c r="G243" s="66">
        <v>0.06</v>
      </c>
      <c r="H243" s="66">
        <v>0.18</v>
      </c>
      <c r="I243" s="69">
        <v>0.24</v>
      </c>
      <c r="J243" s="66">
        <v>0.76</v>
      </c>
      <c r="K243" s="66">
        <v>0</v>
      </c>
      <c r="L243" s="19">
        <v>9.8599999999999993E-2</v>
      </c>
      <c r="M243" s="2">
        <v>6.6699999999999995E-2</v>
      </c>
      <c r="N243" s="2">
        <v>35.82</v>
      </c>
      <c r="O243" s="2">
        <v>5.52</v>
      </c>
      <c r="P243" s="2">
        <v>5.52</v>
      </c>
      <c r="Q243" s="2">
        <v>18.920000000000002</v>
      </c>
      <c r="R243" s="2">
        <v>5.5</v>
      </c>
      <c r="S243" s="64">
        <f>(N243/(L243+M243))*100</f>
        <v>21669.691470054444</v>
      </c>
      <c r="T243" s="64">
        <f>(O243/(L243+M243))*100</f>
        <v>3339.3829401088929</v>
      </c>
      <c r="U243" s="72">
        <f>(P243/(L243+M243))*100</f>
        <v>3339.3829401088929</v>
      </c>
      <c r="V243" s="2">
        <f>(Q243/(L243+M243))*100</f>
        <v>11445.856019358744</v>
      </c>
      <c r="W243" s="70">
        <f>(R243/(L243+M243))*100</f>
        <v>3327.2837265577737</v>
      </c>
    </row>
    <row r="244" spans="1:23" x14ac:dyDescent="0.25">
      <c r="A244" s="2">
        <v>1</v>
      </c>
      <c r="B244" s="2">
        <v>2</v>
      </c>
      <c r="C244" s="2" t="s">
        <v>414</v>
      </c>
      <c r="D244" s="2" t="s">
        <v>311</v>
      </c>
      <c r="E244" s="2" t="s">
        <v>415</v>
      </c>
      <c r="F244" s="66">
        <v>0.02</v>
      </c>
      <c r="G244" s="66">
        <v>0.02</v>
      </c>
      <c r="H244" s="66">
        <v>0.28999999999999998</v>
      </c>
      <c r="I244" s="69">
        <v>0.31</v>
      </c>
      <c r="J244" s="66">
        <v>0.28999999999999998</v>
      </c>
      <c r="K244" s="66">
        <v>0.39999999999999997</v>
      </c>
      <c r="L244" s="19">
        <v>0.122</v>
      </c>
      <c r="M244" s="2">
        <v>5.1700000000000003E-2</v>
      </c>
      <c r="N244" s="2">
        <v>27.8</v>
      </c>
      <c r="O244" s="2">
        <v>5.79</v>
      </c>
      <c r="P244" s="2">
        <v>5.83</v>
      </c>
      <c r="Q244" s="2">
        <v>10.3</v>
      </c>
      <c r="R244" s="2">
        <v>5.64</v>
      </c>
      <c r="S244" s="64">
        <f>(N244/(L244+M244))*100</f>
        <v>16004.605641911343</v>
      </c>
      <c r="T244" s="64">
        <f>(O244/(L244+M244))*100</f>
        <v>3333.3333333333335</v>
      </c>
      <c r="U244" s="72">
        <f>(P244/(L244+M244))*100</f>
        <v>3356.3615428900407</v>
      </c>
      <c r="V244" s="2">
        <f>(Q244/(L244+M244))*100</f>
        <v>5929.763960852044</v>
      </c>
      <c r="W244" s="70">
        <f>(R244/(L244+M244))*100</f>
        <v>3246.9775474956818</v>
      </c>
    </row>
    <row r="245" spans="1:23" x14ac:dyDescent="0.25">
      <c r="A245" s="2">
        <v>1</v>
      </c>
      <c r="B245" s="2">
        <v>2</v>
      </c>
      <c r="C245" s="2" t="s">
        <v>414</v>
      </c>
      <c r="D245" s="2" t="s">
        <v>311</v>
      </c>
      <c r="E245" s="2" t="s">
        <v>416</v>
      </c>
      <c r="F245" s="66">
        <v>0</v>
      </c>
      <c r="G245" s="66">
        <v>0.01</v>
      </c>
      <c r="H245" s="66">
        <v>0.43</v>
      </c>
      <c r="I245" s="69">
        <v>0.44</v>
      </c>
      <c r="J245" s="66">
        <v>0.23</v>
      </c>
      <c r="K245" s="66">
        <v>0.33000000000000007</v>
      </c>
      <c r="L245" s="19">
        <v>0.17879999999999999</v>
      </c>
      <c r="M245" s="2">
        <v>3.2199999999999999E-2</v>
      </c>
      <c r="N245" s="2">
        <v>22.15</v>
      </c>
      <c r="O245" s="2">
        <v>7.09</v>
      </c>
      <c r="P245" s="2">
        <v>7.06</v>
      </c>
      <c r="Q245" s="2">
        <v>0.96</v>
      </c>
      <c r="R245" s="2">
        <v>7.07</v>
      </c>
      <c r="S245" s="64">
        <f>(N245/(L245+M245))*100</f>
        <v>10497.630331753553</v>
      </c>
      <c r="T245" s="64">
        <f>(O245/(L245+M245))*100</f>
        <v>3360.1895734597156</v>
      </c>
      <c r="U245" s="72">
        <f>(P245/(L245+M245))*100</f>
        <v>3345.9715639810424</v>
      </c>
      <c r="V245" s="2">
        <f>(Q245/(L245+M245))*100</f>
        <v>454.97630331753555</v>
      </c>
      <c r="W245" s="70">
        <f>(R245/(L245+M245))*100</f>
        <v>3350.7109004739341</v>
      </c>
    </row>
    <row r="246" spans="1:23" x14ac:dyDescent="0.25">
      <c r="A246" s="2">
        <v>1</v>
      </c>
      <c r="B246" s="2">
        <v>2</v>
      </c>
      <c r="C246" s="2" t="s">
        <v>414</v>
      </c>
      <c r="D246" s="2" t="s">
        <v>311</v>
      </c>
      <c r="E246" s="2" t="s">
        <v>417</v>
      </c>
      <c r="F246" s="66">
        <v>0</v>
      </c>
      <c r="G246" s="66">
        <v>0</v>
      </c>
      <c r="H246" s="66">
        <v>0.81</v>
      </c>
      <c r="I246" s="69">
        <v>0.81</v>
      </c>
      <c r="J246" s="66">
        <v>0.03</v>
      </c>
      <c r="K246" s="66">
        <v>0.15999999999999995</v>
      </c>
      <c r="L246" s="19">
        <v>0.24329999999999999</v>
      </c>
      <c r="M246" s="2">
        <v>7.1099999999999997E-2</v>
      </c>
      <c r="N246" s="2">
        <v>87.37</v>
      </c>
      <c r="O246" s="2">
        <v>10.54</v>
      </c>
      <c r="P246" s="2">
        <v>10.53</v>
      </c>
      <c r="Q246" s="2">
        <v>56.05</v>
      </c>
      <c r="R246" s="2">
        <v>10.53</v>
      </c>
      <c r="S246" s="64">
        <f>(N246/(L246+M246))*100</f>
        <v>27789.440203562339</v>
      </c>
      <c r="T246" s="64">
        <f>(O246/(L246+M246))*100</f>
        <v>3352.4173027989818</v>
      </c>
      <c r="U246" s="72">
        <f>(P246/(L246+M246))*100</f>
        <v>3349.2366412213732</v>
      </c>
      <c r="V246" s="2">
        <f>(Q246/(L246+M246))*100</f>
        <v>17827.608142493635</v>
      </c>
      <c r="W246" s="70">
        <f>(R246/(L246+M246))*100</f>
        <v>3349.2366412213732</v>
      </c>
    </row>
    <row r="247" spans="1:23" x14ac:dyDescent="0.25">
      <c r="A247" s="2">
        <v>1</v>
      </c>
      <c r="B247" s="2">
        <v>2</v>
      </c>
      <c r="C247" s="2" t="s">
        <v>414</v>
      </c>
      <c r="D247" s="2" t="s">
        <v>311</v>
      </c>
      <c r="E247" s="2" t="s">
        <v>418</v>
      </c>
      <c r="F247" s="66">
        <v>1.9607843137254902E-2</v>
      </c>
      <c r="G247" s="66">
        <v>1.9607843137254902E-2</v>
      </c>
      <c r="H247" s="66">
        <v>0.27450980392156865</v>
      </c>
      <c r="I247" s="69">
        <v>0.29411764705882354</v>
      </c>
      <c r="J247" s="66">
        <v>0.3235294117647059</v>
      </c>
      <c r="K247" s="66">
        <v>0.38235294117647051</v>
      </c>
      <c r="L247" s="19">
        <v>0.15310000000000001</v>
      </c>
      <c r="M247" s="2">
        <v>2.1700000000000001E-2</v>
      </c>
      <c r="N247" s="2">
        <v>81.489999999999995</v>
      </c>
      <c r="O247" s="2">
        <v>5.87</v>
      </c>
      <c r="P247" s="2">
        <v>5.84</v>
      </c>
      <c r="Q247" s="2">
        <v>63.17</v>
      </c>
      <c r="R247" s="2">
        <v>5.9</v>
      </c>
      <c r="S247" s="64">
        <f>(N247/(L247+M247))*100</f>
        <v>46618.993135011435</v>
      </c>
      <c r="T247" s="64">
        <f>(O247/(L247+M247))*100</f>
        <v>3358.1235697940501</v>
      </c>
      <c r="U247" s="72">
        <f>(P247/(L247+M247))*100</f>
        <v>3340.9610983981693</v>
      </c>
      <c r="V247" s="2">
        <f>(Q247/(L247+M247))*100</f>
        <v>36138.443935926771</v>
      </c>
      <c r="W247" s="70">
        <f>(R247/(L247+M247))*100</f>
        <v>3375.2860411899314</v>
      </c>
    </row>
    <row r="248" spans="1:23" x14ac:dyDescent="0.25">
      <c r="A248" s="2" t="s">
        <v>724</v>
      </c>
      <c r="B248" s="2">
        <v>2</v>
      </c>
      <c r="C248" s="2" t="s">
        <v>414</v>
      </c>
      <c r="D248" s="2" t="s">
        <v>311</v>
      </c>
      <c r="E248" s="2" t="s">
        <v>419</v>
      </c>
      <c r="F248" s="66">
        <v>0.02</v>
      </c>
      <c r="G248" s="66">
        <v>0.02</v>
      </c>
      <c r="H248" s="66">
        <v>0.61</v>
      </c>
      <c r="I248" s="69">
        <v>0.63</v>
      </c>
      <c r="J248" s="66">
        <v>0.03</v>
      </c>
      <c r="K248" s="66">
        <v>0.33999999999999997</v>
      </c>
      <c r="L248" s="19">
        <v>0.2291</v>
      </c>
      <c r="M248" s="2">
        <v>6.2799999999999995E-2</v>
      </c>
      <c r="N248" s="2">
        <v>16.8</v>
      </c>
      <c r="O248" s="2">
        <v>8.43</v>
      </c>
      <c r="P248" s="2">
        <v>8.39</v>
      </c>
      <c r="Q248" s="2">
        <v>0</v>
      </c>
      <c r="R248" s="2">
        <v>0</v>
      </c>
      <c r="S248" s="64">
        <f>(N248/(L248+M248))*100</f>
        <v>5755.3956834532382</v>
      </c>
      <c r="T248" s="64">
        <f>(O248/(L248+M248))*100</f>
        <v>2887.9753340184993</v>
      </c>
      <c r="U248" s="72">
        <f>(P248/(L248+M248))*100</f>
        <v>2874.2720109626584</v>
      </c>
      <c r="V248" s="2">
        <f>(Q248/(L248+M248))*100</f>
        <v>0</v>
      </c>
      <c r="W248" s="70">
        <f>(R248/(L248+M248))*100</f>
        <v>0</v>
      </c>
    </row>
    <row r="249" spans="1:23" x14ac:dyDescent="0.25">
      <c r="A249" s="2" t="s">
        <v>724</v>
      </c>
      <c r="B249" s="2">
        <v>2</v>
      </c>
      <c r="C249" s="2" t="s">
        <v>414</v>
      </c>
      <c r="D249" s="2" t="s">
        <v>311</v>
      </c>
      <c r="E249" s="2" t="s">
        <v>420</v>
      </c>
      <c r="F249" s="66">
        <v>0.05</v>
      </c>
      <c r="G249" s="66">
        <v>0.05</v>
      </c>
      <c r="H249" s="66">
        <v>0.6</v>
      </c>
      <c r="I249" s="69">
        <v>0.65</v>
      </c>
      <c r="J249" s="66">
        <v>0.13</v>
      </c>
      <c r="K249" s="66">
        <v>0.21999999999999997</v>
      </c>
      <c r="L249" s="19">
        <v>0.2208</v>
      </c>
      <c r="M249" s="2">
        <v>3.9800000000000002E-2</v>
      </c>
      <c r="N249" s="2">
        <v>10.15</v>
      </c>
      <c r="O249" s="2">
        <v>5.0599999999999996</v>
      </c>
      <c r="P249" s="2">
        <v>4.99</v>
      </c>
      <c r="Q249" s="2">
        <v>0</v>
      </c>
      <c r="R249" s="2">
        <v>0</v>
      </c>
      <c r="S249" s="64">
        <f>(N249/(L249+M249))*100</f>
        <v>3894.8580199539529</v>
      </c>
      <c r="T249" s="64">
        <f>(O249/(L249+M249))*100</f>
        <v>1941.6730621642362</v>
      </c>
      <c r="U249" s="72">
        <f>(P249/(L249+M249))*100</f>
        <v>1914.8119723714506</v>
      </c>
      <c r="V249" s="2">
        <f>(Q249/(L249+M249))*100</f>
        <v>0</v>
      </c>
      <c r="W249" s="70">
        <f>(R249/(L249+M249))*100</f>
        <v>0</v>
      </c>
    </row>
    <row r="250" spans="1:23" x14ac:dyDescent="0.25">
      <c r="A250" s="2">
        <v>1</v>
      </c>
      <c r="B250" s="2">
        <v>1</v>
      </c>
      <c r="C250" s="2" t="s">
        <v>414</v>
      </c>
      <c r="D250" s="2" t="s">
        <v>421</v>
      </c>
      <c r="E250" s="2" t="s">
        <v>422</v>
      </c>
      <c r="F250" s="66">
        <v>0.01</v>
      </c>
      <c r="G250" s="66">
        <v>0.01</v>
      </c>
      <c r="H250" s="66">
        <v>0.84</v>
      </c>
      <c r="I250" s="69">
        <v>0.85</v>
      </c>
      <c r="J250" s="66">
        <v>0</v>
      </c>
      <c r="K250" s="66">
        <v>0.15000000000000002</v>
      </c>
      <c r="L250" s="19">
        <v>8.1600000000000006E-3</v>
      </c>
      <c r="M250" s="2">
        <v>4.4699999999999997E-2</v>
      </c>
      <c r="N250" s="2">
        <v>333.74</v>
      </c>
      <c r="O250" s="2">
        <v>7</v>
      </c>
      <c r="P250" s="2">
        <v>7.11</v>
      </c>
      <c r="Q250" s="2">
        <v>294.64999999999998</v>
      </c>
      <c r="R250" s="2">
        <v>7.09</v>
      </c>
      <c r="S250" s="64">
        <f>(N250/(L250+M250))*100</f>
        <v>631365.87211502087</v>
      </c>
      <c r="T250" s="64">
        <f>(O250/(L250+M250))*100</f>
        <v>13242.527430949678</v>
      </c>
      <c r="U250" s="72">
        <f>(P250/(L250+M250))*100</f>
        <v>13450.624290578889</v>
      </c>
      <c r="V250" s="2">
        <f>(Q250/(L250+M250))*100</f>
        <v>557415.8153613318</v>
      </c>
      <c r="W250" s="70">
        <f>(R250/(L250+M250))*100</f>
        <v>13412.788497919033</v>
      </c>
    </row>
    <row r="251" spans="1:23" x14ac:dyDescent="0.25">
      <c r="A251" s="2">
        <v>2</v>
      </c>
      <c r="B251" s="2">
        <v>1</v>
      </c>
      <c r="C251" s="2" t="s">
        <v>423</v>
      </c>
      <c r="D251" s="2" t="s">
        <v>424</v>
      </c>
      <c r="E251" s="2" t="s">
        <v>425</v>
      </c>
      <c r="F251" s="66">
        <v>0</v>
      </c>
      <c r="G251" s="66">
        <v>0</v>
      </c>
      <c r="H251" s="66">
        <v>0.15</v>
      </c>
      <c r="I251" s="69">
        <v>0.15</v>
      </c>
      <c r="J251" s="66">
        <v>0.14000000000000001</v>
      </c>
      <c r="K251" s="66">
        <v>0.71</v>
      </c>
      <c r="L251" s="19">
        <v>0.01</v>
      </c>
      <c r="M251" s="2">
        <v>7.5499999999999998E-2</v>
      </c>
      <c r="N251" s="2">
        <v>19.88</v>
      </c>
      <c r="O251" s="2">
        <v>2.84</v>
      </c>
      <c r="P251" s="2">
        <v>2.88</v>
      </c>
      <c r="Q251" s="2">
        <v>10.029999999999999</v>
      </c>
      <c r="R251" s="2">
        <v>2.9</v>
      </c>
      <c r="S251" s="64">
        <f>(N251/(L251+M251))*100</f>
        <v>23251.461988304094</v>
      </c>
      <c r="T251" s="64">
        <f>(O251/(L251+M251))*100</f>
        <v>3321.6374269005846</v>
      </c>
      <c r="U251" s="72">
        <f>(P251/(L251+M251))*100</f>
        <v>3368.4210526315787</v>
      </c>
      <c r="V251" s="2">
        <f>(Q251/(L251+M251))*100</f>
        <v>11730.994152046784</v>
      </c>
      <c r="W251" s="70">
        <f>(R251/(L251+M251))*100</f>
        <v>3391.8128654970765</v>
      </c>
    </row>
    <row r="252" spans="1:23" x14ac:dyDescent="0.25">
      <c r="A252" s="2">
        <v>1</v>
      </c>
      <c r="B252" s="2">
        <v>2</v>
      </c>
      <c r="C252" s="2" t="s">
        <v>423</v>
      </c>
      <c r="D252" s="2" t="s">
        <v>424</v>
      </c>
      <c r="E252" s="2" t="s">
        <v>426</v>
      </c>
      <c r="F252" s="66">
        <v>0</v>
      </c>
      <c r="G252" s="66">
        <v>0</v>
      </c>
      <c r="H252" s="66">
        <v>0.42</v>
      </c>
      <c r="I252" s="69">
        <v>0.42</v>
      </c>
      <c r="J252" s="66">
        <v>0.21</v>
      </c>
      <c r="K252" s="66">
        <v>0.37000000000000011</v>
      </c>
      <c r="L252" s="19">
        <v>1.6E-2</v>
      </c>
      <c r="M252" s="2">
        <v>6.9099999999999995E-2</v>
      </c>
      <c r="N252" s="2">
        <v>44.03</v>
      </c>
      <c r="O252" s="2">
        <v>3.53</v>
      </c>
      <c r="P252" s="2">
        <v>3.61</v>
      </c>
      <c r="Q252" s="2">
        <v>29.71</v>
      </c>
      <c r="R252" s="2">
        <v>3.58</v>
      </c>
      <c r="S252" s="64">
        <f>(N252/(L252+M252))*100</f>
        <v>51739.130434782615</v>
      </c>
      <c r="T252" s="64">
        <f>(O252/(L252+M252))*100</f>
        <v>4148.0611045828437</v>
      </c>
      <c r="U252" s="72">
        <f>(P252/(L252+M252))*100</f>
        <v>4242.0681551116331</v>
      </c>
      <c r="V252" s="2">
        <f>(Q252/(L252+M252))*100</f>
        <v>34911.868390129261</v>
      </c>
      <c r="W252" s="70">
        <f>(R252/(L252+M252))*100</f>
        <v>4206.8155111633378</v>
      </c>
    </row>
    <row r="253" spans="1:23" x14ac:dyDescent="0.25">
      <c r="A253" s="2">
        <v>2</v>
      </c>
      <c r="B253" s="2">
        <v>1</v>
      </c>
      <c r="C253" s="2" t="s">
        <v>423</v>
      </c>
      <c r="D253" s="2" t="s">
        <v>427</v>
      </c>
      <c r="E253" s="2" t="s">
        <v>428</v>
      </c>
      <c r="F253" s="66">
        <v>0</v>
      </c>
      <c r="G253" s="66">
        <v>0</v>
      </c>
      <c r="H253" s="66">
        <v>0.14000000000000001</v>
      </c>
      <c r="I253" s="69">
        <v>0.14000000000000001</v>
      </c>
      <c r="J253" s="66">
        <v>0.47</v>
      </c>
      <c r="K253" s="66">
        <v>0.39</v>
      </c>
      <c r="L253" s="19">
        <v>2.07E-2</v>
      </c>
      <c r="M253" s="2">
        <v>7.0300000000000001E-2</v>
      </c>
      <c r="N253" s="2">
        <v>168.31</v>
      </c>
      <c r="O253" s="2">
        <v>6.12</v>
      </c>
      <c r="P253" s="2">
        <v>6.2</v>
      </c>
      <c r="Q253" s="2">
        <v>148.61000000000001</v>
      </c>
      <c r="R253" s="2">
        <v>6.18</v>
      </c>
      <c r="S253" s="64">
        <f>(N253/(L253+M253))*100</f>
        <v>184956.04395604396</v>
      </c>
      <c r="T253" s="64">
        <f>(O253/(L253+M253))*100</f>
        <v>6725.2747252747258</v>
      </c>
      <c r="U253" s="72">
        <f>(P253/(L253+M253))*100</f>
        <v>6813.1868131868132</v>
      </c>
      <c r="V253" s="2">
        <f>(Q253/(L253+M253))*100</f>
        <v>163307.69230769234</v>
      </c>
      <c r="W253" s="70">
        <f>(R253/(L253+M253))*100</f>
        <v>6791.2087912087909</v>
      </c>
    </row>
    <row r="254" spans="1:23" x14ac:dyDescent="0.25">
      <c r="A254" s="2">
        <v>2</v>
      </c>
      <c r="B254" s="2">
        <v>2</v>
      </c>
      <c r="C254" s="2" t="s">
        <v>423</v>
      </c>
      <c r="D254" s="2" t="s">
        <v>427</v>
      </c>
      <c r="E254" s="2" t="s">
        <v>429</v>
      </c>
      <c r="F254" s="66">
        <v>0</v>
      </c>
      <c r="G254" s="66">
        <v>0</v>
      </c>
      <c r="H254" s="66">
        <v>0.02</v>
      </c>
      <c r="I254" s="69">
        <v>0.02</v>
      </c>
      <c r="J254" s="66">
        <v>0.88</v>
      </c>
      <c r="K254" s="66">
        <v>9.9999999999999978E-2</v>
      </c>
      <c r="L254" s="19">
        <v>2.07E-2</v>
      </c>
      <c r="M254" s="2">
        <v>2.1100000000000001E-2</v>
      </c>
      <c r="N254" s="2">
        <v>166.81</v>
      </c>
      <c r="O254" s="2">
        <v>12.94</v>
      </c>
      <c r="P254" s="2">
        <v>12.93</v>
      </c>
      <c r="Q254" s="2">
        <v>129.47999999999999</v>
      </c>
      <c r="R254" s="2">
        <v>12.91</v>
      </c>
      <c r="S254" s="64">
        <f>(N254/(L254+M254))*100</f>
        <v>399066.98564593296</v>
      </c>
      <c r="T254" s="64">
        <f>(O254/(L254+M254))*100</f>
        <v>30956.937799043062</v>
      </c>
      <c r="U254" s="72">
        <f>(P254/(L254+M254))*100</f>
        <v>30933.014354066985</v>
      </c>
      <c r="V254" s="2">
        <f>(Q254/(L254+M254))*100</f>
        <v>309760.76555023919</v>
      </c>
      <c r="W254" s="70">
        <f>(R254/(L254+M254))*100</f>
        <v>30885.167464114827</v>
      </c>
    </row>
    <row r="255" spans="1:23" x14ac:dyDescent="0.25">
      <c r="A255" s="2">
        <v>1</v>
      </c>
      <c r="B255" s="2">
        <v>2</v>
      </c>
      <c r="C255" s="2" t="s">
        <v>423</v>
      </c>
      <c r="D255" s="2" t="s">
        <v>427</v>
      </c>
      <c r="E255" s="2" t="s">
        <v>430</v>
      </c>
      <c r="F255" s="66">
        <v>0</v>
      </c>
      <c r="G255" s="66">
        <v>0</v>
      </c>
      <c r="H255" s="66">
        <v>0.03</v>
      </c>
      <c r="I255" s="69">
        <v>0.03</v>
      </c>
      <c r="J255" s="66">
        <v>0.91</v>
      </c>
      <c r="K255" s="66">
        <v>5.9999999999999942E-2</v>
      </c>
      <c r="L255" s="19">
        <v>1.4800000000000001E-2</v>
      </c>
      <c r="M255" s="2">
        <v>4.1399999999999999E-2</v>
      </c>
      <c r="N255" s="2">
        <v>515.63</v>
      </c>
      <c r="O255" s="2">
        <v>19.48</v>
      </c>
      <c r="P255" s="2">
        <v>19.52</v>
      </c>
      <c r="Q255" s="2">
        <v>455.7</v>
      </c>
      <c r="R255" s="2">
        <v>19.52</v>
      </c>
      <c r="S255" s="64">
        <f>(N255/(L255+M255))*100</f>
        <v>917491.10320284695</v>
      </c>
      <c r="T255" s="64">
        <f>(O255/(L255+M255))*100</f>
        <v>34661.921708185051</v>
      </c>
      <c r="U255" s="72">
        <f>(P255/(L255+M255))*100</f>
        <v>34733.096085409248</v>
      </c>
      <c r="V255" s="2">
        <f>(Q255/(L255+M255))*100</f>
        <v>810854.09252669034</v>
      </c>
      <c r="W255" s="70">
        <f>(R255/(L255+M255))*100</f>
        <v>34733.096085409248</v>
      </c>
    </row>
    <row r="256" spans="1:23" x14ac:dyDescent="0.25">
      <c r="A256" s="2">
        <v>1</v>
      </c>
      <c r="B256" s="2">
        <v>2</v>
      </c>
      <c r="C256" s="2" t="s">
        <v>423</v>
      </c>
      <c r="D256" s="2" t="s">
        <v>427</v>
      </c>
      <c r="E256" s="2" t="s">
        <v>431</v>
      </c>
      <c r="F256" s="66">
        <v>0</v>
      </c>
      <c r="G256" s="66">
        <v>0</v>
      </c>
      <c r="H256" s="66">
        <v>0.01</v>
      </c>
      <c r="I256" s="69">
        <v>0.01</v>
      </c>
      <c r="J256" s="66">
        <v>0.92</v>
      </c>
      <c r="K256" s="66">
        <v>6.9999999999999951E-2</v>
      </c>
      <c r="L256" s="19">
        <v>1.4500000000000001E-2</v>
      </c>
      <c r="M256" s="2">
        <v>3.7600000000000001E-2</v>
      </c>
      <c r="N256" s="2">
        <v>243.71</v>
      </c>
      <c r="O256" s="2">
        <v>9.49</v>
      </c>
      <c r="P256" s="2">
        <v>9.51</v>
      </c>
      <c r="Q256" s="2">
        <v>215.69</v>
      </c>
      <c r="R256" s="2">
        <v>9.4499999999999993</v>
      </c>
      <c r="S256" s="64">
        <f>(N256/(L256+M256))*100</f>
        <v>467773.51247600775</v>
      </c>
      <c r="T256" s="64">
        <f>(O256/(L256+M256))*100</f>
        <v>18214.971209213054</v>
      </c>
      <c r="U256" s="72">
        <f>(P256/(L256+M256))*100</f>
        <v>18253.358925143955</v>
      </c>
      <c r="V256" s="2">
        <f>(Q256/(L256+M256))*100</f>
        <v>413992.32245681377</v>
      </c>
      <c r="W256" s="70">
        <f>(R256/(L256+M256))*100</f>
        <v>18138.195777351244</v>
      </c>
    </row>
    <row r="257" spans="1:24" x14ac:dyDescent="0.25">
      <c r="A257" s="2">
        <v>1</v>
      </c>
      <c r="B257" s="2">
        <v>2</v>
      </c>
      <c r="C257" s="2" t="s">
        <v>423</v>
      </c>
      <c r="D257" s="2" t="s">
        <v>427</v>
      </c>
      <c r="E257" s="2" t="s">
        <v>432</v>
      </c>
      <c r="F257" s="66">
        <v>0</v>
      </c>
      <c r="G257" s="66">
        <v>0</v>
      </c>
      <c r="H257" s="66">
        <v>0.21</v>
      </c>
      <c r="I257" s="69">
        <v>0.21</v>
      </c>
      <c r="J257" s="66">
        <v>0.68</v>
      </c>
      <c r="K257" s="66">
        <v>0.10999999999999999</v>
      </c>
      <c r="L257" s="19">
        <v>1.66E-2</v>
      </c>
      <c r="M257" s="2">
        <v>5.6800000000000003E-2</v>
      </c>
      <c r="N257" s="2">
        <v>72.760000000000005</v>
      </c>
      <c r="O257" s="2">
        <v>2.5</v>
      </c>
      <c r="P257" s="2">
        <v>2.5299999999999998</v>
      </c>
      <c r="Q257" s="2">
        <v>65.959999999999994</v>
      </c>
      <c r="R257" s="2">
        <v>2.4900000000000002</v>
      </c>
      <c r="S257" s="64">
        <f>(N257/(L257+M257))*100</f>
        <v>99128.065395095371</v>
      </c>
      <c r="T257" s="64">
        <f>(O257/(L257+M257))*100</f>
        <v>3405.9945504087191</v>
      </c>
      <c r="U257" s="72">
        <f>(P257/(L257+M257))*100</f>
        <v>3446.8664850136238</v>
      </c>
      <c r="V257" s="2">
        <f>(Q257/(L257+M257))*100</f>
        <v>89863.760217983639</v>
      </c>
      <c r="W257" s="70">
        <f>(R257/(L257+M257))*100</f>
        <v>3392.370572207084</v>
      </c>
    </row>
    <row r="258" spans="1:24" x14ac:dyDescent="0.25">
      <c r="A258" s="2" t="s">
        <v>724</v>
      </c>
      <c r="B258" s="2">
        <v>1</v>
      </c>
      <c r="C258" s="2" t="s">
        <v>433</v>
      </c>
      <c r="D258" s="2" t="s">
        <v>434</v>
      </c>
      <c r="E258" s="2" t="s">
        <v>435</v>
      </c>
      <c r="F258" s="66" t="s">
        <v>729</v>
      </c>
      <c r="G258" s="66" t="s">
        <v>729</v>
      </c>
      <c r="H258" s="66" t="s">
        <v>729</v>
      </c>
      <c r="I258" s="69">
        <v>0</v>
      </c>
      <c r="J258" s="66" t="s">
        <v>729</v>
      </c>
      <c r="K258" s="66">
        <v>1</v>
      </c>
      <c r="L258" s="19">
        <v>3.6551</v>
      </c>
      <c r="M258" s="2">
        <v>7.9299999999999995E-2</v>
      </c>
      <c r="N258" s="2">
        <v>190.06</v>
      </c>
      <c r="O258" s="2">
        <v>91.59</v>
      </c>
      <c r="P258" s="2">
        <v>91.52</v>
      </c>
      <c r="Q258" s="2">
        <v>0</v>
      </c>
      <c r="R258" s="2">
        <v>0</v>
      </c>
      <c r="S258" s="64">
        <f>(N258/(L258+M258))*100</f>
        <v>5089.4387317909168</v>
      </c>
      <c r="T258" s="64">
        <f>(O258/(L258+M258))*100</f>
        <v>2452.6028277634964</v>
      </c>
      <c r="U258" s="72">
        <f>(P258/(L258+M258))*100</f>
        <v>2450.7283633247644</v>
      </c>
      <c r="V258" s="2">
        <f>(Q258/(L258+M258))*100</f>
        <v>0</v>
      </c>
      <c r="W258" s="70">
        <f>(R258/(L258+M258))*100</f>
        <v>0</v>
      </c>
      <c r="X258" s="2" t="s">
        <v>689</v>
      </c>
    </row>
    <row r="259" spans="1:24" x14ac:dyDescent="0.25">
      <c r="A259" s="2" t="s">
        <v>724</v>
      </c>
      <c r="B259" s="2">
        <v>1</v>
      </c>
      <c r="C259" s="2" t="s">
        <v>433</v>
      </c>
      <c r="D259" s="2" t="s">
        <v>436</v>
      </c>
      <c r="E259" s="2" t="s">
        <v>437</v>
      </c>
      <c r="F259" s="66">
        <v>0</v>
      </c>
      <c r="G259" s="66">
        <v>0</v>
      </c>
      <c r="H259" s="66">
        <v>0.27</v>
      </c>
      <c r="I259" s="69">
        <v>0.27</v>
      </c>
      <c r="J259" s="66">
        <v>0</v>
      </c>
      <c r="K259" s="66">
        <v>0.73</v>
      </c>
      <c r="L259" s="19">
        <v>4.7073999999999998</v>
      </c>
      <c r="M259" s="2">
        <v>2.07E-2</v>
      </c>
      <c r="N259" s="2">
        <v>126.14</v>
      </c>
      <c r="O259" s="2">
        <v>65.38</v>
      </c>
      <c r="P259" s="2">
        <v>61.81</v>
      </c>
      <c r="Q259" s="2">
        <v>0</v>
      </c>
      <c r="R259" s="2">
        <v>0</v>
      </c>
      <c r="S259" s="64">
        <f>(N259/(L259+M259))*100</f>
        <v>2667.8792749730337</v>
      </c>
      <c r="T259" s="64">
        <f>(O259/(L259+M259))*100</f>
        <v>1382.7964721558344</v>
      </c>
      <c r="U259" s="72">
        <f>(P259/(L259+M259))*100</f>
        <v>1307.2904549396164</v>
      </c>
      <c r="V259" s="2">
        <f>(Q259/(L259+M259))*100</f>
        <v>0</v>
      </c>
      <c r="W259" s="70">
        <f>(R259/(L259+M259))*100</f>
        <v>0</v>
      </c>
    </row>
    <row r="260" spans="1:24" x14ac:dyDescent="0.25">
      <c r="A260" s="2" t="s">
        <v>724</v>
      </c>
      <c r="B260" s="2">
        <v>1</v>
      </c>
      <c r="C260" s="2" t="s">
        <v>433</v>
      </c>
      <c r="D260" s="2" t="s">
        <v>438</v>
      </c>
      <c r="E260" s="2" t="s">
        <v>439</v>
      </c>
      <c r="F260" s="66">
        <v>0</v>
      </c>
      <c r="G260" s="66">
        <v>0</v>
      </c>
      <c r="H260" s="66">
        <v>0.38</v>
      </c>
      <c r="I260" s="69">
        <v>0.38</v>
      </c>
      <c r="J260" s="66">
        <v>0</v>
      </c>
      <c r="K260" s="66">
        <v>0.62</v>
      </c>
      <c r="L260" s="19">
        <v>3.7339000000000002</v>
      </c>
      <c r="M260" s="2">
        <v>3.0200000000000001E-2</v>
      </c>
      <c r="N260" s="2">
        <v>103.53</v>
      </c>
      <c r="O260" s="2">
        <v>51.03</v>
      </c>
      <c r="P260" s="2">
        <v>53.63</v>
      </c>
      <c r="Q260" s="2">
        <v>0</v>
      </c>
      <c r="R260" s="2">
        <v>0</v>
      </c>
      <c r="S260" s="64">
        <f>(N260/(L260+M260))*100</f>
        <v>2750.4582768789351</v>
      </c>
      <c r="T260" s="64">
        <f>(O260/(L260+M260))*100</f>
        <v>1355.7025583804893</v>
      </c>
      <c r="U260" s="72">
        <f>(P260/(L260+M260))*100</f>
        <v>1424.7761749156507</v>
      </c>
      <c r="V260" s="2">
        <f>(Q260/(L260+M260))*100</f>
        <v>0</v>
      </c>
      <c r="W260" s="70">
        <f>(R260/(L260+M260))*100</f>
        <v>0</v>
      </c>
    </row>
    <row r="261" spans="1:24" x14ac:dyDescent="0.25">
      <c r="A261" s="2" t="s">
        <v>724</v>
      </c>
      <c r="B261" s="2">
        <v>1</v>
      </c>
      <c r="C261" s="2" t="s">
        <v>433</v>
      </c>
      <c r="D261" s="2" t="s">
        <v>438</v>
      </c>
      <c r="E261" s="2" t="s">
        <v>440</v>
      </c>
      <c r="F261" s="66">
        <v>0</v>
      </c>
      <c r="G261" s="66">
        <v>0</v>
      </c>
      <c r="H261" s="66">
        <v>0.23</v>
      </c>
      <c r="I261" s="69">
        <v>0.23</v>
      </c>
      <c r="J261" s="66">
        <v>0</v>
      </c>
      <c r="K261" s="66">
        <v>0.77</v>
      </c>
      <c r="L261" s="19">
        <v>2.7492000000000001</v>
      </c>
      <c r="M261" s="2">
        <v>2.1459999999999999</v>
      </c>
      <c r="N261" s="2">
        <v>214.26</v>
      </c>
      <c r="O261" s="2">
        <v>102.7</v>
      </c>
      <c r="P261" s="2">
        <v>102.69</v>
      </c>
      <c r="Q261" s="2">
        <v>0</v>
      </c>
      <c r="R261" s="2">
        <v>0</v>
      </c>
      <c r="S261" s="64">
        <f>(N261/(L261+M261))*100</f>
        <v>4376.94067658114</v>
      </c>
      <c r="T261" s="64">
        <f>(O261/(L261+M261))*100</f>
        <v>2097.9735250857984</v>
      </c>
      <c r="U261" s="72">
        <f>(P261/(L261+M261))*100</f>
        <v>2097.769243340415</v>
      </c>
      <c r="V261" s="2">
        <f>(Q261/(L261+M261))*100</f>
        <v>0</v>
      </c>
      <c r="W261" s="70">
        <f>(R261/(L261+M261))*100</f>
        <v>0</v>
      </c>
    </row>
    <row r="262" spans="1:24" x14ac:dyDescent="0.25">
      <c r="A262" s="2">
        <v>2</v>
      </c>
      <c r="B262" s="2">
        <v>1</v>
      </c>
      <c r="C262" s="2" t="s">
        <v>441</v>
      </c>
      <c r="D262" s="2" t="s">
        <v>442</v>
      </c>
      <c r="E262" s="2" t="s">
        <v>443</v>
      </c>
      <c r="F262" s="66" t="s">
        <v>729</v>
      </c>
      <c r="G262" s="66" t="s">
        <v>729</v>
      </c>
      <c r="H262" s="66" t="s">
        <v>729</v>
      </c>
      <c r="I262" s="69">
        <v>0</v>
      </c>
      <c r="J262" s="66" t="s">
        <v>729</v>
      </c>
      <c r="K262" s="66">
        <v>1</v>
      </c>
      <c r="L262" s="19">
        <v>1.61E-2</v>
      </c>
      <c r="M262" s="2">
        <v>6.1100000000000002E-2</v>
      </c>
      <c r="N262" s="2">
        <v>38.270000000000003</v>
      </c>
      <c r="O262" s="2">
        <v>2.59</v>
      </c>
      <c r="P262" s="2">
        <v>2.56</v>
      </c>
      <c r="Q262" s="2">
        <v>31.51</v>
      </c>
      <c r="R262" s="2">
        <v>2.58</v>
      </c>
      <c r="S262" s="64">
        <f>(N262/(L262+M262))*100</f>
        <v>49572.538860103632</v>
      </c>
      <c r="T262" s="64">
        <f>(O262/(L262+M262))*100</f>
        <v>3354.9222797927455</v>
      </c>
      <c r="U262" s="72">
        <f>(P262/(L262+M262))*100</f>
        <v>3316.0621761658026</v>
      </c>
      <c r="V262" s="2">
        <f>(Q262/(L262+M262))*100</f>
        <v>40816.062176165804</v>
      </c>
      <c r="W262" s="70">
        <f>(R262/(L262+M262))*100</f>
        <v>3341.968911917098</v>
      </c>
      <c r="X262" s="2" t="s">
        <v>689</v>
      </c>
    </row>
    <row r="263" spans="1:24" x14ac:dyDescent="0.25">
      <c r="A263" s="2">
        <v>2</v>
      </c>
      <c r="B263" s="2">
        <v>1</v>
      </c>
      <c r="C263" s="2" t="s">
        <v>441</v>
      </c>
      <c r="D263" s="2" t="s">
        <v>442</v>
      </c>
      <c r="E263" s="2" t="s">
        <v>444</v>
      </c>
      <c r="F263" s="66">
        <v>0.27</v>
      </c>
      <c r="G263" s="66">
        <v>0.27</v>
      </c>
      <c r="H263" s="66">
        <v>0</v>
      </c>
      <c r="I263" s="69">
        <v>0.27</v>
      </c>
      <c r="J263" s="66">
        <v>0.73</v>
      </c>
      <c r="K263" s="66">
        <v>0</v>
      </c>
      <c r="L263" s="19">
        <v>2.1999999999999999E-2</v>
      </c>
      <c r="M263" s="2">
        <v>8.4199999999999997E-2</v>
      </c>
      <c r="N263" s="19">
        <v>40.619999999999997</v>
      </c>
      <c r="O263" s="2">
        <v>3.55</v>
      </c>
      <c r="P263" s="2">
        <v>3.57</v>
      </c>
      <c r="Q263" s="2">
        <v>31.17</v>
      </c>
      <c r="R263" s="2">
        <v>3.55</v>
      </c>
      <c r="S263" s="64">
        <f>(N263/(L263+M263))*100</f>
        <v>38248.587570621472</v>
      </c>
      <c r="T263" s="64">
        <f>(O263/(L263+M263))*100</f>
        <v>3342.7495291902078</v>
      </c>
      <c r="U263" s="72">
        <f>(P263/(L263+M263))*100</f>
        <v>3361.5819209039551</v>
      </c>
      <c r="V263" s="2">
        <f>(Q263/(L263+M263))*100</f>
        <v>29350.282485875709</v>
      </c>
      <c r="W263" s="70">
        <f>(R263/(L263+M263))*100</f>
        <v>3342.7495291902078</v>
      </c>
    </row>
    <row r="264" spans="1:24" x14ac:dyDescent="0.25">
      <c r="A264" s="2">
        <v>3</v>
      </c>
      <c r="B264" s="2">
        <v>1</v>
      </c>
      <c r="C264" s="2" t="s">
        <v>441</v>
      </c>
      <c r="D264" s="2" t="s">
        <v>442</v>
      </c>
      <c r="E264" s="2" t="s">
        <v>445</v>
      </c>
      <c r="F264" s="66">
        <v>0.51</v>
      </c>
      <c r="G264" s="66">
        <v>0.51</v>
      </c>
      <c r="H264" s="66">
        <v>0</v>
      </c>
      <c r="I264" s="69">
        <v>0.51</v>
      </c>
      <c r="J264" s="66">
        <v>0.49</v>
      </c>
      <c r="K264" s="66">
        <v>0</v>
      </c>
      <c r="L264" s="19">
        <v>1.24E-2</v>
      </c>
      <c r="M264" s="2">
        <v>7.8399999999999997E-2</v>
      </c>
      <c r="N264" s="19">
        <v>59.11</v>
      </c>
      <c r="O264" s="2">
        <v>3.19</v>
      </c>
      <c r="P264" s="2">
        <v>3.18</v>
      </c>
      <c r="Q264" s="2">
        <v>50.61</v>
      </c>
      <c r="R264" s="2">
        <v>3.2</v>
      </c>
      <c r="S264" s="64">
        <f>(N264/(L264+M264))*100</f>
        <v>65099.118942731286</v>
      </c>
      <c r="T264" s="64">
        <f>(O264/(L264+M264))*100</f>
        <v>3513.2158590308372</v>
      </c>
      <c r="U264" s="72">
        <f>(P264/(L264+M264))*100</f>
        <v>3502.2026431718068</v>
      </c>
      <c r="V264" s="2">
        <f>(Q264/(L264+M264))*100</f>
        <v>55737.885462555074</v>
      </c>
      <c r="W264" s="70">
        <f>(R264/(L264+M264))*100</f>
        <v>3524.2290748898681</v>
      </c>
    </row>
    <row r="265" spans="1:24" x14ac:dyDescent="0.25">
      <c r="A265" s="2">
        <v>2</v>
      </c>
      <c r="B265" s="2">
        <v>1</v>
      </c>
      <c r="C265" s="2" t="s">
        <v>441</v>
      </c>
      <c r="D265" s="2" t="s">
        <v>446</v>
      </c>
      <c r="E265" s="2" t="s">
        <v>447</v>
      </c>
      <c r="F265" s="66">
        <v>0.47</v>
      </c>
      <c r="G265" s="66">
        <v>0.47</v>
      </c>
      <c r="H265" s="66">
        <v>0</v>
      </c>
      <c r="I265" s="69">
        <v>0.47</v>
      </c>
      <c r="J265" s="66">
        <v>0.53</v>
      </c>
      <c r="K265" s="66">
        <v>0</v>
      </c>
      <c r="L265" s="19">
        <v>1.44E-2</v>
      </c>
      <c r="M265" s="2">
        <v>6.0100000000000001E-2</v>
      </c>
      <c r="N265" s="2">
        <v>13.12</v>
      </c>
      <c r="O265" s="2">
        <v>2.48</v>
      </c>
      <c r="P265" s="2">
        <v>2.5</v>
      </c>
      <c r="Q265" s="2">
        <v>6.56</v>
      </c>
      <c r="R265" s="2">
        <v>2.4900000000000002</v>
      </c>
      <c r="S265" s="64">
        <f>(N265/(L265+M265))*100</f>
        <v>17610.738255033557</v>
      </c>
      <c r="T265" s="64">
        <f>(O265/(L265+M265))*100</f>
        <v>3328.8590604026845</v>
      </c>
      <c r="U265" s="72">
        <f>(P265/(L265+M265))*100</f>
        <v>3355.7046979865772</v>
      </c>
      <c r="V265" s="2">
        <f>(Q265/(L265+M265))*100</f>
        <v>8805.3691275167785</v>
      </c>
      <c r="W265" s="70">
        <f>(R265/(L265+M265))*100</f>
        <v>3342.2818791946311</v>
      </c>
    </row>
    <row r="266" spans="1:24" x14ac:dyDescent="0.25">
      <c r="A266" s="2">
        <v>3</v>
      </c>
      <c r="B266" s="2">
        <v>1</v>
      </c>
      <c r="C266" s="2" t="s">
        <v>441</v>
      </c>
      <c r="D266" s="2" t="s">
        <v>218</v>
      </c>
      <c r="E266" s="2" t="s">
        <v>448</v>
      </c>
      <c r="F266" s="66">
        <v>0.41</v>
      </c>
      <c r="G266" s="66">
        <v>0.41</v>
      </c>
      <c r="H266" s="66">
        <v>0</v>
      </c>
      <c r="I266" s="69">
        <v>0.41</v>
      </c>
      <c r="J266" s="66">
        <v>0.59</v>
      </c>
      <c r="K266" s="66">
        <v>1.1102230246251565E-16</v>
      </c>
      <c r="L266" s="19">
        <v>1.14E-2</v>
      </c>
      <c r="M266" s="2">
        <v>4.5199999999999997E-2</v>
      </c>
      <c r="N266" s="2">
        <v>27.26</v>
      </c>
      <c r="O266" s="2">
        <v>1.98</v>
      </c>
      <c r="P266" s="2">
        <v>1.98</v>
      </c>
      <c r="Q266" s="2">
        <v>21.26</v>
      </c>
      <c r="R266" s="2">
        <v>2</v>
      </c>
      <c r="S266" s="64">
        <f>(N266/(L266+M266))*100</f>
        <v>48162.544169611312</v>
      </c>
      <c r="T266" s="64">
        <f>(O266/(L266+M266))*100</f>
        <v>3498.2332155477034</v>
      </c>
      <c r="U266" s="72">
        <f>(P266/(L266+M266))*100</f>
        <v>3498.2332155477034</v>
      </c>
      <c r="V266" s="2">
        <f>(Q266/(L266+M266))*100</f>
        <v>37561.837455830391</v>
      </c>
      <c r="W266" s="70">
        <f>(R266/(L266+M266))*100</f>
        <v>3533.5689045936397</v>
      </c>
    </row>
    <row r="267" spans="1:24" x14ac:dyDescent="0.25">
      <c r="A267" s="2">
        <v>3</v>
      </c>
      <c r="B267" s="2">
        <v>1</v>
      </c>
      <c r="C267" s="2" t="s">
        <v>441</v>
      </c>
      <c r="D267" s="2" t="s">
        <v>449</v>
      </c>
      <c r="E267" s="2" t="s">
        <v>450</v>
      </c>
      <c r="F267" s="66" t="s">
        <v>729</v>
      </c>
      <c r="G267" s="66" t="s">
        <v>729</v>
      </c>
      <c r="H267" s="66" t="s">
        <v>729</v>
      </c>
      <c r="I267" s="69">
        <v>0</v>
      </c>
      <c r="J267" s="66" t="s">
        <v>729</v>
      </c>
      <c r="K267" s="66">
        <v>1</v>
      </c>
      <c r="L267" s="19">
        <v>1.03E-2</v>
      </c>
      <c r="M267" s="2">
        <v>3.3300000000000003E-2</v>
      </c>
      <c r="N267" s="2">
        <v>219.79</v>
      </c>
      <c r="O267" s="2">
        <v>4.04</v>
      </c>
      <c r="P267" s="2">
        <v>4.05</v>
      </c>
      <c r="Q267" s="2">
        <v>207.62</v>
      </c>
      <c r="R267" s="2">
        <v>4.05</v>
      </c>
      <c r="S267" s="64">
        <f>(N267/(L267+M267))*100</f>
        <v>504105.504587156</v>
      </c>
      <c r="T267" s="64">
        <f>(O267/(L267+M267))*100</f>
        <v>9266.0550458715588</v>
      </c>
      <c r="U267" s="72">
        <f>(P267/(L267+M267))*100</f>
        <v>9288.9908256880735</v>
      </c>
      <c r="V267" s="2">
        <f>(Q267/(L267+M267))*100</f>
        <v>476192.66055045871</v>
      </c>
      <c r="W267" s="70">
        <f>(R267/(L267+M267))*100</f>
        <v>9288.9908256880735</v>
      </c>
      <c r="X267" s="2" t="s">
        <v>689</v>
      </c>
    </row>
    <row r="268" spans="1:24" x14ac:dyDescent="0.25">
      <c r="A268" s="2">
        <v>2</v>
      </c>
      <c r="B268" s="2">
        <v>1</v>
      </c>
      <c r="C268" s="2" t="s">
        <v>441</v>
      </c>
      <c r="D268" s="2" t="s">
        <v>451</v>
      </c>
      <c r="E268" s="2" t="s">
        <v>452</v>
      </c>
      <c r="F268" s="66">
        <v>0.25</v>
      </c>
      <c r="G268" s="66">
        <v>0.25</v>
      </c>
      <c r="H268" s="66">
        <v>0</v>
      </c>
      <c r="I268" s="69">
        <v>0.25</v>
      </c>
      <c r="J268" s="66">
        <v>0.75</v>
      </c>
      <c r="K268" s="66">
        <v>0</v>
      </c>
      <c r="L268" s="19">
        <v>8.8999999999999999E-3</v>
      </c>
      <c r="M268" s="2">
        <v>5.4100000000000002E-2</v>
      </c>
      <c r="N268" s="2">
        <v>13.68</v>
      </c>
      <c r="O268" s="2">
        <v>2.09</v>
      </c>
      <c r="P268" s="2">
        <v>2.11</v>
      </c>
      <c r="Q268" s="2">
        <v>7.66</v>
      </c>
      <c r="R268" s="2">
        <v>2.09</v>
      </c>
      <c r="S268" s="64">
        <f>(N268/(L268+M268))*100</f>
        <v>21714.285714285714</v>
      </c>
      <c r="T268" s="64">
        <f>(O268/(L268+M268))*100</f>
        <v>3317.4603174603171</v>
      </c>
      <c r="U268" s="72">
        <f>(P268/(L268+M268))*100</f>
        <v>3349.2063492063485</v>
      </c>
      <c r="V268" s="2">
        <f>(Q268/(L268+M268))*100</f>
        <v>12158.730158730159</v>
      </c>
      <c r="W268" s="70">
        <f>(R268/(L268+M268))*100</f>
        <v>3317.4603174603171</v>
      </c>
    </row>
    <row r="269" spans="1:24" x14ac:dyDescent="0.25">
      <c r="A269" s="2">
        <v>2</v>
      </c>
      <c r="B269" s="2">
        <v>1</v>
      </c>
      <c r="C269" s="2" t="s">
        <v>441</v>
      </c>
      <c r="D269" s="2" t="s">
        <v>453</v>
      </c>
      <c r="E269" s="2" t="s">
        <v>454</v>
      </c>
      <c r="F269" s="66">
        <v>0.15</v>
      </c>
      <c r="G269" s="66">
        <v>0.15</v>
      </c>
      <c r="H269" s="66">
        <v>0</v>
      </c>
      <c r="I269" s="69">
        <v>0.15</v>
      </c>
      <c r="J269" s="66">
        <v>0.85</v>
      </c>
      <c r="K269" s="66">
        <v>0</v>
      </c>
      <c r="L269" s="19">
        <v>1.5100000000000001E-2</v>
      </c>
      <c r="M269" s="2">
        <v>7.2099999999999997E-2</v>
      </c>
      <c r="N269" s="2">
        <v>285.18</v>
      </c>
      <c r="O269" s="2">
        <v>3.92</v>
      </c>
      <c r="P269" s="2">
        <v>3.94</v>
      </c>
      <c r="Q269" s="2">
        <v>272.12</v>
      </c>
      <c r="R269" s="2">
        <v>3.93</v>
      </c>
      <c r="S269" s="64">
        <f>(N269/(L269+M269))*100</f>
        <v>327041.28440366971</v>
      </c>
      <c r="T269" s="64">
        <f>(O269/(L269+M269))*100</f>
        <v>4495.4128440366976</v>
      </c>
      <c r="U269" s="72">
        <f>(P269/(L269+M269))*100</f>
        <v>4518.3486238532114</v>
      </c>
      <c r="V269" s="2">
        <f>(Q269/(L269+M269))*100</f>
        <v>312064.22018348624</v>
      </c>
      <c r="W269" s="70">
        <f>(R269/(L269+M269))*100</f>
        <v>4506.880733944954</v>
      </c>
    </row>
    <row r="270" spans="1:24" x14ac:dyDescent="0.25">
      <c r="A270" s="2">
        <v>3</v>
      </c>
      <c r="B270" s="2">
        <v>1</v>
      </c>
      <c r="C270" s="2" t="s">
        <v>441</v>
      </c>
      <c r="D270" s="2" t="s">
        <v>453</v>
      </c>
      <c r="E270" s="2" t="s">
        <v>455</v>
      </c>
      <c r="F270" s="66">
        <v>0.18</v>
      </c>
      <c r="G270" s="66">
        <v>0.18</v>
      </c>
      <c r="H270" s="66">
        <v>0</v>
      </c>
      <c r="I270" s="69">
        <v>0.18</v>
      </c>
      <c r="J270" s="66">
        <v>0.82</v>
      </c>
      <c r="K270" s="66">
        <v>1.1102230246251565E-16</v>
      </c>
      <c r="L270" s="19">
        <v>7.7000000000000002E-3</v>
      </c>
      <c r="M270" s="2">
        <v>9.11E-2</v>
      </c>
      <c r="N270" s="2">
        <v>282.72000000000003</v>
      </c>
      <c r="O270" s="2">
        <v>4.66</v>
      </c>
      <c r="P270" s="2">
        <v>4.63</v>
      </c>
      <c r="Q270" s="2">
        <v>267.51</v>
      </c>
      <c r="R270" s="2">
        <v>4.6900000000000004</v>
      </c>
      <c r="S270" s="64">
        <f>(N270/(L270+M270))*100</f>
        <v>286153.84615384619</v>
      </c>
      <c r="T270" s="64">
        <f>(O270/(L270+M270))*100</f>
        <v>4716.5991902834012</v>
      </c>
      <c r="U270" s="72">
        <f>(P270/(L270+M270))*100</f>
        <v>4686.2348178137654</v>
      </c>
      <c r="V270" s="2">
        <f>(Q270/(L270+M270))*100</f>
        <v>270759.1093117409</v>
      </c>
      <c r="W270" s="70">
        <f>(R270/(L270+M270))*100</f>
        <v>4746.963562753037</v>
      </c>
    </row>
    <row r="271" spans="1:24" x14ac:dyDescent="0.25">
      <c r="A271" s="2">
        <v>2</v>
      </c>
      <c r="B271" s="2">
        <v>1</v>
      </c>
      <c r="C271" s="2" t="s">
        <v>441</v>
      </c>
      <c r="D271" s="2" t="s">
        <v>453</v>
      </c>
      <c r="E271" s="2" t="s">
        <v>456</v>
      </c>
      <c r="F271" s="66">
        <v>0.12</v>
      </c>
      <c r="G271" s="66">
        <v>0.12</v>
      </c>
      <c r="H271" s="66">
        <v>0</v>
      </c>
      <c r="I271" s="69">
        <v>0.12</v>
      </c>
      <c r="J271" s="66">
        <v>0.88</v>
      </c>
      <c r="K271" s="66">
        <v>0</v>
      </c>
      <c r="L271" s="19">
        <v>6.1999999999999998E-3</v>
      </c>
      <c r="M271" s="2">
        <v>6.59E-2</v>
      </c>
      <c r="N271" s="2">
        <v>68.19</v>
      </c>
      <c r="O271" s="2">
        <v>2.4</v>
      </c>
      <c r="P271" s="2">
        <v>2.39</v>
      </c>
      <c r="Q271" s="2">
        <v>61.69</v>
      </c>
      <c r="R271" s="2">
        <v>2.39</v>
      </c>
      <c r="S271" s="64">
        <f>(N271/(L271+M271))*100</f>
        <v>94576.976421636617</v>
      </c>
      <c r="T271" s="64">
        <f>(O271/(L271+M271))*100</f>
        <v>3328.7101248266295</v>
      </c>
      <c r="U271" s="72">
        <f>(P271/(L271+M271))*100</f>
        <v>3314.8404993065192</v>
      </c>
      <c r="V271" s="2">
        <f>(Q271/(L271+M271))*100</f>
        <v>85561.719833564493</v>
      </c>
      <c r="W271" s="70">
        <f>(R271/(L271+M271))*100</f>
        <v>3314.8404993065192</v>
      </c>
    </row>
    <row r="272" spans="1:24" x14ac:dyDescent="0.25">
      <c r="A272" s="2">
        <v>2</v>
      </c>
      <c r="B272" s="2">
        <v>1</v>
      </c>
      <c r="C272" s="2" t="s">
        <v>441</v>
      </c>
      <c r="D272" s="2" t="s">
        <v>453</v>
      </c>
      <c r="E272" s="2" t="s">
        <v>457</v>
      </c>
      <c r="F272" s="66">
        <v>0.14000000000000001</v>
      </c>
      <c r="G272" s="66">
        <v>0.14000000000000001</v>
      </c>
      <c r="H272" s="66">
        <v>0</v>
      </c>
      <c r="I272" s="69">
        <v>0.14000000000000001</v>
      </c>
      <c r="J272" s="66">
        <v>0.86</v>
      </c>
      <c r="K272" s="66">
        <v>0</v>
      </c>
      <c r="L272" s="19">
        <v>3.5999999999999999E-3</v>
      </c>
      <c r="M272" s="2">
        <v>6.1400000000000003E-2</v>
      </c>
      <c r="N272" s="2">
        <v>49.73</v>
      </c>
      <c r="O272" s="2">
        <v>2.4300000000000002</v>
      </c>
      <c r="P272" s="2">
        <v>2.44</v>
      </c>
      <c r="Q272" s="2">
        <v>42.86</v>
      </c>
      <c r="R272" s="2">
        <v>2.4</v>
      </c>
      <c r="S272" s="64">
        <f>(N272/(L272+M272))*100</f>
        <v>76507.692307692298</v>
      </c>
      <c r="T272" s="64">
        <f>(O272/(L272+M272))*100</f>
        <v>3738.4615384615386</v>
      </c>
      <c r="U272" s="72">
        <f>(P272/(L272+M272))*100</f>
        <v>3753.8461538461534</v>
      </c>
      <c r="V272" s="2">
        <f>(Q272/(L272+M272))*100</f>
        <v>65938.461538461532</v>
      </c>
      <c r="W272" s="70">
        <f>(R272/(L272+M272))*100</f>
        <v>3692.3076923076919</v>
      </c>
    </row>
    <row r="273" spans="1:23" x14ac:dyDescent="0.25">
      <c r="A273" s="2">
        <v>2</v>
      </c>
      <c r="B273" s="2">
        <v>1</v>
      </c>
      <c r="C273" s="2" t="s">
        <v>441</v>
      </c>
      <c r="D273" s="2" t="s">
        <v>453</v>
      </c>
      <c r="E273" s="2" t="s">
        <v>458</v>
      </c>
      <c r="F273" s="66">
        <v>0.28000000000000003</v>
      </c>
      <c r="G273" s="66">
        <v>0.28000000000000003</v>
      </c>
      <c r="H273" s="66">
        <v>0</v>
      </c>
      <c r="I273" s="69">
        <v>0.28000000000000003</v>
      </c>
      <c r="J273" s="66">
        <v>0.72</v>
      </c>
      <c r="K273" s="66">
        <v>0</v>
      </c>
      <c r="L273" s="19">
        <v>7.7000000000000002E-3</v>
      </c>
      <c r="M273" s="2">
        <v>5.8200000000000002E-2</v>
      </c>
      <c r="N273" s="2">
        <v>83.39</v>
      </c>
      <c r="O273" s="2">
        <v>2.72</v>
      </c>
      <c r="P273" s="2">
        <v>2.71</v>
      </c>
      <c r="Q273" s="2">
        <v>77.14</v>
      </c>
      <c r="R273" s="2">
        <v>2.73</v>
      </c>
      <c r="S273" s="64">
        <f>(N273/(L273+M273))*100</f>
        <v>126540.2124430956</v>
      </c>
      <c r="T273" s="64">
        <f>(O273/(L273+M273))*100</f>
        <v>4127.4658573596362</v>
      </c>
      <c r="U273" s="72">
        <f>(P273/(L273+M273))*100</f>
        <v>4112.2913505311071</v>
      </c>
      <c r="V273" s="2">
        <f>(Q273/(L273+M273))*100</f>
        <v>117056.14567526555</v>
      </c>
      <c r="W273" s="70">
        <f>(R273/(L273+M273))*100</f>
        <v>4142.6403641881643</v>
      </c>
    </row>
    <row r="274" spans="1:23" x14ac:dyDescent="0.25">
      <c r="A274" s="2">
        <v>2</v>
      </c>
      <c r="B274" s="2">
        <v>1</v>
      </c>
      <c r="C274" s="2" t="s">
        <v>441</v>
      </c>
      <c r="D274" s="2" t="s">
        <v>453</v>
      </c>
      <c r="E274" s="2" t="s">
        <v>459</v>
      </c>
      <c r="F274" s="66">
        <v>0.31</v>
      </c>
      <c r="G274" s="66">
        <v>0.31</v>
      </c>
      <c r="H274" s="66">
        <v>0</v>
      </c>
      <c r="I274" s="69">
        <v>0.31</v>
      </c>
      <c r="J274" s="66">
        <v>0.69</v>
      </c>
      <c r="K274" s="66">
        <v>0</v>
      </c>
      <c r="L274" s="19">
        <v>8.3999999999999995E-3</v>
      </c>
      <c r="M274" s="2">
        <v>4.7300000000000002E-2</v>
      </c>
      <c r="N274" s="2">
        <v>36.92</v>
      </c>
      <c r="O274" s="2">
        <v>2.08</v>
      </c>
      <c r="P274" s="2">
        <v>2.1</v>
      </c>
      <c r="Q274" s="2">
        <v>32.42</v>
      </c>
      <c r="R274" s="2">
        <v>2.09</v>
      </c>
      <c r="S274" s="64">
        <f>(N274/(L274+M274))*100</f>
        <v>66283.662477558362</v>
      </c>
      <c r="T274" s="64">
        <f>(O274/(L274+M274))*100</f>
        <v>3734.2908438061045</v>
      </c>
      <c r="U274" s="72">
        <f>(P274/(L274+M274))*100</f>
        <v>3770.1974865350089</v>
      </c>
      <c r="V274" s="2">
        <f>(Q274/(L274+M274))*100</f>
        <v>58204.667863554765</v>
      </c>
      <c r="W274" s="70">
        <f>(R274/(L274+M274))*100</f>
        <v>3752.2441651705562</v>
      </c>
    </row>
    <row r="275" spans="1:23" x14ac:dyDescent="0.25">
      <c r="A275" s="2">
        <v>3</v>
      </c>
      <c r="B275" s="2">
        <v>1</v>
      </c>
      <c r="C275" s="2" t="s">
        <v>441</v>
      </c>
      <c r="D275" s="2" t="s">
        <v>453</v>
      </c>
      <c r="E275" s="2" t="s">
        <v>460</v>
      </c>
      <c r="F275" s="66">
        <v>0.3</v>
      </c>
      <c r="G275" s="66">
        <v>0.3</v>
      </c>
      <c r="H275" s="66">
        <v>0</v>
      </c>
      <c r="I275" s="69">
        <v>0.3</v>
      </c>
      <c r="J275" s="66">
        <v>0.7</v>
      </c>
      <c r="K275" s="66">
        <v>0</v>
      </c>
      <c r="L275" s="19">
        <v>1.3100000000000001E-2</v>
      </c>
      <c r="M275" s="2">
        <v>7.4800000000000005E-2</v>
      </c>
      <c r="N275" s="2">
        <v>15.44</v>
      </c>
      <c r="O275" s="2">
        <v>2.92</v>
      </c>
      <c r="P275" s="2">
        <v>2.92</v>
      </c>
      <c r="Q275" s="2">
        <v>6.93</v>
      </c>
      <c r="R275" s="2">
        <v>2.95</v>
      </c>
      <c r="S275" s="64">
        <f>(N275/(L275+M275))*100</f>
        <v>17565.41524459613</v>
      </c>
      <c r="T275" s="64">
        <f>(O275/(L275+M275))*100</f>
        <v>3321.9567690557446</v>
      </c>
      <c r="U275" s="72">
        <f>(P275/(L275+M275))*100</f>
        <v>3321.9567690557446</v>
      </c>
      <c r="V275" s="2">
        <f>(Q275/(L275+M275))*100</f>
        <v>7883.9590443685993</v>
      </c>
      <c r="W275" s="70">
        <f>(R275/(L275+M275))*100</f>
        <v>3356.0864618885098</v>
      </c>
    </row>
    <row r="276" spans="1:23" x14ac:dyDescent="0.25">
      <c r="A276" s="2">
        <v>3</v>
      </c>
      <c r="B276" s="2">
        <v>1</v>
      </c>
      <c r="C276" s="2" t="s">
        <v>441</v>
      </c>
      <c r="D276" s="2" t="s">
        <v>461</v>
      </c>
      <c r="E276" s="2" t="s">
        <v>462</v>
      </c>
      <c r="F276" s="66">
        <v>0</v>
      </c>
      <c r="G276" s="66">
        <v>0</v>
      </c>
      <c r="H276" s="66">
        <v>0</v>
      </c>
      <c r="I276" s="69">
        <v>0</v>
      </c>
      <c r="J276" s="66">
        <v>1</v>
      </c>
      <c r="K276" s="66">
        <v>0</v>
      </c>
      <c r="L276" s="19">
        <v>2.9100000000000001E-2</v>
      </c>
      <c r="M276" s="2">
        <v>8.4199999999999997E-2</v>
      </c>
      <c r="N276" s="2">
        <v>55.64</v>
      </c>
      <c r="O276" s="2">
        <v>4.3099999999999996</v>
      </c>
      <c r="P276" s="2">
        <v>4.3499999999999996</v>
      </c>
      <c r="Q276" s="2">
        <v>42.09</v>
      </c>
      <c r="R276" s="2">
        <v>4.33</v>
      </c>
      <c r="S276" s="64">
        <f>(N276/(L276+M276))*100</f>
        <v>49108.561341571047</v>
      </c>
      <c r="T276" s="64">
        <f>(O276/(L276+M276))*100</f>
        <v>3804.0600176522503</v>
      </c>
      <c r="U276" s="72">
        <f>(P276/(L276+M276))*100</f>
        <v>3839.3645189761692</v>
      </c>
      <c r="V276" s="2">
        <f>(Q276/(L276+M276))*100</f>
        <v>37149.161518093555</v>
      </c>
      <c r="W276" s="70">
        <f>(R276/(L276+M276))*100</f>
        <v>3821.7122683142102</v>
      </c>
    </row>
    <row r="277" spans="1:23" x14ac:dyDescent="0.25">
      <c r="A277" s="2">
        <v>3</v>
      </c>
      <c r="B277" s="2">
        <v>1</v>
      </c>
      <c r="C277" s="2" t="s">
        <v>441</v>
      </c>
      <c r="D277" s="2" t="s">
        <v>461</v>
      </c>
      <c r="E277" s="2" t="s">
        <v>463</v>
      </c>
      <c r="F277" s="66">
        <v>0.16</v>
      </c>
      <c r="G277" s="66">
        <v>0.16</v>
      </c>
      <c r="H277" s="66">
        <v>0</v>
      </c>
      <c r="I277" s="69">
        <v>0.16</v>
      </c>
      <c r="J277" s="66">
        <v>0.84</v>
      </c>
      <c r="K277" s="66">
        <v>0</v>
      </c>
      <c r="L277" s="19">
        <v>2.0299999999999999E-2</v>
      </c>
      <c r="M277" s="2">
        <v>5.3100000000000001E-2</v>
      </c>
      <c r="N277" s="2">
        <v>91.46</v>
      </c>
      <c r="O277" s="2">
        <v>2.46</v>
      </c>
      <c r="P277" s="2">
        <v>2.44</v>
      </c>
      <c r="Q277" s="2">
        <v>83.67</v>
      </c>
      <c r="R277" s="2">
        <v>2.4500000000000002</v>
      </c>
      <c r="S277" s="64">
        <f>(N277/(L277+M277))*100</f>
        <v>124604.9046321526</v>
      </c>
      <c r="T277" s="64">
        <f>(O277/(L277+M277))*100</f>
        <v>3351.4986376021802</v>
      </c>
      <c r="U277" s="72">
        <f>(P277/(L277+M277))*100</f>
        <v>3324.2506811989101</v>
      </c>
      <c r="V277" s="2">
        <f>(Q277/(L277+M277))*100</f>
        <v>113991.82561307903</v>
      </c>
      <c r="W277" s="70">
        <f>(R277/(L277+M277))*100</f>
        <v>3337.8746594005456</v>
      </c>
    </row>
    <row r="278" spans="1:23" x14ac:dyDescent="0.25">
      <c r="A278" s="2">
        <v>3</v>
      </c>
      <c r="B278" s="2">
        <v>1</v>
      </c>
      <c r="C278" s="2" t="s">
        <v>441</v>
      </c>
      <c r="D278" s="2" t="s">
        <v>461</v>
      </c>
      <c r="E278" s="2" t="s">
        <v>464</v>
      </c>
      <c r="F278" s="66">
        <v>0.23</v>
      </c>
      <c r="G278" s="66">
        <v>0.23</v>
      </c>
      <c r="H278" s="66">
        <v>0</v>
      </c>
      <c r="I278" s="69">
        <v>0.23</v>
      </c>
      <c r="J278" s="66">
        <v>0.77</v>
      </c>
      <c r="K278" s="66">
        <v>0</v>
      </c>
      <c r="L278" s="19">
        <v>2.1399999999999999E-2</v>
      </c>
      <c r="M278" s="2">
        <v>6.8400000000000002E-2</v>
      </c>
      <c r="N278" s="2">
        <v>211.12</v>
      </c>
      <c r="O278" s="2">
        <v>4.83</v>
      </c>
      <c r="P278" s="2">
        <v>4.8099999999999996</v>
      </c>
      <c r="Q278" s="2">
        <v>196.83</v>
      </c>
      <c r="R278" s="2">
        <v>4.8499999999999996</v>
      </c>
      <c r="S278" s="64">
        <f>(N278/(L278+M278))*100</f>
        <v>235100.22271714921</v>
      </c>
      <c r="T278" s="64">
        <f>(O278/(L278+M278))*100</f>
        <v>5378.6191536748329</v>
      </c>
      <c r="U278" s="72">
        <f>(P278/(L278+M278))*100</f>
        <v>5356.3474387527831</v>
      </c>
      <c r="V278" s="2">
        <f>(Q278/(L278+M278))*100</f>
        <v>219187.08240534519</v>
      </c>
      <c r="W278" s="70">
        <f>(R278/(L278+M278))*100</f>
        <v>5400.8908685968809</v>
      </c>
    </row>
    <row r="279" spans="1:23" x14ac:dyDescent="0.25">
      <c r="A279" s="2">
        <v>3</v>
      </c>
      <c r="B279" s="2">
        <v>1</v>
      </c>
      <c r="C279" s="2" t="s">
        <v>441</v>
      </c>
      <c r="D279" s="2" t="s">
        <v>461</v>
      </c>
      <c r="E279" s="2" t="s">
        <v>465</v>
      </c>
      <c r="F279" s="66">
        <v>0.04</v>
      </c>
      <c r="G279" s="66">
        <v>0.04</v>
      </c>
      <c r="H279" s="66">
        <v>0</v>
      </c>
      <c r="I279" s="69">
        <v>0.04</v>
      </c>
      <c r="J279" s="66">
        <v>0.96</v>
      </c>
      <c r="K279" s="66">
        <v>0</v>
      </c>
      <c r="L279" s="19">
        <v>2.1600000000000001E-2</v>
      </c>
      <c r="M279" s="2">
        <v>7.3300000000000004E-2</v>
      </c>
      <c r="N279" s="2">
        <v>218.57</v>
      </c>
      <c r="O279" s="2">
        <v>3.51</v>
      </c>
      <c r="P279" s="2">
        <v>3.59</v>
      </c>
      <c r="Q279" s="2">
        <v>208.35</v>
      </c>
      <c r="R279" s="2">
        <v>3.58</v>
      </c>
      <c r="S279" s="64">
        <f>(N279/(L279+M279))*100</f>
        <v>230316.12223393039</v>
      </c>
      <c r="T279" s="64">
        <f>(O279/(L279+M279))*100</f>
        <v>3698.6301369863008</v>
      </c>
      <c r="U279" s="72">
        <f>(P279/(L279+M279))*100</f>
        <v>3782.9293993677552</v>
      </c>
      <c r="V279" s="2">
        <f>(Q279/(L279+M279))*100</f>
        <v>219546.89146469964</v>
      </c>
      <c r="W279" s="70">
        <f>(R279/(L279+M279))*100</f>
        <v>3772.3919915700735</v>
      </c>
    </row>
    <row r="280" spans="1:23" x14ac:dyDescent="0.25">
      <c r="A280" s="2">
        <v>3</v>
      </c>
      <c r="B280" s="2">
        <v>1</v>
      </c>
      <c r="C280" s="2" t="s">
        <v>441</v>
      </c>
      <c r="D280" s="2" t="s">
        <v>461</v>
      </c>
      <c r="E280" s="2" t="s">
        <v>466</v>
      </c>
      <c r="F280" s="66">
        <v>0.06</v>
      </c>
      <c r="G280" s="66">
        <v>0.06</v>
      </c>
      <c r="H280" s="66">
        <v>0</v>
      </c>
      <c r="I280" s="69">
        <v>0.06</v>
      </c>
      <c r="J280" s="66">
        <v>0.94</v>
      </c>
      <c r="K280" s="66">
        <v>0</v>
      </c>
      <c r="L280" s="19">
        <v>1.7999999999999999E-2</v>
      </c>
      <c r="M280" s="2">
        <v>8.2100000000000006E-2</v>
      </c>
      <c r="N280" s="2">
        <v>139.68</v>
      </c>
      <c r="O280" s="2">
        <v>4.46</v>
      </c>
      <c r="P280" s="2">
        <v>4.46</v>
      </c>
      <c r="Q280" s="2">
        <v>126.58</v>
      </c>
      <c r="R280" s="2">
        <v>4.4400000000000004</v>
      </c>
      <c r="S280" s="64">
        <f>(N280/(L280+M280))*100</f>
        <v>139540.45954045953</v>
      </c>
      <c r="T280" s="64">
        <f>(O280/(L280+M280))*100</f>
        <v>4455.5444555444556</v>
      </c>
      <c r="U280" s="72">
        <f>(P280/(L280+M280))*100</f>
        <v>4455.5444555444556</v>
      </c>
      <c r="V280" s="2">
        <f>(Q280/(L280+M280))*100</f>
        <v>126453.54645354644</v>
      </c>
      <c r="W280" s="70">
        <f>(R280/(L280+M280))*100</f>
        <v>4435.5644355644363</v>
      </c>
    </row>
    <row r="281" spans="1:23" x14ac:dyDescent="0.25">
      <c r="A281" s="2">
        <v>3</v>
      </c>
      <c r="B281" s="2">
        <v>1</v>
      </c>
      <c r="C281" s="2" t="s">
        <v>441</v>
      </c>
      <c r="D281" s="2" t="s">
        <v>461</v>
      </c>
      <c r="E281" s="2" t="s">
        <v>467</v>
      </c>
      <c r="F281" s="66">
        <v>0.17</v>
      </c>
      <c r="G281" s="66">
        <v>0.17</v>
      </c>
      <c r="H281" s="66">
        <v>0</v>
      </c>
      <c r="I281" s="69">
        <v>0.17</v>
      </c>
      <c r="J281" s="66">
        <v>0.83</v>
      </c>
      <c r="K281" s="66">
        <v>0</v>
      </c>
      <c r="L281" s="19">
        <v>1.9900000000000001E-2</v>
      </c>
      <c r="M281" s="2">
        <v>4.4900000000000002E-2</v>
      </c>
      <c r="N281" s="2">
        <v>294.11</v>
      </c>
      <c r="O281" s="2">
        <v>4.25</v>
      </c>
      <c r="P281" s="2">
        <v>4.2300000000000004</v>
      </c>
      <c r="Q281" s="2">
        <v>281.8</v>
      </c>
      <c r="R281" s="2">
        <v>4.26</v>
      </c>
      <c r="S281" s="64">
        <f>(N281/(L281+M281))*100</f>
        <v>453873.45679012348</v>
      </c>
      <c r="T281" s="64">
        <f>(O281/(L281+M281))*100</f>
        <v>6558.641975308642</v>
      </c>
      <c r="U281" s="72">
        <f>(P281/(L281+M281))*100</f>
        <v>6527.7777777777783</v>
      </c>
      <c r="V281" s="2">
        <f>(Q281/(L281+M281))*100</f>
        <v>434876.54320987657</v>
      </c>
      <c r="W281" s="70">
        <f>(R281/(L281+M281))*100</f>
        <v>6574.0740740740748</v>
      </c>
    </row>
    <row r="282" spans="1:23" x14ac:dyDescent="0.25">
      <c r="A282" s="2">
        <v>3</v>
      </c>
      <c r="B282" s="2">
        <v>1</v>
      </c>
      <c r="C282" s="2" t="s">
        <v>441</v>
      </c>
      <c r="D282" s="2" t="s">
        <v>461</v>
      </c>
      <c r="E282" s="2" t="s">
        <v>468</v>
      </c>
      <c r="F282" s="66">
        <v>0.09</v>
      </c>
      <c r="G282" s="66">
        <v>0.09</v>
      </c>
      <c r="H282" s="66">
        <v>0</v>
      </c>
      <c r="I282" s="69">
        <v>0.09</v>
      </c>
      <c r="J282" s="66">
        <v>0.91</v>
      </c>
      <c r="K282" s="66">
        <v>0</v>
      </c>
      <c r="L282" s="19">
        <v>2.93E-2</v>
      </c>
      <c r="M282" s="2">
        <v>7.3099999999999998E-2</v>
      </c>
      <c r="N282" s="2">
        <v>113.65</v>
      </c>
      <c r="O282" s="2">
        <v>3.39</v>
      </c>
      <c r="P282" s="2">
        <v>3.39</v>
      </c>
      <c r="Q282" s="2">
        <v>103.04</v>
      </c>
      <c r="R282" s="2">
        <v>3.39</v>
      </c>
      <c r="S282" s="64">
        <f>(N282/(L282+M282))*100</f>
        <v>110986.32812500003</v>
      </c>
      <c r="T282" s="64">
        <f>(O282/(L282+M282))*100</f>
        <v>3310.5468750000009</v>
      </c>
      <c r="U282" s="72">
        <f>(P282/(L282+M282))*100</f>
        <v>3310.5468750000009</v>
      </c>
      <c r="V282" s="2">
        <f>(Q282/(L282+M282))*100</f>
        <v>100625.00000000001</v>
      </c>
      <c r="W282" s="70">
        <f>(R282/(L282+M282))*100</f>
        <v>3310.5468750000009</v>
      </c>
    </row>
    <row r="283" spans="1:23" x14ac:dyDescent="0.25">
      <c r="A283" s="2">
        <v>3</v>
      </c>
      <c r="B283" s="2">
        <v>1</v>
      </c>
      <c r="C283" s="2" t="s">
        <v>441</v>
      </c>
      <c r="D283" s="2" t="s">
        <v>461</v>
      </c>
      <c r="E283" s="2" t="s">
        <v>469</v>
      </c>
      <c r="F283" s="66">
        <v>0.27</v>
      </c>
      <c r="G283" s="66">
        <v>0.27</v>
      </c>
      <c r="H283" s="66">
        <v>0</v>
      </c>
      <c r="I283" s="69">
        <v>0.27</v>
      </c>
      <c r="J283" s="66">
        <v>0.73</v>
      </c>
      <c r="K283" s="66">
        <v>0</v>
      </c>
      <c r="L283" s="19">
        <v>2.5600000000000001E-2</v>
      </c>
      <c r="M283" s="2">
        <v>5.04E-2</v>
      </c>
      <c r="N283" s="2">
        <v>273.54000000000002</v>
      </c>
      <c r="O283" s="2">
        <v>3.39</v>
      </c>
      <c r="P283" s="2">
        <v>3.41</v>
      </c>
      <c r="Q283" s="2">
        <v>265.82</v>
      </c>
      <c r="R283" s="2">
        <v>3.41</v>
      </c>
      <c r="S283" s="64">
        <f>(N283/(L283+M283))*100</f>
        <v>359921.05263157899</v>
      </c>
      <c r="T283" s="64">
        <f>(O283/(L283+M283))*100</f>
        <v>4460.5263157894742</v>
      </c>
      <c r="U283" s="72">
        <f>(P283/(L283+M283))*100</f>
        <v>4486.8421052631584</v>
      </c>
      <c r="V283" s="2">
        <f>(Q283/(L283+M283))*100</f>
        <v>349763.15789473685</v>
      </c>
      <c r="W283" s="70">
        <f>(R283/(L283+M283))*100</f>
        <v>4486.8421052631584</v>
      </c>
    </row>
    <row r="284" spans="1:23" x14ac:dyDescent="0.25">
      <c r="A284" s="2">
        <v>2</v>
      </c>
      <c r="B284" s="2">
        <v>1</v>
      </c>
      <c r="C284" s="2" t="s">
        <v>470</v>
      </c>
      <c r="D284" s="2" t="s">
        <v>471</v>
      </c>
      <c r="E284" s="2" t="s">
        <v>472</v>
      </c>
      <c r="F284" s="66">
        <v>0.27</v>
      </c>
      <c r="G284" s="66">
        <v>0.27</v>
      </c>
      <c r="H284" s="66">
        <v>0</v>
      </c>
      <c r="I284" s="69">
        <v>0.27</v>
      </c>
      <c r="J284" s="66">
        <v>0.73</v>
      </c>
      <c r="K284" s="66">
        <v>0</v>
      </c>
      <c r="L284" s="19">
        <v>0.19450000000000001</v>
      </c>
      <c r="M284" s="2">
        <v>0.43369999999999997</v>
      </c>
      <c r="N284" s="2">
        <v>1377.61</v>
      </c>
      <c r="O284" s="2">
        <v>24.36</v>
      </c>
      <c r="P284" s="2">
        <v>24.73</v>
      </c>
      <c r="Q284" s="2">
        <v>1330.32</v>
      </c>
      <c r="R284" s="2">
        <v>24.44</v>
      </c>
      <c r="S284" s="64">
        <f>(N284/(L284+M284))*100</f>
        <v>219294.81056988219</v>
      </c>
      <c r="T284" s="64">
        <f>(O284/(L284+M284))*100</f>
        <v>3877.7459407831898</v>
      </c>
      <c r="U284" s="72">
        <f>(P284/(L284+M284))*100</f>
        <v>3936.6443807704554</v>
      </c>
      <c r="V284" s="2">
        <f>(Q284/(L284+M284))*100</f>
        <v>211766.95319961794</v>
      </c>
      <c r="W284" s="70">
        <f>(R284/(L284+M284))*100</f>
        <v>3890.4807386182747</v>
      </c>
    </row>
    <row r="285" spans="1:23" x14ac:dyDescent="0.25">
      <c r="A285" s="2">
        <v>1</v>
      </c>
      <c r="B285" s="2">
        <v>1</v>
      </c>
      <c r="C285" s="2" t="s">
        <v>470</v>
      </c>
      <c r="D285" s="2" t="s">
        <v>471</v>
      </c>
      <c r="E285" s="2" t="s">
        <v>473</v>
      </c>
      <c r="F285" s="66">
        <v>0.40425531914893614</v>
      </c>
      <c r="G285" s="66">
        <v>0.40425531914893614</v>
      </c>
      <c r="H285" s="66">
        <v>0</v>
      </c>
      <c r="I285" s="69">
        <v>0.40425531914893614</v>
      </c>
      <c r="J285" s="66">
        <v>0.5957446808510638</v>
      </c>
      <c r="K285" s="66">
        <v>0</v>
      </c>
      <c r="L285" s="19">
        <v>0.19839999999999999</v>
      </c>
      <c r="M285" s="2">
        <v>0.2122</v>
      </c>
      <c r="N285" s="2">
        <v>398.38</v>
      </c>
      <c r="O285" s="2">
        <v>24.63</v>
      </c>
      <c r="P285" s="2">
        <v>24.53</v>
      </c>
      <c r="Q285" s="2">
        <v>310.44</v>
      </c>
      <c r="R285" s="2">
        <v>24.88</v>
      </c>
      <c r="S285" s="64">
        <f>(N285/(L285+M285))*100</f>
        <v>97023.867510959579</v>
      </c>
      <c r="T285" s="64">
        <f>(O285/(L285+M285))*100</f>
        <v>5998.5387238188014</v>
      </c>
      <c r="U285" s="72">
        <f>(P285/(L285+M285))*100</f>
        <v>5974.1841207988318</v>
      </c>
      <c r="V285" s="2">
        <f>(Q285/(L285+M285))*100</f>
        <v>75606.429615197281</v>
      </c>
      <c r="W285" s="70">
        <f>(R285/(L285+M285))*100</f>
        <v>6059.4252313687293</v>
      </c>
    </row>
    <row r="286" spans="1:23" x14ac:dyDescent="0.25">
      <c r="A286" s="2">
        <v>2</v>
      </c>
      <c r="B286" s="2">
        <v>1</v>
      </c>
      <c r="C286" s="2" t="s">
        <v>470</v>
      </c>
      <c r="D286" s="2" t="s">
        <v>471</v>
      </c>
      <c r="E286" s="2" t="s">
        <v>474</v>
      </c>
      <c r="F286" s="66">
        <v>0.13</v>
      </c>
      <c r="G286" s="66">
        <v>0.13</v>
      </c>
      <c r="H286" s="66">
        <v>0</v>
      </c>
      <c r="I286" s="69">
        <v>0.13</v>
      </c>
      <c r="J286" s="66">
        <v>0.87</v>
      </c>
      <c r="K286" s="66">
        <v>0</v>
      </c>
      <c r="L286" s="19">
        <v>0.14349999999999999</v>
      </c>
      <c r="M286" s="2">
        <v>0.37980000000000003</v>
      </c>
      <c r="N286" s="2">
        <v>61.36</v>
      </c>
      <c r="O286" s="2">
        <v>17.45</v>
      </c>
      <c r="P286" s="2">
        <v>17.43</v>
      </c>
      <c r="Q286" s="2">
        <v>9.93</v>
      </c>
      <c r="R286" s="2">
        <v>17.45</v>
      </c>
      <c r="S286" s="64">
        <f>(N286/(L286+M286))*100</f>
        <v>11725.587617045672</v>
      </c>
      <c r="T286" s="64">
        <f>(O286/(L286+M286))*100</f>
        <v>3334.6072998280142</v>
      </c>
      <c r="U286" s="72">
        <f>(P286/(L286+M286))*100</f>
        <v>3330.7854003439707</v>
      </c>
      <c r="V286" s="2">
        <f>(Q286/(L286+M286))*100</f>
        <v>1897.5730938276324</v>
      </c>
      <c r="W286" s="70">
        <f>(R286/(L286+M286))*100</f>
        <v>3334.6072998280142</v>
      </c>
    </row>
    <row r="287" spans="1:23" x14ac:dyDescent="0.25">
      <c r="A287" s="2">
        <v>1</v>
      </c>
      <c r="B287" s="2">
        <v>1</v>
      </c>
      <c r="C287" s="2" t="s">
        <v>470</v>
      </c>
      <c r="D287" s="2" t="s">
        <v>471</v>
      </c>
      <c r="E287" s="2" t="s">
        <v>475</v>
      </c>
      <c r="F287" s="66">
        <v>0.51</v>
      </c>
      <c r="G287" s="66">
        <v>0.51</v>
      </c>
      <c r="H287" s="66">
        <v>0</v>
      </c>
      <c r="I287" s="69">
        <v>0.51</v>
      </c>
      <c r="J287" s="66">
        <v>0.49</v>
      </c>
      <c r="K287" s="66">
        <v>0</v>
      </c>
      <c r="L287" s="19">
        <v>0.22500000000000001</v>
      </c>
      <c r="M287" s="2">
        <v>0.3453</v>
      </c>
      <c r="N287" s="2">
        <v>287.25</v>
      </c>
      <c r="O287" s="2">
        <v>24.61</v>
      </c>
      <c r="P287" s="2">
        <v>24.52</v>
      </c>
      <c r="Q287" s="2">
        <v>198.81</v>
      </c>
      <c r="R287" s="2">
        <v>24.62</v>
      </c>
      <c r="S287" s="64">
        <f>(N287/(L287+M287))*100</f>
        <v>50368.227248816409</v>
      </c>
      <c r="T287" s="64">
        <f>(O287/(L287+M287))*100</f>
        <v>4315.2726635104327</v>
      </c>
      <c r="U287" s="72">
        <f>(P287/(L287+M287))*100</f>
        <v>4299.4914957040155</v>
      </c>
      <c r="V287" s="2">
        <f>(Q287/(L287+M287))*100</f>
        <v>34860.599684376641</v>
      </c>
      <c r="W287" s="70">
        <f>(R287/(L287+M287))*100</f>
        <v>4317.0261266000352</v>
      </c>
    </row>
    <row r="288" spans="1:23" x14ac:dyDescent="0.25">
      <c r="A288" s="2" t="s">
        <v>724</v>
      </c>
      <c r="B288" s="2">
        <v>2</v>
      </c>
      <c r="C288" s="2" t="s">
        <v>476</v>
      </c>
      <c r="D288" s="2" t="s">
        <v>477</v>
      </c>
      <c r="E288" s="2" t="s">
        <v>478</v>
      </c>
      <c r="F288" s="66">
        <v>0</v>
      </c>
      <c r="G288" s="66">
        <v>0</v>
      </c>
      <c r="H288" s="66">
        <v>0.17</v>
      </c>
      <c r="I288" s="69">
        <v>0.17</v>
      </c>
      <c r="J288" s="66">
        <v>0.28000000000000003</v>
      </c>
      <c r="K288" s="66">
        <v>0.54999999999999993</v>
      </c>
      <c r="L288" s="19">
        <v>4.5881999999999996</v>
      </c>
      <c r="M288" s="2">
        <v>0.89910000000000001</v>
      </c>
      <c r="N288" s="2">
        <v>274.10000000000002</v>
      </c>
      <c r="O288" s="2">
        <v>137.53</v>
      </c>
      <c r="P288" s="2">
        <v>137.43</v>
      </c>
      <c r="Q288" s="2">
        <v>0</v>
      </c>
      <c r="R288" s="2">
        <v>0</v>
      </c>
      <c r="S288" s="64">
        <f>(N288/(L288+M288))*100</f>
        <v>4995.1706668124589</v>
      </c>
      <c r="T288" s="64">
        <f>(O288/(L288+M288))*100</f>
        <v>2506.3328048402677</v>
      </c>
      <c r="U288" s="72">
        <f>(P288/(L288+M288))*100</f>
        <v>2504.5104149581766</v>
      </c>
      <c r="V288" s="2">
        <f>(Q288/(L288+M288))*100</f>
        <v>0</v>
      </c>
      <c r="W288" s="70">
        <f>(R288/(L288+M288))*100</f>
        <v>0</v>
      </c>
    </row>
    <row r="289" spans="1:23" x14ac:dyDescent="0.25">
      <c r="A289" s="2">
        <v>1</v>
      </c>
      <c r="B289" s="2">
        <v>2</v>
      </c>
      <c r="C289" s="2" t="s">
        <v>476</v>
      </c>
      <c r="D289" s="2" t="s">
        <v>477</v>
      </c>
      <c r="E289" s="2" t="s">
        <v>479</v>
      </c>
      <c r="F289" s="66">
        <v>0</v>
      </c>
      <c r="G289" s="66">
        <v>0</v>
      </c>
      <c r="H289" s="66">
        <v>0.4</v>
      </c>
      <c r="I289" s="69">
        <v>0.4</v>
      </c>
      <c r="J289" s="66">
        <v>0.2</v>
      </c>
      <c r="K289" s="66">
        <v>0.39999999999999997</v>
      </c>
      <c r="L289" s="19">
        <v>0.68730000000000002</v>
      </c>
      <c r="M289" s="2">
        <v>0.49559999999999998</v>
      </c>
      <c r="N289" s="2">
        <v>192.88</v>
      </c>
      <c r="O289" s="2">
        <v>39.46</v>
      </c>
      <c r="P289" s="2">
        <v>39.43</v>
      </c>
      <c r="Q289" s="2">
        <v>75.34</v>
      </c>
      <c r="R289" s="2">
        <v>39.409999999999997</v>
      </c>
      <c r="S289" s="64">
        <f>(N289/(L289+M289))*100</f>
        <v>16305.689407388621</v>
      </c>
      <c r="T289" s="64">
        <f>(O289/(L289+M289))*100</f>
        <v>3335.8694733282609</v>
      </c>
      <c r="U289" s="72">
        <f>(P289/(L289+M289))*100</f>
        <v>3333.333333333333</v>
      </c>
      <c r="V289" s="2">
        <f>(Q289/(L289+M289))*100</f>
        <v>6369.0929072618137</v>
      </c>
      <c r="W289" s="70">
        <f>(R289/(L289+M289))*100</f>
        <v>3331.6425733367146</v>
      </c>
    </row>
    <row r="290" spans="1:23" x14ac:dyDescent="0.25">
      <c r="A290" s="2" t="s">
        <v>724</v>
      </c>
      <c r="B290" s="2">
        <v>2</v>
      </c>
      <c r="C290" s="2" t="s">
        <v>476</v>
      </c>
      <c r="D290" s="2" t="s">
        <v>477</v>
      </c>
      <c r="E290" s="2" t="s">
        <v>480</v>
      </c>
      <c r="F290" s="66">
        <v>0</v>
      </c>
      <c r="G290" s="66">
        <v>0</v>
      </c>
      <c r="H290" s="66">
        <v>0.33</v>
      </c>
      <c r="I290" s="69">
        <v>0.33</v>
      </c>
      <c r="J290" s="66">
        <v>0.17</v>
      </c>
      <c r="K290" s="66">
        <v>0.49999999999999989</v>
      </c>
      <c r="L290" s="19">
        <v>5.8741000000000003</v>
      </c>
      <c r="M290" s="2">
        <v>0.90339999999999998</v>
      </c>
      <c r="N290" s="2">
        <v>186.58</v>
      </c>
      <c r="O290" s="2">
        <v>94.31</v>
      </c>
      <c r="P290" s="2">
        <v>94.54</v>
      </c>
      <c r="Q290" s="2">
        <v>0</v>
      </c>
      <c r="R290" s="2">
        <v>0</v>
      </c>
      <c r="S290" s="64">
        <f>(N290/(L290+M290))*100</f>
        <v>2752.9324972334935</v>
      </c>
      <c r="T290" s="64">
        <f>(O290/(L290+M290))*100</f>
        <v>1391.5160457395796</v>
      </c>
      <c r="U290" s="72">
        <f>(P290/(L290+M290))*100</f>
        <v>1394.9096274437477</v>
      </c>
      <c r="V290" s="2">
        <f>(Q290/(L290+M290))*100</f>
        <v>0</v>
      </c>
      <c r="W290" s="70">
        <f>(R290/(L290+M290))*100</f>
        <v>0</v>
      </c>
    </row>
    <row r="291" spans="1:23" x14ac:dyDescent="0.25">
      <c r="A291" s="2">
        <v>3</v>
      </c>
      <c r="B291" s="2">
        <v>1</v>
      </c>
      <c r="C291" s="2" t="s">
        <v>476</v>
      </c>
      <c r="D291" s="2" t="s">
        <v>482</v>
      </c>
      <c r="E291" s="2" t="s">
        <v>483</v>
      </c>
      <c r="F291" s="66">
        <v>0.01</v>
      </c>
      <c r="G291" s="66">
        <v>0.01</v>
      </c>
      <c r="H291" s="66">
        <v>0</v>
      </c>
      <c r="I291" s="69">
        <v>0.01</v>
      </c>
      <c r="J291" s="66">
        <v>0.99</v>
      </c>
      <c r="K291" s="66">
        <v>0</v>
      </c>
      <c r="L291" s="19">
        <v>0.2243</v>
      </c>
      <c r="M291" s="2">
        <v>9.5100000000000004E-2</v>
      </c>
      <c r="N291" s="2">
        <v>382.03</v>
      </c>
      <c r="O291" s="2">
        <v>10.76</v>
      </c>
      <c r="P291" s="2">
        <v>10.76</v>
      </c>
      <c r="Q291" s="19">
        <v>336.99</v>
      </c>
      <c r="R291" s="2">
        <v>10.79</v>
      </c>
      <c r="S291" s="64">
        <f>(N291/(L291+M291))*100</f>
        <v>119608.64120225422</v>
      </c>
      <c r="T291" s="64">
        <f>(O291/(L291+M291))*100</f>
        <v>3368.8165309956171</v>
      </c>
      <c r="U291" s="72">
        <f>(P291/(L291+M291))*100</f>
        <v>3368.8165309956171</v>
      </c>
      <c r="V291" s="2">
        <f>(Q291/(L291+M291))*100</f>
        <v>105507.20100187852</v>
      </c>
      <c r="W291" s="70">
        <f>(R291/(L291+M291))*100</f>
        <v>3378.2091421415143</v>
      </c>
    </row>
    <row r="292" spans="1:23" x14ac:dyDescent="0.25">
      <c r="A292" s="2">
        <v>1</v>
      </c>
      <c r="B292" s="2">
        <v>2</v>
      </c>
      <c r="C292" s="2" t="s">
        <v>481</v>
      </c>
      <c r="D292" s="2" t="s">
        <v>484</v>
      </c>
      <c r="E292" s="2" t="s">
        <v>485</v>
      </c>
      <c r="F292" s="66">
        <v>0.01</v>
      </c>
      <c r="G292" s="66">
        <v>0.01</v>
      </c>
      <c r="H292" s="66">
        <v>0</v>
      </c>
      <c r="I292" s="69">
        <v>0.01</v>
      </c>
      <c r="J292" s="66">
        <v>0.99</v>
      </c>
      <c r="K292" s="66">
        <v>0</v>
      </c>
      <c r="L292" s="19">
        <v>0.13589999999999999</v>
      </c>
      <c r="M292" s="2">
        <v>8.43E-2</v>
      </c>
      <c r="N292" s="2">
        <v>35.97</v>
      </c>
      <c r="O292" s="2">
        <v>7.64</v>
      </c>
      <c r="P292" s="2">
        <v>7.69</v>
      </c>
      <c r="Q292" s="2">
        <v>14.94</v>
      </c>
      <c r="R292" s="2">
        <v>7.62</v>
      </c>
      <c r="S292" s="64">
        <f>(N292/(L292+M292))*100</f>
        <v>16335.149863760216</v>
      </c>
      <c r="T292" s="64">
        <f>(O292/(L292+M292))*100</f>
        <v>3469.5731153496818</v>
      </c>
      <c r="U292" s="72">
        <f>(P292/(L292+M292))*100</f>
        <v>3492.2797456857402</v>
      </c>
      <c r="V292" s="2">
        <f>(Q292/(L292+M292))*100</f>
        <v>6784.741144414168</v>
      </c>
      <c r="W292" s="70">
        <f>(R292/(L292+M292))*100</f>
        <v>3460.4904632152588</v>
      </c>
    </row>
    <row r="293" spans="1:23" x14ac:dyDescent="0.25">
      <c r="A293" s="2">
        <v>1</v>
      </c>
      <c r="B293" s="2">
        <v>2</v>
      </c>
      <c r="C293" s="2" t="s">
        <v>481</v>
      </c>
      <c r="D293" s="2" t="s">
        <v>484</v>
      </c>
      <c r="E293" s="2" t="s">
        <v>486</v>
      </c>
      <c r="F293" s="66">
        <v>0.04</v>
      </c>
      <c r="G293" s="66">
        <v>0.04</v>
      </c>
      <c r="H293" s="66">
        <v>0</v>
      </c>
      <c r="I293" s="69">
        <v>0.04</v>
      </c>
      <c r="J293" s="66">
        <v>0.96</v>
      </c>
      <c r="K293" s="66">
        <v>0</v>
      </c>
      <c r="L293" s="19">
        <v>0.10299999999999999</v>
      </c>
      <c r="M293" s="2">
        <v>6.1699999999999998E-2</v>
      </c>
      <c r="N293" s="2">
        <v>15.75</v>
      </c>
      <c r="O293" s="2">
        <v>5.34</v>
      </c>
      <c r="P293" s="2">
        <v>5.34</v>
      </c>
      <c r="Q293" s="2">
        <v>0</v>
      </c>
      <c r="R293" s="2">
        <v>5.33</v>
      </c>
      <c r="S293" s="64">
        <f>(N293/(L293+M293))*100</f>
        <v>9562.8415300546458</v>
      </c>
      <c r="T293" s="64">
        <f>(O293/(L293+M293))*100</f>
        <v>3242.2586520947179</v>
      </c>
      <c r="U293" s="72">
        <f>(P293/(L293+M293))*100</f>
        <v>3242.2586520947179</v>
      </c>
      <c r="V293" s="2">
        <f>(Q293/(L293+M293))*100</f>
        <v>0</v>
      </c>
      <c r="W293" s="70">
        <f>(R293/(L293+M293))*100</f>
        <v>3236.1870066788101</v>
      </c>
    </row>
    <row r="294" spans="1:23" x14ac:dyDescent="0.25">
      <c r="A294" s="2">
        <v>1</v>
      </c>
      <c r="B294" s="2">
        <v>2</v>
      </c>
      <c r="C294" s="2" t="s">
        <v>481</v>
      </c>
      <c r="D294" s="2" t="s">
        <v>484</v>
      </c>
      <c r="E294" s="2" t="s">
        <v>487</v>
      </c>
      <c r="F294" s="66">
        <v>0.03</v>
      </c>
      <c r="G294" s="66">
        <v>0.03</v>
      </c>
      <c r="H294" s="66">
        <v>0</v>
      </c>
      <c r="I294" s="69">
        <v>0.03</v>
      </c>
      <c r="J294" s="66">
        <v>0.97</v>
      </c>
      <c r="K294" s="66">
        <v>0</v>
      </c>
      <c r="L294" s="19">
        <v>0.94699999999999995</v>
      </c>
      <c r="M294" s="2">
        <v>7.7700000000000005E-2</v>
      </c>
      <c r="N294" s="2">
        <v>42.31</v>
      </c>
      <c r="O294" s="2">
        <v>6.88</v>
      </c>
      <c r="P294" s="2">
        <v>6.84</v>
      </c>
      <c r="Q294" s="2">
        <v>21.35</v>
      </c>
      <c r="R294" s="2">
        <v>6.81</v>
      </c>
      <c r="S294" s="64">
        <f>(N294/(L294+M294))*100</f>
        <v>4129.0133697667616</v>
      </c>
      <c r="T294" s="64">
        <f>(O294/(L294+M294))*100</f>
        <v>671.41602420220556</v>
      </c>
      <c r="U294" s="72">
        <f>(P294/(L294+M294))*100</f>
        <v>667.51244266614617</v>
      </c>
      <c r="V294" s="2">
        <f>(Q294/(L294+M294))*100</f>
        <v>2083.53664487167</v>
      </c>
      <c r="W294" s="70">
        <f>(R294/(L294+M294))*100</f>
        <v>664.58475651410163</v>
      </c>
    </row>
    <row r="295" spans="1:23" x14ac:dyDescent="0.25">
      <c r="A295" s="2">
        <v>2</v>
      </c>
      <c r="B295" s="2">
        <v>1</v>
      </c>
      <c r="C295" s="2" t="s">
        <v>481</v>
      </c>
      <c r="D295" s="2" t="s">
        <v>488</v>
      </c>
      <c r="E295" s="2" t="s">
        <v>489</v>
      </c>
      <c r="F295" s="66">
        <v>0.02</v>
      </c>
      <c r="G295" s="66">
        <v>0.02</v>
      </c>
      <c r="H295" s="66">
        <v>0</v>
      </c>
      <c r="I295" s="69">
        <v>0.02</v>
      </c>
      <c r="J295" s="66">
        <v>0.98</v>
      </c>
      <c r="K295" s="66">
        <v>0</v>
      </c>
      <c r="L295" s="19">
        <v>0.24210000000000001</v>
      </c>
      <c r="M295" s="2">
        <v>0.1022</v>
      </c>
      <c r="N295" s="2">
        <v>121.92</v>
      </c>
      <c r="O295" s="2">
        <v>11.52</v>
      </c>
      <c r="P295" s="2">
        <v>11.47</v>
      </c>
      <c r="Q295" s="2">
        <v>86.04</v>
      </c>
      <c r="R295" s="2">
        <v>11.47</v>
      </c>
      <c r="S295" s="64">
        <f>(N295/(L295+M295))*100</f>
        <v>35410.978797560267</v>
      </c>
      <c r="T295" s="64">
        <f>(O295/(L295+M295))*100</f>
        <v>3345.9192564623877</v>
      </c>
      <c r="U295" s="72">
        <f>(P295/(L295+M295))*100</f>
        <v>3331.3970374673254</v>
      </c>
      <c r="V295" s="2">
        <f>(Q295/(L295+M295))*100</f>
        <v>24989.834446703459</v>
      </c>
      <c r="W295" s="70">
        <f>(R295/(L295+M295))*100</f>
        <v>3331.3970374673254</v>
      </c>
    </row>
    <row r="296" spans="1:23" x14ac:dyDescent="0.25">
      <c r="A296" s="2">
        <v>1</v>
      </c>
      <c r="B296" s="2">
        <v>2</v>
      </c>
      <c r="C296" s="2" t="s">
        <v>490</v>
      </c>
      <c r="D296" s="2" t="s">
        <v>385</v>
      </c>
      <c r="E296" s="2" t="s">
        <v>491</v>
      </c>
      <c r="F296" s="66">
        <v>0.78021978021978022</v>
      </c>
      <c r="G296" s="66">
        <v>0.78021978021978022</v>
      </c>
      <c r="H296" s="66">
        <v>0</v>
      </c>
      <c r="I296" s="69">
        <v>0.78021978021978022</v>
      </c>
      <c r="J296" s="66">
        <v>0.2087912087912088</v>
      </c>
      <c r="K296" s="66">
        <v>1.0989010989010978E-2</v>
      </c>
      <c r="L296" s="19">
        <v>3.8E-3</v>
      </c>
      <c r="M296" s="2">
        <v>7.17E-2</v>
      </c>
      <c r="N296" s="2">
        <v>17.98</v>
      </c>
      <c r="O296" s="2">
        <v>2.86</v>
      </c>
      <c r="P296" s="2">
        <v>2.87</v>
      </c>
      <c r="Q296" s="2">
        <v>10.99</v>
      </c>
      <c r="R296" s="2">
        <v>2.85</v>
      </c>
      <c r="S296" s="64">
        <f>(N296/(L296+M296))*100</f>
        <v>23814.569536423842</v>
      </c>
      <c r="T296" s="64">
        <f>(O296/(L296+M296))*100</f>
        <v>3788.0794701986752</v>
      </c>
      <c r="U296" s="72">
        <f>(P296/(L296+M296))*100</f>
        <v>3801.324503311258</v>
      </c>
      <c r="V296" s="2">
        <f>(Q296/(L296+M296))*100</f>
        <v>14556.291390728478</v>
      </c>
      <c r="W296" s="70">
        <f>(R296/(L296+M296))*100</f>
        <v>3774.8344370860927</v>
      </c>
    </row>
    <row r="297" spans="1:23" x14ac:dyDescent="0.25">
      <c r="A297" s="2">
        <v>2</v>
      </c>
      <c r="B297" s="2">
        <v>1</v>
      </c>
      <c r="C297" s="2" t="s">
        <v>490</v>
      </c>
      <c r="D297" s="2" t="s">
        <v>385</v>
      </c>
      <c r="E297" s="2" t="s">
        <v>492</v>
      </c>
      <c r="F297" s="66">
        <v>0.71</v>
      </c>
      <c r="G297" s="66">
        <v>0.71</v>
      </c>
      <c r="H297" s="66">
        <v>0</v>
      </c>
      <c r="I297" s="69">
        <v>0.71</v>
      </c>
      <c r="J297" s="66">
        <v>0.28999999999999998</v>
      </c>
      <c r="K297" s="66">
        <v>5.5511151231257827E-17</v>
      </c>
      <c r="L297" s="19">
        <v>5.1000000000000004E-3</v>
      </c>
      <c r="M297" s="2">
        <v>9.3200000000000005E-2</v>
      </c>
      <c r="N297" s="2">
        <v>165.47</v>
      </c>
      <c r="O297" s="2">
        <v>11.2</v>
      </c>
      <c r="P297" s="2">
        <v>11.28</v>
      </c>
      <c r="Q297" s="2">
        <v>132.91</v>
      </c>
      <c r="R297" s="2">
        <v>11.23</v>
      </c>
      <c r="S297" s="64">
        <f>(N297/(L297+M297))*100</f>
        <v>168331.63784333671</v>
      </c>
      <c r="T297" s="64">
        <f>(O297/(L297+M297))*100</f>
        <v>11393.692777212615</v>
      </c>
      <c r="U297" s="72">
        <f>(P297/(L297+M297))*100</f>
        <v>11475.076297049847</v>
      </c>
      <c r="V297" s="2">
        <f>(Q297/(L297+M297))*100</f>
        <v>135208.54526958292</v>
      </c>
      <c r="W297" s="70">
        <f>(R297/(L297+M297))*100</f>
        <v>11424.211597151578</v>
      </c>
    </row>
    <row r="298" spans="1:23" x14ac:dyDescent="0.25">
      <c r="A298" s="2">
        <v>1</v>
      </c>
      <c r="B298" s="2">
        <v>2</v>
      </c>
      <c r="C298" s="2" t="s">
        <v>490</v>
      </c>
      <c r="D298" s="2" t="s">
        <v>236</v>
      </c>
      <c r="E298" s="2" t="s">
        <v>493</v>
      </c>
      <c r="F298" s="66">
        <v>0.43023255813953487</v>
      </c>
      <c r="G298" s="66">
        <v>0.43023255813953487</v>
      </c>
      <c r="H298" s="66">
        <v>0</v>
      </c>
      <c r="I298" s="69">
        <v>0.43023255813953487</v>
      </c>
      <c r="J298" s="66">
        <v>0.56976744186046513</v>
      </c>
      <c r="K298" s="66">
        <v>0</v>
      </c>
      <c r="L298" s="19">
        <v>1.9E-3</v>
      </c>
      <c r="M298" s="2">
        <v>0.17069999999999999</v>
      </c>
      <c r="N298" s="2">
        <v>100.66</v>
      </c>
      <c r="O298" s="2">
        <v>5.78</v>
      </c>
      <c r="P298" s="2">
        <v>5.77</v>
      </c>
      <c r="Q298" s="19">
        <v>84.33</v>
      </c>
      <c r="R298" s="2">
        <v>5.77</v>
      </c>
      <c r="S298" s="64">
        <f>(N298/(L298+M298))*100</f>
        <v>58319.814600231744</v>
      </c>
      <c r="T298" s="64">
        <f>(O298/(L298+M298))*100</f>
        <v>3348.7833140208572</v>
      </c>
      <c r="U298" s="72">
        <f>(P298/(L298+M298))*100</f>
        <v>3342.9895712630355</v>
      </c>
      <c r="V298" s="2">
        <f>(Q298/(L298+M298))*100</f>
        <v>48858.632676709152</v>
      </c>
      <c r="W298" s="70">
        <f>(R298/(L298+M298))*100</f>
        <v>3342.9895712630355</v>
      </c>
    </row>
    <row r="299" spans="1:23" x14ac:dyDescent="0.25">
      <c r="A299" s="2">
        <v>1</v>
      </c>
      <c r="B299" s="2">
        <v>1</v>
      </c>
      <c r="C299" s="2" t="s">
        <v>490</v>
      </c>
      <c r="D299" s="2" t="s">
        <v>236</v>
      </c>
      <c r="E299" s="2" t="s">
        <v>494</v>
      </c>
      <c r="F299" s="66">
        <v>0.68421052631578949</v>
      </c>
      <c r="G299" s="66">
        <v>0.68421052631578949</v>
      </c>
      <c r="H299" s="66">
        <v>0</v>
      </c>
      <c r="I299" s="69">
        <v>0.68421052631578949</v>
      </c>
      <c r="J299" s="66">
        <v>0.27192982456140352</v>
      </c>
      <c r="K299" s="66">
        <v>4.3859649122806987E-2</v>
      </c>
      <c r="L299" s="19">
        <v>3.2000000000000002E-3</v>
      </c>
      <c r="M299" s="2">
        <v>0.2283</v>
      </c>
      <c r="N299" s="2">
        <v>88.21</v>
      </c>
      <c r="O299" s="2">
        <v>7.75</v>
      </c>
      <c r="P299" s="2">
        <v>7.76</v>
      </c>
      <c r="Q299" s="19">
        <v>66.27</v>
      </c>
      <c r="R299" s="2">
        <v>7.77</v>
      </c>
      <c r="S299" s="64">
        <f>(N299/(L299+M299))*100</f>
        <v>38103.671706263493</v>
      </c>
      <c r="T299" s="64">
        <f>(O299/(L299+M299))*100</f>
        <v>3347.7321814254856</v>
      </c>
      <c r="U299" s="72">
        <f>(P299/(L299+M299))*100</f>
        <v>3352.0518358531313</v>
      </c>
      <c r="V299" s="2">
        <f>(Q299/(L299+M299))*100</f>
        <v>28626.349892008635</v>
      </c>
      <c r="W299" s="70">
        <f>(R299/(L299+M299))*100</f>
        <v>3356.3714902807774</v>
      </c>
    </row>
    <row r="300" spans="1:23" x14ac:dyDescent="0.25">
      <c r="A300" s="2">
        <v>2</v>
      </c>
      <c r="B300" s="2">
        <v>1</v>
      </c>
      <c r="C300" s="2" t="s">
        <v>490</v>
      </c>
      <c r="D300" s="2" t="s">
        <v>236</v>
      </c>
      <c r="E300" s="2" t="s">
        <v>495</v>
      </c>
      <c r="F300" s="66">
        <v>0.5</v>
      </c>
      <c r="G300" s="66">
        <v>0.5</v>
      </c>
      <c r="H300" s="66">
        <v>0</v>
      </c>
      <c r="I300" s="69">
        <v>0.5</v>
      </c>
      <c r="J300" s="66">
        <v>0.5</v>
      </c>
      <c r="K300" s="66">
        <v>0</v>
      </c>
      <c r="L300" s="19">
        <v>3.2000000000000002E-3</v>
      </c>
      <c r="M300" s="2">
        <v>0.16320000000000001</v>
      </c>
      <c r="N300" s="2">
        <v>119.28</v>
      </c>
      <c r="O300" s="2">
        <v>5.99</v>
      </c>
      <c r="P300" s="2">
        <v>5.99</v>
      </c>
      <c r="Q300" s="2">
        <v>101.89</v>
      </c>
      <c r="R300" s="2">
        <v>6.02</v>
      </c>
      <c r="S300" s="64">
        <f>(N300/(L300+M300))*100</f>
        <v>71682.692307692298</v>
      </c>
      <c r="T300" s="64">
        <f>(O300/(L300+M300))*100</f>
        <v>3599.7596153846152</v>
      </c>
      <c r="U300" s="72">
        <f>(P300/(L300+M300))*100</f>
        <v>3599.7596153846152</v>
      </c>
      <c r="V300" s="2">
        <f>(Q300/(L300+M300))*100</f>
        <v>61231.971153846142</v>
      </c>
      <c r="W300" s="70">
        <f>(R300/(L300+M300))*100</f>
        <v>3617.7884615384605</v>
      </c>
    </row>
    <row r="301" spans="1:23" x14ac:dyDescent="0.25">
      <c r="A301" s="2">
        <v>2</v>
      </c>
      <c r="B301" s="2">
        <v>2</v>
      </c>
      <c r="C301" s="2" t="s">
        <v>496</v>
      </c>
      <c r="D301" s="2" t="s">
        <v>4</v>
      </c>
      <c r="E301" s="2" t="s">
        <v>497</v>
      </c>
      <c r="F301" s="66">
        <v>0.8303571428571429</v>
      </c>
      <c r="G301" s="66">
        <v>0.8303571428571429</v>
      </c>
      <c r="H301" s="66">
        <v>5.3571428571428568E-2</v>
      </c>
      <c r="I301" s="69">
        <v>0.8839285714285714</v>
      </c>
      <c r="J301" s="66">
        <v>0</v>
      </c>
      <c r="K301" s="66">
        <v>0.1160714285714286</v>
      </c>
      <c r="L301" s="19">
        <v>5.6899999999999999E-2</v>
      </c>
      <c r="M301" s="2">
        <v>0.82350000000000001</v>
      </c>
      <c r="N301" s="2">
        <v>181.96</v>
      </c>
      <c r="O301" s="2">
        <v>46.88</v>
      </c>
      <c r="P301" s="2">
        <v>46.55</v>
      </c>
      <c r="Q301" s="2">
        <v>41.55</v>
      </c>
      <c r="R301" s="2">
        <v>46.61</v>
      </c>
      <c r="S301" s="64">
        <f>(N301/(L301+M301))*100</f>
        <v>20667.878237164929</v>
      </c>
      <c r="T301" s="64">
        <f>(O301/(L301+M301))*100</f>
        <v>5324.8523398455254</v>
      </c>
      <c r="U301" s="72">
        <f>(P301/(L301+M301))*100</f>
        <v>5287.3693775556567</v>
      </c>
      <c r="V301" s="2">
        <f>(Q301/(L301+M301))*100</f>
        <v>4719.4457064970466</v>
      </c>
      <c r="W301" s="70">
        <f>(R301/(L301+M301))*100</f>
        <v>5294.1844616083599</v>
      </c>
    </row>
    <row r="302" spans="1:23" x14ac:dyDescent="0.25">
      <c r="A302" s="2">
        <v>1</v>
      </c>
      <c r="B302" s="2">
        <v>1</v>
      </c>
      <c r="C302" s="2" t="s">
        <v>496</v>
      </c>
      <c r="D302" s="2" t="s">
        <v>4</v>
      </c>
      <c r="E302" s="2" t="s">
        <v>498</v>
      </c>
      <c r="F302" s="66">
        <v>0.66019417475728159</v>
      </c>
      <c r="G302" s="66">
        <v>0.66019417475728159</v>
      </c>
      <c r="H302" s="66">
        <v>0.20388349514563106</v>
      </c>
      <c r="I302" s="69">
        <v>0.86407766990291257</v>
      </c>
      <c r="J302" s="66">
        <v>0</v>
      </c>
      <c r="K302" s="66">
        <v>0.13592233009708743</v>
      </c>
      <c r="L302" s="19">
        <v>6.7100000000000007E-2</v>
      </c>
      <c r="M302" s="2">
        <v>0.2586</v>
      </c>
      <c r="N302" s="2">
        <v>30.99</v>
      </c>
      <c r="O302" s="2">
        <v>10.87</v>
      </c>
      <c r="P302" s="2">
        <v>10.89</v>
      </c>
      <c r="Q302" s="2">
        <v>0</v>
      </c>
      <c r="R302" s="2">
        <v>10.77</v>
      </c>
      <c r="S302" s="64">
        <f>(N302/(L302+M302))*100</f>
        <v>9514.8910039914026</v>
      </c>
      <c r="T302" s="64">
        <f>(O302/(L302+M302))*100</f>
        <v>3337.427080135094</v>
      </c>
      <c r="U302" s="72">
        <f>(P302/(L302+M302))*100</f>
        <v>3343.5677003377341</v>
      </c>
      <c r="V302" s="2">
        <f>(Q302/(L302+M302))*100</f>
        <v>0</v>
      </c>
      <c r="W302" s="70">
        <f>(R302/(L302+M302))*100</f>
        <v>3306.7239791218908</v>
      </c>
    </row>
    <row r="303" spans="1:23" x14ac:dyDescent="0.25">
      <c r="A303" s="2">
        <v>1</v>
      </c>
      <c r="B303" s="2">
        <v>2</v>
      </c>
      <c r="C303" s="2" t="s">
        <v>499</v>
      </c>
      <c r="D303" s="2" t="s">
        <v>500</v>
      </c>
      <c r="E303" s="2" t="s">
        <v>501</v>
      </c>
      <c r="F303" s="66">
        <v>0.1</v>
      </c>
      <c r="G303" s="66">
        <v>0.1</v>
      </c>
      <c r="H303" s="66">
        <v>0</v>
      </c>
      <c r="I303" s="69">
        <v>0.1</v>
      </c>
      <c r="J303" s="66">
        <v>0.9</v>
      </c>
      <c r="K303" s="66">
        <v>0</v>
      </c>
      <c r="L303" s="19">
        <v>1.78E-2</v>
      </c>
      <c r="M303" s="2">
        <v>9.8100000000000007E-2</v>
      </c>
      <c r="N303" s="2">
        <v>18.52</v>
      </c>
      <c r="O303" s="2">
        <v>3.89</v>
      </c>
      <c r="P303" s="2">
        <v>3.86</v>
      </c>
      <c r="Q303" s="2">
        <v>5.13</v>
      </c>
      <c r="R303" s="2">
        <v>3.96</v>
      </c>
      <c r="S303" s="64">
        <f>(N303/(L303+M303))*100</f>
        <v>15979.292493528903</v>
      </c>
      <c r="T303" s="64">
        <f>(O303/(L303+M303))*100</f>
        <v>3356.341673856773</v>
      </c>
      <c r="U303" s="72">
        <f>(P303/(L303+M303))*100</f>
        <v>3330.457290767903</v>
      </c>
      <c r="V303" s="2">
        <f>(Q303/(L303+M303))*100</f>
        <v>4426.2295081967213</v>
      </c>
      <c r="W303" s="70">
        <f>(R303/(L303+M303))*100</f>
        <v>3416.7385677308025</v>
      </c>
    </row>
    <row r="304" spans="1:23" x14ac:dyDescent="0.25">
      <c r="A304" s="2">
        <v>1</v>
      </c>
      <c r="B304" s="2">
        <v>2</v>
      </c>
      <c r="C304" s="2" t="s">
        <v>499</v>
      </c>
      <c r="D304" s="2" t="s">
        <v>500</v>
      </c>
      <c r="E304" s="2" t="s">
        <v>502</v>
      </c>
      <c r="F304" s="66">
        <v>0.04</v>
      </c>
      <c r="G304" s="66">
        <v>0.04</v>
      </c>
      <c r="H304" s="66">
        <v>0</v>
      </c>
      <c r="I304" s="69">
        <v>0.04</v>
      </c>
      <c r="J304" s="66">
        <v>0.96</v>
      </c>
      <c r="K304" s="66">
        <v>0</v>
      </c>
      <c r="L304" s="19">
        <v>1.24E-2</v>
      </c>
      <c r="M304" s="2">
        <v>9.3200000000000005E-2</v>
      </c>
      <c r="N304" s="2">
        <v>88.03</v>
      </c>
      <c r="O304" s="2">
        <v>3.71</v>
      </c>
      <c r="P304" s="2">
        <v>3.71</v>
      </c>
      <c r="Q304" s="2">
        <v>78.94</v>
      </c>
      <c r="R304" s="2">
        <v>3.85</v>
      </c>
      <c r="S304" s="64">
        <f>(N304/(L304+M304))*100</f>
        <v>83361.742424242431</v>
      </c>
      <c r="T304" s="64">
        <f>(O304/(L304+M304))*100</f>
        <v>3513.257575757576</v>
      </c>
      <c r="U304" s="72">
        <f>(P304/(L304+M304))*100</f>
        <v>3513.257575757576</v>
      </c>
      <c r="V304" s="2">
        <f>(Q304/(L304+M304))*100</f>
        <v>74753.787878787873</v>
      </c>
      <c r="W304" s="70">
        <f>(R304/(L304+M304))*100</f>
        <v>3645.8333333333335</v>
      </c>
    </row>
    <row r="305" spans="1:24" x14ac:dyDescent="0.25">
      <c r="A305" s="2" t="s">
        <v>724</v>
      </c>
      <c r="B305" s="2">
        <v>2</v>
      </c>
      <c r="C305" s="2" t="s">
        <v>499</v>
      </c>
      <c r="D305" s="2" t="s">
        <v>503</v>
      </c>
      <c r="E305" s="2" t="s">
        <v>504</v>
      </c>
      <c r="F305" s="66">
        <v>0.02</v>
      </c>
      <c r="G305" s="66">
        <v>0.02</v>
      </c>
      <c r="H305" s="66">
        <v>0</v>
      </c>
      <c r="I305" s="69">
        <v>0.02</v>
      </c>
      <c r="J305" s="66">
        <v>0.98</v>
      </c>
      <c r="K305" s="66">
        <v>0</v>
      </c>
      <c r="L305" s="19">
        <v>2.5899999999999999E-2</v>
      </c>
      <c r="M305" s="2">
        <v>0.1497</v>
      </c>
      <c r="N305" s="19">
        <v>5.19</v>
      </c>
      <c r="O305" s="2">
        <v>2.5499999999999998</v>
      </c>
      <c r="P305" s="2">
        <v>2.41</v>
      </c>
      <c r="Q305" s="2">
        <v>0</v>
      </c>
      <c r="R305" s="2">
        <v>0</v>
      </c>
      <c r="S305" s="64">
        <f>(N305/(L305+M305))*100</f>
        <v>2955.5808656036447</v>
      </c>
      <c r="T305" s="64">
        <f>(O305/(L305+M305))*100</f>
        <v>1452.1640091116171</v>
      </c>
      <c r="U305" s="72">
        <f>(P305/(L305+M305))*100</f>
        <v>1372.4373576309795</v>
      </c>
      <c r="V305" s="2">
        <f>(Q305/(L305+M305))*100</f>
        <v>0</v>
      </c>
      <c r="W305" s="70">
        <f>(R305/(L305+M305))*100</f>
        <v>0</v>
      </c>
    </row>
    <row r="306" spans="1:24" x14ac:dyDescent="0.25">
      <c r="A306" s="2" t="s">
        <v>724</v>
      </c>
      <c r="B306" s="2">
        <v>2</v>
      </c>
      <c r="C306" s="2" t="s">
        <v>499</v>
      </c>
      <c r="D306" s="2" t="s">
        <v>503</v>
      </c>
      <c r="E306" s="2" t="s">
        <v>505</v>
      </c>
      <c r="F306" s="66">
        <v>0.11</v>
      </c>
      <c r="G306" s="66">
        <v>0.11</v>
      </c>
      <c r="H306" s="66">
        <v>0</v>
      </c>
      <c r="I306" s="69">
        <v>0.11</v>
      </c>
      <c r="J306" s="66">
        <v>0.89</v>
      </c>
      <c r="K306" s="66">
        <v>0</v>
      </c>
      <c r="L306" s="19">
        <v>3.44E-2</v>
      </c>
      <c r="M306" s="2">
        <v>0.17130000000000001</v>
      </c>
      <c r="N306" s="19">
        <v>4.59</v>
      </c>
      <c r="O306" s="2">
        <v>2.2799999999999998</v>
      </c>
      <c r="P306" s="2">
        <v>2.29</v>
      </c>
      <c r="Q306" s="2">
        <v>0</v>
      </c>
      <c r="R306" s="2">
        <v>0</v>
      </c>
      <c r="S306" s="64">
        <f>(N306/(L306+M306))*100</f>
        <v>2231.404958677686</v>
      </c>
      <c r="T306" s="64">
        <f>(O306/(L306+M306))*100</f>
        <v>1108.4103062712688</v>
      </c>
      <c r="U306" s="72">
        <f>(P306/(L306+M306))*100</f>
        <v>1113.2717549829852</v>
      </c>
      <c r="V306" s="2">
        <f>(Q306/(L306+M306))*100</f>
        <v>0</v>
      </c>
      <c r="W306" s="70">
        <f>(R306/(L306+M306))*100</f>
        <v>0</v>
      </c>
    </row>
    <row r="307" spans="1:24" x14ac:dyDescent="0.25">
      <c r="A307" s="2">
        <v>1</v>
      </c>
      <c r="B307" s="2">
        <v>2</v>
      </c>
      <c r="C307" s="2" t="s">
        <v>499</v>
      </c>
      <c r="D307" s="2" t="s">
        <v>503</v>
      </c>
      <c r="E307" s="2" t="s">
        <v>506</v>
      </c>
      <c r="F307" s="66">
        <v>7.0000000000000007E-2</v>
      </c>
      <c r="G307" s="66">
        <v>7.0000000000000007E-2</v>
      </c>
      <c r="H307" s="66">
        <v>0</v>
      </c>
      <c r="I307" s="69">
        <v>7.0000000000000007E-2</v>
      </c>
      <c r="J307" s="66">
        <v>0.93</v>
      </c>
      <c r="K307" s="66">
        <v>-1.1102230246251565E-16</v>
      </c>
      <c r="L307" s="19">
        <v>3.1199999999999999E-2</v>
      </c>
      <c r="M307" s="2">
        <v>0.13200000000000001</v>
      </c>
      <c r="N307" s="2">
        <v>19.14</v>
      </c>
      <c r="O307" s="2">
        <v>1.71</v>
      </c>
      <c r="P307" s="2">
        <v>1.61</v>
      </c>
      <c r="Q307" s="2">
        <v>14.66</v>
      </c>
      <c r="R307" s="2">
        <v>1.74</v>
      </c>
      <c r="S307" s="64">
        <f>(N307/(L307+M307))*100</f>
        <v>11727.941176470589</v>
      </c>
      <c r="T307" s="64">
        <f>(O307/(L307+M307))*100</f>
        <v>1047.7941176470588</v>
      </c>
      <c r="U307" s="72">
        <f>(P307/(L307+M307))*100</f>
        <v>986.51960784313724</v>
      </c>
      <c r="V307" s="2">
        <f>(Q307/(L307+M307))*100</f>
        <v>8982.8431372549021</v>
      </c>
      <c r="W307" s="70">
        <f>(R307/(L307+M307))*100</f>
        <v>1066.1764705882351</v>
      </c>
    </row>
    <row r="308" spans="1:24" x14ac:dyDescent="0.25">
      <c r="A308" s="2" t="s">
        <v>724</v>
      </c>
      <c r="B308" s="2">
        <v>2</v>
      </c>
      <c r="C308" s="2" t="s">
        <v>499</v>
      </c>
      <c r="D308" s="2" t="s">
        <v>503</v>
      </c>
      <c r="E308" s="2" t="s">
        <v>507</v>
      </c>
      <c r="F308" s="66">
        <v>0.04</v>
      </c>
      <c r="G308" s="66">
        <v>0.04</v>
      </c>
      <c r="H308" s="66">
        <v>0</v>
      </c>
      <c r="I308" s="69">
        <v>0.04</v>
      </c>
      <c r="J308" s="66">
        <v>0.96</v>
      </c>
      <c r="K308" s="66">
        <v>0</v>
      </c>
      <c r="L308" s="19">
        <v>2.2200000000000001E-2</v>
      </c>
      <c r="M308" s="2">
        <v>0.15620000000000001</v>
      </c>
      <c r="N308" s="19">
        <v>3.84</v>
      </c>
      <c r="O308" s="2">
        <v>1.86</v>
      </c>
      <c r="P308" s="2">
        <v>1.62</v>
      </c>
      <c r="Q308" s="2">
        <v>0</v>
      </c>
      <c r="R308" s="2">
        <v>0</v>
      </c>
      <c r="S308" s="64">
        <f>(N308/(L308+M308))*100</f>
        <v>2152.4663677130043</v>
      </c>
      <c r="T308" s="64">
        <f>(O308/(L308+M308))*100</f>
        <v>1042.6008968609865</v>
      </c>
      <c r="U308" s="72">
        <f>(P308/(L308+M308))*100</f>
        <v>908.07174887892381</v>
      </c>
      <c r="V308" s="2">
        <f>(Q308/(L308+M308))*100</f>
        <v>0</v>
      </c>
      <c r="W308" s="70">
        <f>(R308/(L308+M308))*100</f>
        <v>0</v>
      </c>
    </row>
    <row r="309" spans="1:24" x14ac:dyDescent="0.25">
      <c r="A309" s="2" t="s">
        <v>716</v>
      </c>
      <c r="B309" s="2" t="s">
        <v>719</v>
      </c>
      <c r="C309" s="2" t="s">
        <v>508</v>
      </c>
      <c r="D309" s="2" t="s">
        <v>509</v>
      </c>
      <c r="E309" s="2" t="s">
        <v>510</v>
      </c>
      <c r="F309" s="66">
        <v>0.2</v>
      </c>
      <c r="G309" s="66">
        <v>0.2</v>
      </c>
      <c r="H309" s="66">
        <v>0.21</v>
      </c>
      <c r="I309" s="69">
        <v>0.41</v>
      </c>
      <c r="J309" s="66">
        <v>0.09</v>
      </c>
      <c r="K309" s="66">
        <v>0.50000000000000011</v>
      </c>
      <c r="L309" s="19">
        <v>5.8872999999999998</v>
      </c>
      <c r="M309" s="2">
        <v>18.775200000000002</v>
      </c>
      <c r="N309" s="2">
        <v>4246.62</v>
      </c>
      <c r="O309" s="2">
        <v>822.54</v>
      </c>
      <c r="P309" s="2">
        <v>822.79</v>
      </c>
      <c r="Q309" s="2">
        <v>1834.94</v>
      </c>
      <c r="R309" s="2">
        <v>822.8</v>
      </c>
      <c r="S309" s="64">
        <f>(N309/(L309+M309))*100</f>
        <v>17218.93563101875</v>
      </c>
      <c r="T309" s="64">
        <f>(O309/(L309+M309))*100</f>
        <v>3335.184997465788</v>
      </c>
      <c r="U309" s="72">
        <f>(P309/(L309+M309))*100</f>
        <v>3336.1986822098324</v>
      </c>
      <c r="V309" s="2">
        <f>(Q309/(L309+M309))*100</f>
        <v>7440.2027369488078</v>
      </c>
      <c r="W309" s="70">
        <f>(R309/(L309+M309))*100</f>
        <v>3336.2392295995937</v>
      </c>
    </row>
    <row r="310" spans="1:24" x14ac:dyDescent="0.25">
      <c r="A310" s="2" t="s">
        <v>724</v>
      </c>
      <c r="B310" s="2" t="s">
        <v>724</v>
      </c>
      <c r="C310" s="2" t="s">
        <v>511</v>
      </c>
      <c r="D310" s="2" t="s">
        <v>244</v>
      </c>
      <c r="E310" s="2" t="s">
        <v>512</v>
      </c>
      <c r="F310" s="66" t="s">
        <v>729</v>
      </c>
      <c r="G310" s="66" t="s">
        <v>729</v>
      </c>
      <c r="H310" s="66" t="s">
        <v>729</v>
      </c>
      <c r="I310" s="69" t="s">
        <v>729</v>
      </c>
      <c r="J310" s="66" t="s">
        <v>729</v>
      </c>
      <c r="K310" s="66" t="s">
        <v>729</v>
      </c>
      <c r="L310" s="19" t="s">
        <v>581</v>
      </c>
      <c r="S310" s="64" t="e">
        <f>(N310/(L310+M310))*100</f>
        <v>#VALUE!</v>
      </c>
      <c r="T310" s="64" t="e">
        <f>(O310/(L310+M310))*100</f>
        <v>#VALUE!</v>
      </c>
      <c r="U310" s="72" t="e">
        <f>(P310/(L310+M310))*100</f>
        <v>#VALUE!</v>
      </c>
      <c r="V310" s="2" t="e">
        <f>(Q310/(L310+M310))*100</f>
        <v>#VALUE!</v>
      </c>
      <c r="W310" s="70" t="e">
        <f>(R310/(L310+M310))*100</f>
        <v>#VALUE!</v>
      </c>
      <c r="X310" s="23" t="s">
        <v>690</v>
      </c>
    </row>
    <row r="311" spans="1:24" x14ac:dyDescent="0.25">
      <c r="A311" s="2" t="s">
        <v>724</v>
      </c>
      <c r="B311" s="2">
        <v>2</v>
      </c>
      <c r="C311" s="2" t="s">
        <v>513</v>
      </c>
      <c r="D311" s="2" t="s">
        <v>514</v>
      </c>
      <c r="E311" s="2" t="s">
        <v>515</v>
      </c>
      <c r="F311" s="66" t="s">
        <v>729</v>
      </c>
      <c r="G311" s="66" t="s">
        <v>729</v>
      </c>
      <c r="H311" s="66" t="s">
        <v>729</v>
      </c>
      <c r="I311" s="69">
        <v>0</v>
      </c>
      <c r="J311" s="66" t="s">
        <v>729</v>
      </c>
      <c r="K311" s="66">
        <v>1</v>
      </c>
      <c r="L311" s="19">
        <v>7.3099999999999998E-2</v>
      </c>
      <c r="M311" s="2">
        <v>3.7199999999999997E-2</v>
      </c>
      <c r="N311" s="19">
        <v>6.2011000000000003</v>
      </c>
      <c r="O311" s="2">
        <v>3.06</v>
      </c>
      <c r="P311" s="2">
        <v>3.03</v>
      </c>
      <c r="Q311" s="2">
        <v>0</v>
      </c>
      <c r="R311" s="2">
        <v>0</v>
      </c>
      <c r="S311" s="64">
        <f>(N311/(L311+M311))*100</f>
        <v>5622.0308250226662</v>
      </c>
      <c r="T311" s="64">
        <f>(O311/(L311+M311))*100</f>
        <v>2774.2520398912061</v>
      </c>
      <c r="U311" s="72">
        <f>(P311/(L311+M311))*100</f>
        <v>2747.0534904805077</v>
      </c>
      <c r="V311" s="2">
        <f>(Q311/(L311+M311))*100</f>
        <v>0</v>
      </c>
      <c r="W311" s="70">
        <f>(R311/(L311+M311))*100</f>
        <v>0</v>
      </c>
      <c r="X311" s="23" t="s">
        <v>689</v>
      </c>
    </row>
    <row r="312" spans="1:24" x14ac:dyDescent="0.25">
      <c r="A312" s="2">
        <v>1</v>
      </c>
      <c r="B312" s="2">
        <v>1</v>
      </c>
      <c r="C312" s="2" t="s">
        <v>513</v>
      </c>
      <c r="D312" s="2" t="s">
        <v>518</v>
      </c>
      <c r="E312" s="2" t="s">
        <v>519</v>
      </c>
      <c r="F312" s="66">
        <v>0</v>
      </c>
      <c r="G312" s="66">
        <v>0</v>
      </c>
      <c r="H312" s="66">
        <v>3.9215686274509803E-2</v>
      </c>
      <c r="I312" s="69">
        <v>3.9215686274509803E-2</v>
      </c>
      <c r="J312" s="66">
        <v>0.60784313725490191</v>
      </c>
      <c r="K312" s="66">
        <v>0.35294117647058831</v>
      </c>
      <c r="L312" s="19">
        <v>8.2000000000000007E-3</v>
      </c>
      <c r="M312" s="2">
        <v>6.7100000000000007E-2</v>
      </c>
      <c r="N312" s="2">
        <v>8.5391999999999992</v>
      </c>
      <c r="O312" s="2">
        <v>2.52</v>
      </c>
      <c r="P312" s="2">
        <v>2.52</v>
      </c>
      <c r="Q312" s="2">
        <v>0.91</v>
      </c>
      <c r="R312" s="2">
        <v>2.5299999999999998</v>
      </c>
      <c r="S312" s="64">
        <f>(N312/(L312+M312))*100</f>
        <v>11340.2390438247</v>
      </c>
      <c r="T312" s="64">
        <f>(O312/(L312+M312))*100</f>
        <v>3346.6135458167328</v>
      </c>
      <c r="U312" s="72">
        <f>(P312/(L312+M312))*100</f>
        <v>3346.6135458167328</v>
      </c>
      <c r="V312" s="2">
        <f>(Q312/(L312+M312))*100</f>
        <v>1208.4993359893758</v>
      </c>
      <c r="W312" s="70">
        <f>(R312/(L312+M312))*100</f>
        <v>3359.8937583001325</v>
      </c>
    </row>
    <row r="313" spans="1:24" x14ac:dyDescent="0.25">
      <c r="A313" s="2">
        <v>1</v>
      </c>
      <c r="B313" s="2">
        <v>2</v>
      </c>
      <c r="C313" s="2" t="s">
        <v>513</v>
      </c>
      <c r="D313" s="2" t="s">
        <v>165</v>
      </c>
      <c r="E313" s="2" t="s">
        <v>516</v>
      </c>
      <c r="F313" s="66">
        <v>0</v>
      </c>
      <c r="G313" s="66">
        <v>0</v>
      </c>
      <c r="H313" s="66">
        <v>0.13333333333333333</v>
      </c>
      <c r="I313" s="69">
        <v>0.13333333333333333</v>
      </c>
      <c r="J313" s="66">
        <v>8.5714285714285715E-2</v>
      </c>
      <c r="K313" s="66">
        <v>0.78095238095238095</v>
      </c>
      <c r="L313" s="19">
        <v>8.3000000000000001E-3</v>
      </c>
      <c r="M313" s="2">
        <v>9.98E-2</v>
      </c>
      <c r="N313" s="19">
        <v>30.37</v>
      </c>
      <c r="O313" s="2">
        <v>3.74</v>
      </c>
      <c r="P313" s="2">
        <v>3.73</v>
      </c>
      <c r="Q313" s="2">
        <v>21.89</v>
      </c>
      <c r="R313" s="2">
        <v>3.74</v>
      </c>
      <c r="S313" s="64">
        <f>(N313/(L313+M313))*100</f>
        <v>28094.357076780761</v>
      </c>
      <c r="T313" s="64">
        <f>(O313/(L313+M313))*100</f>
        <v>3459.7594819611472</v>
      </c>
      <c r="U313" s="72">
        <f>(P313/(L313+M313))*100</f>
        <v>3450.5087881591116</v>
      </c>
      <c r="V313" s="2">
        <f>(Q313/(L313+M313))*100</f>
        <v>20249.768732654949</v>
      </c>
      <c r="W313" s="70">
        <f>(R313/(L313+M313))*100</f>
        <v>3459.7594819611472</v>
      </c>
    </row>
    <row r="314" spans="1:24" x14ac:dyDescent="0.25">
      <c r="A314" s="2">
        <v>1</v>
      </c>
      <c r="B314" s="2">
        <v>2</v>
      </c>
      <c r="C314" s="2" t="s">
        <v>513</v>
      </c>
      <c r="D314" s="2" t="s">
        <v>165</v>
      </c>
      <c r="E314" s="2" t="s">
        <v>517</v>
      </c>
      <c r="F314" s="66">
        <v>0</v>
      </c>
      <c r="G314" s="66">
        <v>0</v>
      </c>
      <c r="H314" s="66">
        <v>0.1</v>
      </c>
      <c r="I314" s="69">
        <v>0.1</v>
      </c>
      <c r="J314" s="66">
        <v>0.06</v>
      </c>
      <c r="K314" s="66">
        <v>0.84000000000000008</v>
      </c>
      <c r="L314" s="19">
        <v>1.01E-2</v>
      </c>
      <c r="M314" s="2">
        <v>5.1000000000000004E-3</v>
      </c>
      <c r="N314" s="2">
        <v>8.2688000000000006</v>
      </c>
      <c r="O314" s="2">
        <v>0.74</v>
      </c>
      <c r="P314" s="2">
        <v>0.75</v>
      </c>
      <c r="Q314" s="2">
        <v>5.98</v>
      </c>
      <c r="R314" s="2">
        <v>0.73</v>
      </c>
      <c r="S314" s="64">
        <f>(N314/(L314+M314))*100</f>
        <v>54400</v>
      </c>
      <c r="T314" s="64">
        <f>(O314/(L314+M314))*100</f>
        <v>4868.4210526315792</v>
      </c>
      <c r="U314" s="72">
        <f>(P314/(L314+M314))*100</f>
        <v>4934.21052631579</v>
      </c>
      <c r="V314" s="2">
        <f>(Q314/(L314+M314))*100</f>
        <v>39342.105263157893</v>
      </c>
      <c r="W314" s="70">
        <f>(R314/(L314+M314))*100</f>
        <v>4802.6315789473683</v>
      </c>
    </row>
    <row r="315" spans="1:24" x14ac:dyDescent="0.25">
      <c r="A315" s="2">
        <v>1</v>
      </c>
      <c r="B315" s="2">
        <v>2</v>
      </c>
      <c r="C315" s="2" t="s">
        <v>520</v>
      </c>
      <c r="D315" s="2" t="s">
        <v>521</v>
      </c>
      <c r="E315" s="2" t="s">
        <v>522</v>
      </c>
      <c r="F315" s="66">
        <v>0.5</v>
      </c>
      <c r="G315" s="66">
        <v>0.5</v>
      </c>
      <c r="H315" s="66">
        <v>0.16</v>
      </c>
      <c r="I315" s="69">
        <v>0.66</v>
      </c>
      <c r="J315" s="66">
        <v>0.33</v>
      </c>
      <c r="K315" s="66">
        <v>9.9999999999999534E-3</v>
      </c>
      <c r="L315" s="19">
        <v>9.2299999999999993E-2</v>
      </c>
      <c r="M315" s="2">
        <v>0.1201</v>
      </c>
      <c r="N315" s="2">
        <v>297.02999999999997</v>
      </c>
      <c r="O315" s="2">
        <v>14.72</v>
      </c>
      <c r="P315" s="2">
        <v>14.68</v>
      </c>
      <c r="Q315" s="19">
        <v>276.38</v>
      </c>
      <c r="R315" s="2">
        <v>14.73</v>
      </c>
      <c r="S315" s="64">
        <f>(N315/(L315+M315))*100</f>
        <v>139844.6327683616</v>
      </c>
      <c r="T315" s="64">
        <f>(O315/(L315+M315))*100</f>
        <v>6930.3201506591349</v>
      </c>
      <c r="U315" s="72">
        <f>(P315/(L315+M315))*100</f>
        <v>6911.4877589453872</v>
      </c>
      <c r="V315" s="2">
        <f>(Q315/(L315+M315))*100</f>
        <v>130122.41054613938</v>
      </c>
      <c r="W315" s="70">
        <f>(R315/(L315+M315))*100</f>
        <v>6935.0282485875705</v>
      </c>
    </row>
    <row r="316" spans="1:24" x14ac:dyDescent="0.25">
      <c r="A316" s="2">
        <v>1</v>
      </c>
      <c r="B316" s="2">
        <v>1</v>
      </c>
      <c r="C316" s="2" t="s">
        <v>520</v>
      </c>
      <c r="D316" s="2" t="s">
        <v>521</v>
      </c>
      <c r="E316" s="2" t="s">
        <v>523</v>
      </c>
      <c r="F316" s="66">
        <v>0.42</v>
      </c>
      <c r="G316" s="66">
        <v>0.42</v>
      </c>
      <c r="H316" s="66">
        <v>0.28999999999999998</v>
      </c>
      <c r="I316" s="69">
        <v>0.71</v>
      </c>
      <c r="J316" s="66">
        <v>0.24</v>
      </c>
      <c r="K316" s="66">
        <v>5.0000000000000044E-2</v>
      </c>
      <c r="L316" s="19">
        <v>0.72199999999999998</v>
      </c>
      <c r="M316" s="2">
        <v>0.1048</v>
      </c>
      <c r="N316" s="2">
        <v>118.33</v>
      </c>
      <c r="O316" s="2">
        <v>27.56</v>
      </c>
      <c r="P316" s="2">
        <v>27.58</v>
      </c>
      <c r="Q316" s="19">
        <v>33.520000000000003</v>
      </c>
      <c r="R316" s="2">
        <v>27.54</v>
      </c>
      <c r="S316" s="64">
        <f>(N316/(L316+M316))*100</f>
        <v>14311.804547653606</v>
      </c>
      <c r="T316" s="64">
        <f>(O316/(L316+M316))*100</f>
        <v>3333.3333333333335</v>
      </c>
      <c r="U316" s="72">
        <f>(P316/(L316+M316))*100</f>
        <v>3335.752298016449</v>
      </c>
      <c r="V316" s="2">
        <f>(Q316/(L316+M316))*100</f>
        <v>4054.1848089017903</v>
      </c>
      <c r="W316" s="70">
        <f>(R316/(L316+M316))*100</f>
        <v>3330.9143686502175</v>
      </c>
    </row>
    <row r="317" spans="1:24" x14ac:dyDescent="0.25">
      <c r="A317" s="2">
        <v>1</v>
      </c>
      <c r="B317" s="2">
        <v>1</v>
      </c>
      <c r="C317" s="2" t="s">
        <v>524</v>
      </c>
      <c r="D317" s="2" t="s">
        <v>4</v>
      </c>
      <c r="E317" s="2" t="s">
        <v>525</v>
      </c>
      <c r="F317" s="66">
        <v>7.0000000000000007E-2</v>
      </c>
      <c r="G317" s="66">
        <v>7.0000000000000007E-2</v>
      </c>
      <c r="H317" s="66">
        <v>0</v>
      </c>
      <c r="I317" s="69">
        <v>7.0000000000000007E-2</v>
      </c>
      <c r="J317" s="66">
        <v>0.93</v>
      </c>
      <c r="K317" s="66">
        <v>-1.1102230246251565E-16</v>
      </c>
      <c r="L317" s="19">
        <v>8.09E-2</v>
      </c>
      <c r="M317" s="2">
        <v>0.50670000000000004</v>
      </c>
      <c r="N317" s="2">
        <v>171</v>
      </c>
      <c r="O317" s="2">
        <v>19.600000000000001</v>
      </c>
      <c r="P317" s="2">
        <v>19.579999999999998</v>
      </c>
      <c r="Q317" s="19">
        <v>111.44</v>
      </c>
      <c r="R317" s="2">
        <v>19.579999999999998</v>
      </c>
      <c r="S317" s="64">
        <f>(N317/(L317+M317))*100</f>
        <v>29101.429543907419</v>
      </c>
      <c r="T317" s="64">
        <f>(O317/(L317+M317))*100</f>
        <v>3335.6024506466988</v>
      </c>
      <c r="U317" s="72">
        <f>(P317/(L317+M317))*100</f>
        <v>3332.1987746766504</v>
      </c>
      <c r="V317" s="2">
        <f>(Q317/(L317+M317))*100</f>
        <v>18965.282505105515</v>
      </c>
      <c r="W317" s="70">
        <f>(R317/(L317+M317))*100</f>
        <v>3332.1987746766504</v>
      </c>
    </row>
    <row r="318" spans="1:24" x14ac:dyDescent="0.25">
      <c r="A318" s="2" t="s">
        <v>724</v>
      </c>
      <c r="B318" s="2">
        <v>2</v>
      </c>
      <c r="C318" s="2" t="s">
        <v>524</v>
      </c>
      <c r="D318" s="2" t="s">
        <v>4</v>
      </c>
      <c r="E318" s="2" t="s">
        <v>526</v>
      </c>
      <c r="F318" s="66">
        <v>0.27</v>
      </c>
      <c r="G318" s="66">
        <v>0.27</v>
      </c>
      <c r="H318" s="66">
        <v>0</v>
      </c>
      <c r="I318" s="69">
        <v>0.27</v>
      </c>
      <c r="J318" s="66">
        <v>0.73</v>
      </c>
      <c r="K318" s="66">
        <v>0</v>
      </c>
      <c r="L318" s="19">
        <v>7.9799999999999996E-2</v>
      </c>
      <c r="M318" s="2">
        <v>0.35820000000000002</v>
      </c>
      <c r="N318" s="2">
        <v>25.247199999999999</v>
      </c>
      <c r="O318" s="2">
        <v>12.53</v>
      </c>
      <c r="P318" s="2">
        <v>12.58</v>
      </c>
      <c r="Q318" s="19">
        <v>0</v>
      </c>
      <c r="R318" s="2">
        <v>0</v>
      </c>
      <c r="S318" s="64">
        <f>(N318/(L318+M318))*100</f>
        <v>5764.2009132420089</v>
      </c>
      <c r="T318" s="64">
        <f>(O318/(L318+M318))*100</f>
        <v>2860.7305936073058</v>
      </c>
      <c r="U318" s="72">
        <f>(P318/(L318+M318))*100</f>
        <v>2872.1461187214613</v>
      </c>
      <c r="V318" s="2">
        <f>(Q318/(L318+M318))*100</f>
        <v>0</v>
      </c>
      <c r="W318" s="70">
        <f>(R318/(L318+M318))*100</f>
        <v>0</v>
      </c>
    </row>
    <row r="319" spans="1:24" x14ac:dyDescent="0.25">
      <c r="A319" s="2">
        <v>2</v>
      </c>
      <c r="B319" s="2">
        <v>2</v>
      </c>
      <c r="C319" s="2" t="s">
        <v>527</v>
      </c>
      <c r="D319" s="2" t="s">
        <v>528</v>
      </c>
      <c r="E319" s="2" t="s">
        <v>529</v>
      </c>
      <c r="F319" s="66" t="s">
        <v>729</v>
      </c>
      <c r="G319" s="66" t="s">
        <v>729</v>
      </c>
      <c r="H319" s="66" t="s">
        <v>729</v>
      </c>
      <c r="I319" s="69">
        <v>0</v>
      </c>
      <c r="J319" s="66" t="s">
        <v>729</v>
      </c>
      <c r="K319" s="66">
        <v>1</v>
      </c>
      <c r="L319" s="19">
        <v>7.4287999999999998</v>
      </c>
      <c r="M319" s="2">
        <v>0</v>
      </c>
      <c r="N319" s="2">
        <v>714.3</v>
      </c>
      <c r="O319" s="2">
        <v>234.85</v>
      </c>
      <c r="P319" s="2">
        <v>243.7</v>
      </c>
      <c r="Q319" s="2">
        <v>0</v>
      </c>
      <c r="R319" s="2">
        <v>234.68</v>
      </c>
      <c r="S319" s="64">
        <f>(N319/(L319+M319))*100</f>
        <v>9615.2810682748222</v>
      </c>
      <c r="T319" s="64">
        <f>(O319/(L319+M319))*100</f>
        <v>3161.3450355373679</v>
      </c>
      <c r="U319" s="72">
        <f>(P319/(L319+M319))*100</f>
        <v>3280.4759853542969</v>
      </c>
      <c r="V319" s="2">
        <f>(Q319/(L319+M319))*100</f>
        <v>0</v>
      </c>
      <c r="W319" s="70">
        <f>(R319/(L319+M319))*100</f>
        <v>3159.0566444109413</v>
      </c>
      <c r="X319" s="2" t="s">
        <v>689</v>
      </c>
    </row>
    <row r="320" spans="1:24" x14ac:dyDescent="0.25">
      <c r="A320" s="2" t="s">
        <v>724</v>
      </c>
      <c r="B320" s="2">
        <v>2</v>
      </c>
      <c r="C320" s="2" t="s">
        <v>530</v>
      </c>
      <c r="D320" s="2" t="s">
        <v>218</v>
      </c>
      <c r="E320" s="2" t="s">
        <v>531</v>
      </c>
      <c r="F320" s="66" t="s">
        <v>729</v>
      </c>
      <c r="G320" s="66" t="s">
        <v>729</v>
      </c>
      <c r="H320" s="66" t="s">
        <v>729</v>
      </c>
      <c r="I320" s="69">
        <v>0</v>
      </c>
      <c r="J320" s="66" t="s">
        <v>729</v>
      </c>
      <c r="K320" s="66">
        <v>1</v>
      </c>
      <c r="L320" s="19">
        <v>7.4287999999999998</v>
      </c>
      <c r="M320" s="2">
        <v>4.1464999999999996</v>
      </c>
      <c r="N320" s="2">
        <v>213.18</v>
      </c>
      <c r="O320" s="2">
        <v>107.03</v>
      </c>
      <c r="P320" s="2">
        <v>107.04</v>
      </c>
      <c r="Q320" s="2">
        <v>0</v>
      </c>
      <c r="R320" s="2">
        <v>0</v>
      </c>
      <c r="S320" s="64">
        <f>(N320/(L320+M320))*100</f>
        <v>1841.680129240711</v>
      </c>
      <c r="T320" s="64">
        <f>(O320/(L320+M320))*100</f>
        <v>924.64126199752934</v>
      </c>
      <c r="U320" s="72">
        <f>(P320/(L320+M320))*100</f>
        <v>924.72765284701063</v>
      </c>
      <c r="V320" s="2">
        <f>(Q320/(L320+M320))*100</f>
        <v>0</v>
      </c>
      <c r="W320" s="70">
        <f>(R320/(L320+M320))*100</f>
        <v>0</v>
      </c>
      <c r="X320" s="2" t="s">
        <v>689</v>
      </c>
    </row>
    <row r="321" spans="1:23" x14ac:dyDescent="0.25">
      <c r="A321" s="2">
        <v>3</v>
      </c>
      <c r="B321" s="2">
        <v>1</v>
      </c>
      <c r="C321" s="2" t="s">
        <v>532</v>
      </c>
      <c r="D321" s="2" t="s">
        <v>288</v>
      </c>
      <c r="E321" s="2" t="s">
        <v>533</v>
      </c>
      <c r="F321" s="66">
        <v>0.4</v>
      </c>
      <c r="G321" s="66">
        <v>0.4</v>
      </c>
      <c r="H321" s="66">
        <v>0.22</v>
      </c>
      <c r="I321" s="69">
        <v>0.62</v>
      </c>
      <c r="J321" s="66">
        <v>0</v>
      </c>
      <c r="K321" s="66">
        <v>0.38</v>
      </c>
      <c r="L321" s="19">
        <v>2.4E-2</v>
      </c>
      <c r="M321" s="2">
        <v>9.2100000000000001E-2</v>
      </c>
      <c r="N321" s="2">
        <v>281.64999999999998</v>
      </c>
      <c r="O321" s="2">
        <v>10.72</v>
      </c>
      <c r="P321" s="2">
        <v>14.76</v>
      </c>
      <c r="Q321" s="2">
        <v>235.08</v>
      </c>
      <c r="R321" s="2">
        <v>13.96</v>
      </c>
      <c r="S321" s="64">
        <f>(N321/(L321+M321))*100</f>
        <v>242592.59259259255</v>
      </c>
      <c r="T321" s="64">
        <f>(O321/(L321+M321))*100</f>
        <v>9233.4194659776058</v>
      </c>
      <c r="U321" s="72">
        <f>(P321/(L321+M321))*100</f>
        <v>12713.178294573641</v>
      </c>
      <c r="V321" s="2">
        <f>(Q321/(L321+M321))*100</f>
        <v>202480.62015503878</v>
      </c>
      <c r="W321" s="70">
        <f>(R321/(L321+M321))*100</f>
        <v>12024.117140396211</v>
      </c>
    </row>
    <row r="322" spans="1:23" x14ac:dyDescent="0.25">
      <c r="A322" s="2">
        <v>3</v>
      </c>
      <c r="B322" s="2">
        <v>1</v>
      </c>
      <c r="C322" s="2" t="s">
        <v>532</v>
      </c>
      <c r="D322" s="2" t="s">
        <v>288</v>
      </c>
      <c r="E322" s="2" t="s">
        <v>534</v>
      </c>
      <c r="F322" s="66">
        <v>0.06</v>
      </c>
      <c r="G322" s="66">
        <v>0.06</v>
      </c>
      <c r="H322" s="66">
        <v>0.13</v>
      </c>
      <c r="I322" s="69">
        <v>0.19</v>
      </c>
      <c r="J322" s="66">
        <v>0</v>
      </c>
      <c r="K322" s="66">
        <v>0.81</v>
      </c>
      <c r="L322" s="19">
        <v>2.58E-2</v>
      </c>
      <c r="M322" s="2">
        <v>5.4600000000000003E-2</v>
      </c>
      <c r="N322" s="2">
        <v>286.27</v>
      </c>
      <c r="O322" s="2">
        <v>10.54</v>
      </c>
      <c r="P322" s="2">
        <v>7.86</v>
      </c>
      <c r="Q322" s="2">
        <v>253.06</v>
      </c>
      <c r="R322" s="2">
        <v>10.82</v>
      </c>
      <c r="S322" s="64">
        <f>(N322/(L322+M322))*100</f>
        <v>356057.21393034823</v>
      </c>
      <c r="T322" s="64">
        <f>(O322/(L322+M322))*100</f>
        <v>13109.452736318406</v>
      </c>
      <c r="U322" s="72">
        <f>(P322/(L322+M322))*100</f>
        <v>9776.1194029850758</v>
      </c>
      <c r="V322" s="2">
        <f>(Q322/(L322+M322))*100</f>
        <v>314751.24378109456</v>
      </c>
      <c r="W322" s="70">
        <f>(R322/(L322+M322))*100</f>
        <v>13457.711442786069</v>
      </c>
    </row>
    <row r="323" spans="1:23" x14ac:dyDescent="0.25">
      <c r="A323" s="2">
        <v>3</v>
      </c>
      <c r="B323" s="2">
        <v>1</v>
      </c>
      <c r="C323" s="2" t="s">
        <v>532</v>
      </c>
      <c r="D323" s="2" t="s">
        <v>288</v>
      </c>
      <c r="E323" s="2" t="s">
        <v>535</v>
      </c>
      <c r="F323" s="66">
        <v>0.79</v>
      </c>
      <c r="G323" s="66">
        <v>0.79</v>
      </c>
      <c r="H323" s="66">
        <v>0.06</v>
      </c>
      <c r="I323" s="69">
        <v>0.85</v>
      </c>
      <c r="J323" s="66">
        <v>0</v>
      </c>
      <c r="K323" s="66">
        <v>0.15000000000000002</v>
      </c>
      <c r="L323" s="19">
        <v>1.7999999999999999E-2</v>
      </c>
      <c r="M323" s="2">
        <v>2.3300000000000001E-2</v>
      </c>
      <c r="N323" s="2">
        <v>278.39</v>
      </c>
      <c r="O323" s="2">
        <v>9.85</v>
      </c>
      <c r="P323" s="2">
        <v>9.9499999999999993</v>
      </c>
      <c r="Q323" s="2">
        <v>231.66</v>
      </c>
      <c r="R323" s="2">
        <v>11.66</v>
      </c>
      <c r="S323" s="64">
        <f>(N323/(L323+M323))*100</f>
        <v>674067.79661016946</v>
      </c>
      <c r="T323" s="64">
        <f>(O323/(L323+M323))*100</f>
        <v>23849.878934624696</v>
      </c>
      <c r="U323" s="72">
        <f>(P323/(L323+M323))*100</f>
        <v>24092.009685230023</v>
      </c>
      <c r="V323" s="2">
        <f>(Q323/(L323+M323))*100</f>
        <v>560920.09685230022</v>
      </c>
      <c r="W323" s="70">
        <f>(R323/(L323+M323))*100</f>
        <v>28232.44552058111</v>
      </c>
    </row>
    <row r="324" spans="1:23" x14ac:dyDescent="0.25">
      <c r="A324" s="2">
        <v>3</v>
      </c>
      <c r="B324" s="2">
        <v>1</v>
      </c>
      <c r="C324" s="2" t="s">
        <v>532</v>
      </c>
      <c r="D324" s="2" t="s">
        <v>288</v>
      </c>
      <c r="E324" s="2" t="s">
        <v>536</v>
      </c>
      <c r="F324" s="66">
        <v>0.13</v>
      </c>
      <c r="G324" s="66">
        <v>0.13</v>
      </c>
      <c r="H324" s="66">
        <v>0.28999999999999998</v>
      </c>
      <c r="I324" s="69">
        <v>0.42</v>
      </c>
      <c r="J324" s="66">
        <v>0</v>
      </c>
      <c r="K324" s="66">
        <v>0.58000000000000007</v>
      </c>
      <c r="L324" s="19">
        <v>1.12E-2</v>
      </c>
      <c r="M324" s="2">
        <v>3.9600000000000003E-2</v>
      </c>
      <c r="N324" s="2">
        <v>254.56</v>
      </c>
      <c r="O324" s="2">
        <v>10.91</v>
      </c>
      <c r="P324" s="2">
        <v>11.1</v>
      </c>
      <c r="Q324" s="2">
        <v>205.56</v>
      </c>
      <c r="R324" s="2">
        <v>9.8000000000000007</v>
      </c>
      <c r="S324" s="64">
        <f>(N324/(L324+M324))*100</f>
        <v>501102.36220472434</v>
      </c>
      <c r="T324" s="64">
        <f>(O324/(L324+M324))*100</f>
        <v>21476.377952755902</v>
      </c>
      <c r="U324" s="72">
        <f>(P324/(L324+M324))*100</f>
        <v>21850.393700787397</v>
      </c>
      <c r="V324" s="2">
        <f>(Q324/(L324+M324))*100</f>
        <v>404645.66929133853</v>
      </c>
      <c r="W324" s="70">
        <f>(R324/(L324+M324))*100</f>
        <v>19291.338582677163</v>
      </c>
    </row>
    <row r="325" spans="1:23" x14ac:dyDescent="0.25">
      <c r="A325" s="2">
        <v>3</v>
      </c>
      <c r="B325" s="2">
        <v>1</v>
      </c>
      <c r="C325" s="2" t="s">
        <v>532</v>
      </c>
      <c r="D325" s="2" t="s">
        <v>288</v>
      </c>
      <c r="E325" s="2" t="s">
        <v>537</v>
      </c>
      <c r="F325" s="66">
        <v>0.2</v>
      </c>
      <c r="G325" s="66">
        <v>0.2</v>
      </c>
      <c r="H325" s="66">
        <v>0.26</v>
      </c>
      <c r="I325" s="69">
        <v>0.46</v>
      </c>
      <c r="J325" s="66">
        <v>0</v>
      </c>
      <c r="K325" s="66">
        <v>0.54</v>
      </c>
      <c r="L325" s="19">
        <v>1.9400000000000001E-2</v>
      </c>
      <c r="M325" s="2">
        <v>1.8800000000000001E-2</v>
      </c>
      <c r="N325" s="2">
        <v>485.46</v>
      </c>
      <c r="O325" s="2">
        <v>11.86</v>
      </c>
      <c r="P325" s="2">
        <v>9.89</v>
      </c>
      <c r="Q325" s="2">
        <v>436.92</v>
      </c>
      <c r="R325" s="2">
        <v>12.44</v>
      </c>
      <c r="S325" s="64">
        <f>(N325/(L325+M325))*100</f>
        <v>1270837.6963350784</v>
      </c>
      <c r="T325" s="64">
        <f>(O325/(L325+M325))*100</f>
        <v>31047.120418848168</v>
      </c>
      <c r="U325" s="72">
        <f>(P325/(L325+M325))*100</f>
        <v>25890.052356020948</v>
      </c>
      <c r="V325" s="2">
        <f>(Q325/(L325+M325))*100</f>
        <v>1143769.6335078536</v>
      </c>
      <c r="W325" s="70">
        <f>(R325/(L325+M325))*100</f>
        <v>32565.445026178008</v>
      </c>
    </row>
    <row r="326" spans="1:23" x14ac:dyDescent="0.25">
      <c r="A326" s="2">
        <v>3</v>
      </c>
      <c r="B326" s="2">
        <v>1</v>
      </c>
      <c r="C326" s="2" t="s">
        <v>532</v>
      </c>
      <c r="D326" s="2" t="s">
        <v>288</v>
      </c>
      <c r="E326" s="2" t="s">
        <v>538</v>
      </c>
      <c r="F326" s="66">
        <v>0.69</v>
      </c>
      <c r="G326" s="66">
        <v>0.69</v>
      </c>
      <c r="H326" s="66">
        <v>0.13</v>
      </c>
      <c r="I326" s="69">
        <v>0.82</v>
      </c>
      <c r="J326" s="66">
        <v>0</v>
      </c>
      <c r="K326" s="66">
        <v>0.18000000000000005</v>
      </c>
      <c r="L326" s="19">
        <v>2.6100000000000002E-2</v>
      </c>
      <c r="M326" s="2">
        <v>6.9900000000000004E-2</v>
      </c>
      <c r="N326" s="2">
        <v>398.79</v>
      </c>
      <c r="O326" s="2">
        <v>12</v>
      </c>
      <c r="P326" s="2">
        <v>15.11</v>
      </c>
      <c r="Q326" s="2">
        <v>349.17</v>
      </c>
      <c r="R326" s="2">
        <v>13.05</v>
      </c>
      <c r="S326" s="64">
        <f>(N326/(L326+M326))*100</f>
        <v>415406.25</v>
      </c>
      <c r="T326" s="64">
        <f>(O326/(L326+M326))*100</f>
        <v>12500</v>
      </c>
      <c r="U326" s="72">
        <f>(P326/(L326+M326))*100</f>
        <v>15739.583333333332</v>
      </c>
      <c r="V326" s="2">
        <f>(Q326/(L326+M326))*100</f>
        <v>363718.75</v>
      </c>
      <c r="W326" s="70">
        <f>(R326/(L326+M326))*100</f>
        <v>13593.75</v>
      </c>
    </row>
    <row r="327" spans="1:23" x14ac:dyDescent="0.25">
      <c r="A327" s="2">
        <v>3</v>
      </c>
      <c r="B327" s="2">
        <v>1</v>
      </c>
      <c r="C327" s="2" t="s">
        <v>532</v>
      </c>
      <c r="D327" s="2" t="s">
        <v>288</v>
      </c>
      <c r="E327" s="2" t="s">
        <v>539</v>
      </c>
      <c r="F327" s="66">
        <v>0.09</v>
      </c>
      <c r="G327" s="66">
        <v>0.09</v>
      </c>
      <c r="H327" s="66">
        <v>0.25</v>
      </c>
      <c r="I327" s="69">
        <v>0.34</v>
      </c>
      <c r="J327" s="66">
        <v>0</v>
      </c>
      <c r="K327" s="66">
        <v>0.65999999999999992</v>
      </c>
      <c r="L327" s="19">
        <v>1.9400000000000001E-2</v>
      </c>
      <c r="M327" s="2">
        <v>2.8199999999999999E-2</v>
      </c>
      <c r="N327" s="2">
        <v>395.41</v>
      </c>
      <c r="O327" s="2">
        <v>12.51</v>
      </c>
      <c r="P327" s="2">
        <v>16.12</v>
      </c>
      <c r="Q327" s="2">
        <v>314.48</v>
      </c>
      <c r="R327" s="2">
        <v>14.81</v>
      </c>
      <c r="S327" s="64">
        <f>(N327/(L327+M327))*100</f>
        <v>830693.27731092437</v>
      </c>
      <c r="T327" s="64">
        <f>(O327/(L327+M327))*100</f>
        <v>26281.512605042015</v>
      </c>
      <c r="U327" s="72">
        <f>(P327/(L327+M327))*100</f>
        <v>33865.546218487398</v>
      </c>
      <c r="V327" s="2">
        <f>(Q327/(L327+M327))*100</f>
        <v>660672.26890756306</v>
      </c>
      <c r="W327" s="70">
        <f>(R327/(L327+M327))*100</f>
        <v>31113.44537815126</v>
      </c>
    </row>
    <row r="328" spans="1:23" x14ac:dyDescent="0.25">
      <c r="A328" s="2">
        <v>3</v>
      </c>
      <c r="B328" s="2">
        <v>1</v>
      </c>
      <c r="C328" s="2" t="s">
        <v>532</v>
      </c>
      <c r="D328" s="2" t="s">
        <v>288</v>
      </c>
      <c r="E328" s="2" t="s">
        <v>540</v>
      </c>
      <c r="F328" s="66">
        <v>0.3</v>
      </c>
      <c r="G328" s="66">
        <v>0.3</v>
      </c>
      <c r="H328" s="66">
        <v>0.19</v>
      </c>
      <c r="I328" s="69">
        <v>0.49</v>
      </c>
      <c r="J328" s="66">
        <v>0</v>
      </c>
      <c r="K328" s="66">
        <v>0.51</v>
      </c>
      <c r="L328" s="19">
        <v>2.3400000000000001E-2</v>
      </c>
      <c r="M328" s="2">
        <v>3.8199999999999998E-2</v>
      </c>
      <c r="N328" s="2">
        <v>403.86</v>
      </c>
      <c r="O328" s="2">
        <v>12.68</v>
      </c>
      <c r="P328" s="2">
        <v>15.66</v>
      </c>
      <c r="Q328" s="2">
        <v>339.2</v>
      </c>
      <c r="R328" s="2">
        <v>14.51</v>
      </c>
      <c r="S328" s="64">
        <f>(N328/(L328+M328))*100</f>
        <v>655616.88311688311</v>
      </c>
      <c r="T328" s="64">
        <f>(O328/(L328+M328))*100</f>
        <v>20584.415584415583</v>
      </c>
      <c r="U328" s="72">
        <f>(P328/(L328+M328))*100</f>
        <v>25422.077922077922</v>
      </c>
      <c r="V328" s="2">
        <f>(Q328/(L328+M328))*100</f>
        <v>550649.35064935067</v>
      </c>
      <c r="W328" s="70">
        <f>(R328/(L328+M328))*100</f>
        <v>23555.194805194806</v>
      </c>
    </row>
    <row r="329" spans="1:23" x14ac:dyDescent="0.25">
      <c r="A329" s="2">
        <v>3</v>
      </c>
      <c r="B329" s="2">
        <v>1</v>
      </c>
      <c r="C329" s="2" t="s">
        <v>532</v>
      </c>
      <c r="D329" s="2" t="s">
        <v>288</v>
      </c>
      <c r="E329" s="2" t="s">
        <v>541</v>
      </c>
      <c r="F329" s="66">
        <v>0.4</v>
      </c>
      <c r="G329" s="66">
        <v>0.4</v>
      </c>
      <c r="H329" s="66">
        <v>0.32</v>
      </c>
      <c r="I329" s="69">
        <v>0.72</v>
      </c>
      <c r="J329" s="66">
        <v>0</v>
      </c>
      <c r="K329" s="66">
        <v>0.28000000000000003</v>
      </c>
      <c r="L329" s="19">
        <v>1.35E-2</v>
      </c>
      <c r="M329" s="2">
        <v>1.7500000000000002E-2</v>
      </c>
      <c r="N329" s="2">
        <v>269.98</v>
      </c>
      <c r="O329" s="2">
        <v>8.2200000000000006</v>
      </c>
      <c r="P329" s="2">
        <v>7.81</v>
      </c>
      <c r="Q329" s="2">
        <v>232.55</v>
      </c>
      <c r="R329" s="2">
        <v>8.23</v>
      </c>
      <c r="S329" s="64">
        <f>(N329/(L329+M329))*100</f>
        <v>870903.22580645175</v>
      </c>
      <c r="T329" s="64">
        <f>(O329/(L329+M329))*100</f>
        <v>26516.129032258068</v>
      </c>
      <c r="U329" s="72">
        <f>(P329/(L329+M329))*100</f>
        <v>25193.548387096773</v>
      </c>
      <c r="V329" s="2">
        <f>(Q329/(L329+M329))*100</f>
        <v>750161.29032258072</v>
      </c>
      <c r="W329" s="70">
        <f>(R329/(L329+M329))*100</f>
        <v>26548.387096774197</v>
      </c>
    </row>
    <row r="330" spans="1:23" x14ac:dyDescent="0.25">
      <c r="A330" s="2">
        <v>3</v>
      </c>
      <c r="B330" s="2">
        <v>1</v>
      </c>
      <c r="C330" s="2" t="s">
        <v>532</v>
      </c>
      <c r="D330" s="2" t="s">
        <v>288</v>
      </c>
      <c r="E330" s="2" t="s">
        <v>542</v>
      </c>
      <c r="F330" s="66">
        <v>0.15</v>
      </c>
      <c r="G330" s="66">
        <v>0.15</v>
      </c>
      <c r="H330" s="66">
        <v>0.7</v>
      </c>
      <c r="I330" s="69">
        <v>0.85</v>
      </c>
      <c r="J330" s="66">
        <v>0</v>
      </c>
      <c r="K330" s="66">
        <v>0.15000000000000002</v>
      </c>
      <c r="L330" s="19">
        <v>1.0699999999999999E-2</v>
      </c>
      <c r="M330" s="2">
        <v>4.2099999999999999E-2</v>
      </c>
      <c r="N330" s="2">
        <v>351.15</v>
      </c>
      <c r="O330" s="2">
        <v>12.86</v>
      </c>
      <c r="P330" s="2">
        <v>13.04</v>
      </c>
      <c r="Q330" s="2">
        <v>307.99</v>
      </c>
      <c r="R330" s="2">
        <v>20.83</v>
      </c>
      <c r="S330" s="64">
        <f>(N330/(L330+M330))*100</f>
        <v>665056.81818181812</v>
      </c>
      <c r="T330" s="64">
        <f>(O330/(L330+M330))*100</f>
        <v>24356.060606060608</v>
      </c>
      <c r="U330" s="72">
        <f>(P330/(L330+M330))*100</f>
        <v>24696.969696969696</v>
      </c>
      <c r="V330" s="2">
        <f>(Q330/(L330+M330))*100</f>
        <v>583314.39393939404</v>
      </c>
      <c r="W330" s="70">
        <f>(R330/(L330+M330))*100</f>
        <v>39450.757575757576</v>
      </c>
    </row>
    <row r="331" spans="1:23" x14ac:dyDescent="0.25">
      <c r="A331" s="2">
        <v>3</v>
      </c>
      <c r="B331" s="2">
        <v>1</v>
      </c>
      <c r="C331" s="2" t="s">
        <v>532</v>
      </c>
      <c r="D331" s="2" t="s">
        <v>288</v>
      </c>
      <c r="E331" s="2" t="s">
        <v>543</v>
      </c>
      <c r="F331" s="66">
        <v>0.38</v>
      </c>
      <c r="G331" s="66">
        <v>0.38</v>
      </c>
      <c r="H331" s="66">
        <v>0.41</v>
      </c>
      <c r="I331" s="69">
        <v>0.79</v>
      </c>
      <c r="J331" s="66">
        <v>0</v>
      </c>
      <c r="K331" s="66">
        <v>0.20999999999999996</v>
      </c>
      <c r="L331" s="19">
        <v>1.6799999999999999E-2</v>
      </c>
      <c r="M331" s="2">
        <v>6.5600000000000006E-2</v>
      </c>
      <c r="N331" s="2">
        <v>374.61</v>
      </c>
      <c r="O331" s="2">
        <v>16.03</v>
      </c>
      <c r="P331" s="2">
        <v>15.01</v>
      </c>
      <c r="Q331" s="2">
        <v>309.05</v>
      </c>
      <c r="R331" s="2">
        <v>12.24</v>
      </c>
      <c r="S331" s="64">
        <f>(N331/(L331+M331))*100</f>
        <v>454623.78640776698</v>
      </c>
      <c r="T331" s="64">
        <f>(O331/(L331+M331))*100</f>
        <v>19453.883495145634</v>
      </c>
      <c r="U331" s="72">
        <f>(P331/(L331+M331))*100</f>
        <v>18216.019417475727</v>
      </c>
      <c r="V331" s="2">
        <f>(Q331/(L331+M331))*100</f>
        <v>375060.67961165047</v>
      </c>
      <c r="W331" s="70">
        <f>(R331/(L331+M331))*100</f>
        <v>14854.368932038835</v>
      </c>
    </row>
    <row r="332" spans="1:23" x14ac:dyDescent="0.25">
      <c r="A332" s="2">
        <v>3</v>
      </c>
      <c r="B332" s="2">
        <v>1</v>
      </c>
      <c r="C332" s="2" t="s">
        <v>532</v>
      </c>
      <c r="D332" s="2" t="s">
        <v>544</v>
      </c>
      <c r="E332" s="2" t="s">
        <v>545</v>
      </c>
      <c r="F332" s="66">
        <v>0.22</v>
      </c>
      <c r="G332" s="66">
        <v>0.22</v>
      </c>
      <c r="H332" s="66">
        <v>0.23</v>
      </c>
      <c r="I332" s="69">
        <v>0.45</v>
      </c>
      <c r="J332" s="66">
        <v>0</v>
      </c>
      <c r="K332" s="66">
        <v>0.55000000000000004</v>
      </c>
      <c r="L332" s="19">
        <v>1.5100000000000001E-2</v>
      </c>
      <c r="M332" s="2">
        <v>2.86E-2</v>
      </c>
      <c r="N332" s="2">
        <v>508.28</v>
      </c>
      <c r="O332" s="2">
        <v>14.21</v>
      </c>
      <c r="P332" s="2">
        <v>14.8</v>
      </c>
      <c r="Q332" s="2">
        <v>437.67</v>
      </c>
      <c r="R332" s="2">
        <v>14.52</v>
      </c>
      <c r="S332" s="64">
        <f>(N332/(L332+M332))*100</f>
        <v>1163112.1281464531</v>
      </c>
      <c r="T332" s="64">
        <f>(O332/(L332+M332))*100</f>
        <v>32517.162471395881</v>
      </c>
      <c r="U332" s="72">
        <f>(P332/(L332+M332))*100</f>
        <v>33867.276887871856</v>
      </c>
      <c r="V332" s="2">
        <f>(Q332/(L332+M332))*100</f>
        <v>1001533.1807780319</v>
      </c>
      <c r="W332" s="70">
        <f>(R332/(L332+M332))*100</f>
        <v>33226.54462242563</v>
      </c>
    </row>
    <row r="333" spans="1:23" x14ac:dyDescent="0.25">
      <c r="A333" s="2">
        <v>3</v>
      </c>
      <c r="B333" s="2">
        <v>1</v>
      </c>
      <c r="C333" s="2" t="s">
        <v>532</v>
      </c>
      <c r="D333" s="2" t="s">
        <v>544</v>
      </c>
      <c r="E333" s="2" t="s">
        <v>546</v>
      </c>
      <c r="F333" s="66">
        <v>0.47</v>
      </c>
      <c r="G333" s="66">
        <v>0.47</v>
      </c>
      <c r="H333" s="66">
        <v>0.51</v>
      </c>
      <c r="I333" s="69">
        <v>0.98</v>
      </c>
      <c r="J333" s="66">
        <v>0</v>
      </c>
      <c r="K333" s="66">
        <v>2.0000000000000018E-2</v>
      </c>
      <c r="L333" s="19">
        <v>3.5999999999999997E-2</v>
      </c>
      <c r="M333" s="2">
        <v>1.78E-2</v>
      </c>
      <c r="N333" s="2">
        <v>920.5</v>
      </c>
      <c r="O333" s="2">
        <v>30.36</v>
      </c>
      <c r="P333" s="2">
        <v>30.24</v>
      </c>
      <c r="Q333" s="2">
        <v>817.03</v>
      </c>
      <c r="R333" s="2">
        <v>26.39</v>
      </c>
      <c r="S333" s="64">
        <f>(N333/(L333+M333))*100</f>
        <v>1710966.5427509295</v>
      </c>
      <c r="T333" s="64">
        <f>(O333/(L333+M333))*100</f>
        <v>56431.226765799249</v>
      </c>
      <c r="U333" s="72">
        <f>(P333/(L333+M333))*100</f>
        <v>56208.178438661707</v>
      </c>
      <c r="V333" s="2">
        <f>(Q333/(L333+M333))*100</f>
        <v>1518643.12267658</v>
      </c>
      <c r="W333" s="70">
        <f>(R333/(L333+M333))*100</f>
        <v>49052.044609665427</v>
      </c>
    </row>
    <row r="334" spans="1:23" x14ac:dyDescent="0.25">
      <c r="A334" s="2">
        <v>3</v>
      </c>
      <c r="B334" s="2">
        <v>1</v>
      </c>
      <c r="C334" s="2" t="s">
        <v>532</v>
      </c>
      <c r="D334" s="2" t="s">
        <v>544</v>
      </c>
      <c r="E334" s="2" t="s">
        <v>547</v>
      </c>
      <c r="F334" s="66">
        <v>0.17</v>
      </c>
      <c r="G334" s="66">
        <v>0.17</v>
      </c>
      <c r="H334" s="66">
        <v>0.44</v>
      </c>
      <c r="I334" s="69">
        <v>0.61</v>
      </c>
      <c r="J334" s="66">
        <v>0</v>
      </c>
      <c r="K334" s="66">
        <v>0.39</v>
      </c>
      <c r="L334" s="19">
        <v>1.04E-2</v>
      </c>
      <c r="M334" s="2">
        <v>5.8599999999999999E-2</v>
      </c>
      <c r="N334" s="2">
        <v>1090.49</v>
      </c>
      <c r="O334" s="2">
        <v>31.72</v>
      </c>
      <c r="P334" s="2">
        <v>37.590000000000003</v>
      </c>
      <c r="Q334" s="2">
        <v>935.12</v>
      </c>
      <c r="R334" s="2">
        <v>52.02</v>
      </c>
      <c r="S334" s="64">
        <f>(N334/(L334+M334))*100</f>
        <v>1580420.2898550725</v>
      </c>
      <c r="T334" s="64">
        <f>(O334/(L334+M334))*100</f>
        <v>45971.014492753617</v>
      </c>
      <c r="U334" s="72">
        <f>(P334/(L334+M334))*100</f>
        <v>54478.260869565216</v>
      </c>
      <c r="V334" s="2">
        <f>(Q334/(L334+M334))*100</f>
        <v>1355246.376811594</v>
      </c>
      <c r="W334" s="70">
        <f>(R334/(L334+M334))*100</f>
        <v>75391.304347826081</v>
      </c>
    </row>
    <row r="335" spans="1:23" x14ac:dyDescent="0.25">
      <c r="A335" s="2">
        <v>3</v>
      </c>
      <c r="B335" s="2">
        <v>1</v>
      </c>
      <c r="C335" s="2" t="s">
        <v>532</v>
      </c>
      <c r="D335" s="2" t="s">
        <v>544</v>
      </c>
      <c r="E335" s="2" t="s">
        <v>548</v>
      </c>
      <c r="F335" s="66">
        <v>0</v>
      </c>
      <c r="G335" s="66">
        <v>0</v>
      </c>
      <c r="H335" s="66">
        <v>0.11</v>
      </c>
      <c r="I335" s="69">
        <v>0.11</v>
      </c>
      <c r="J335" s="66">
        <v>0</v>
      </c>
      <c r="K335" s="66">
        <v>0.89</v>
      </c>
      <c r="L335" s="19">
        <v>8.2000000000000007E-3</v>
      </c>
      <c r="M335" s="2">
        <v>1.1299999999999999E-2</v>
      </c>
      <c r="N335" s="2">
        <v>984.51</v>
      </c>
      <c r="O335" s="2">
        <v>34.81</v>
      </c>
      <c r="P335" s="2">
        <v>42.85</v>
      </c>
      <c r="Q335" s="2">
        <v>851.42</v>
      </c>
      <c r="R335" s="2">
        <v>28.12</v>
      </c>
      <c r="S335" s="64">
        <f>(N335/(L335+M335))*100</f>
        <v>5048769.2307692301</v>
      </c>
      <c r="T335" s="64">
        <f>(O335/(L335+M335))*100</f>
        <v>178512.82051282053</v>
      </c>
      <c r="U335" s="72">
        <f>(P335/(L335+M335))*100</f>
        <v>219743.58974358975</v>
      </c>
      <c r="V335" s="2">
        <f>(Q335/(L335+M335))*100</f>
        <v>4366256.41025641</v>
      </c>
      <c r="W335" s="70">
        <f>(R335/(L335+M335))*100</f>
        <v>144205.12820512822</v>
      </c>
    </row>
    <row r="336" spans="1:23" x14ac:dyDescent="0.25">
      <c r="A336" s="2">
        <v>3</v>
      </c>
      <c r="B336" s="2">
        <v>1</v>
      </c>
      <c r="C336" s="2" t="s">
        <v>532</v>
      </c>
      <c r="D336" s="2" t="s">
        <v>544</v>
      </c>
      <c r="E336" s="2" t="s">
        <v>549</v>
      </c>
      <c r="F336" s="66">
        <v>0.1</v>
      </c>
      <c r="G336" s="66">
        <v>0.1</v>
      </c>
      <c r="H336" s="66">
        <v>0.35</v>
      </c>
      <c r="I336" s="69">
        <v>0.45</v>
      </c>
      <c r="J336" s="66">
        <v>0</v>
      </c>
      <c r="K336" s="66">
        <v>0.55000000000000004</v>
      </c>
      <c r="L336" s="19">
        <v>2.3199999999999998E-2</v>
      </c>
      <c r="M336" s="2">
        <v>3.4799999999999998E-2</v>
      </c>
      <c r="N336" s="2">
        <v>483.12</v>
      </c>
      <c r="O336" s="2">
        <v>14.97</v>
      </c>
      <c r="P336" s="2">
        <v>15.84</v>
      </c>
      <c r="Q336" s="2">
        <v>417.13</v>
      </c>
      <c r="R336" s="2">
        <v>20.54</v>
      </c>
      <c r="S336" s="64">
        <f>(N336/(L336+M336))*100</f>
        <v>832965.51724137936</v>
      </c>
      <c r="T336" s="64">
        <f>(O336/(L336+M336))*100</f>
        <v>25810.34482758621</v>
      </c>
      <c r="U336" s="72">
        <f>(P336/(L336+M336))*100</f>
        <v>27310.34482758621</v>
      </c>
      <c r="V336" s="2">
        <f>(Q336/(L336+M336))*100</f>
        <v>719189.65517241391</v>
      </c>
      <c r="W336" s="70">
        <f>(R336/(L336+M336))*100</f>
        <v>35413.793103448275</v>
      </c>
    </row>
    <row r="337" spans="1:24" x14ac:dyDescent="0.25">
      <c r="A337" s="2">
        <v>3</v>
      </c>
      <c r="B337" s="2">
        <v>1</v>
      </c>
      <c r="C337" s="2" t="s">
        <v>532</v>
      </c>
      <c r="D337" s="2" t="s">
        <v>544</v>
      </c>
      <c r="E337" s="2" t="s">
        <v>550</v>
      </c>
      <c r="F337" s="66">
        <v>0.14000000000000001</v>
      </c>
      <c r="G337" s="66">
        <v>0.14000000000000001</v>
      </c>
      <c r="H337" s="66">
        <v>0.09</v>
      </c>
      <c r="I337" s="69">
        <v>0.23</v>
      </c>
      <c r="J337" s="66">
        <v>0</v>
      </c>
      <c r="K337" s="66">
        <v>0.77</v>
      </c>
      <c r="L337" s="19">
        <v>1.4800000000000001E-2</v>
      </c>
      <c r="M337" s="2">
        <v>1.9800000000000002E-2</v>
      </c>
      <c r="N337" s="2">
        <v>918.56</v>
      </c>
      <c r="O337" s="2">
        <v>40.4</v>
      </c>
      <c r="P337" s="2">
        <v>33.32</v>
      </c>
      <c r="Q337" s="2">
        <v>774.67</v>
      </c>
      <c r="R337" s="2">
        <v>35.26</v>
      </c>
      <c r="S337" s="64">
        <f>(N337/(L337+M337))*100</f>
        <v>2654797.6878612712</v>
      </c>
      <c r="T337" s="64">
        <f>(O337/(L337+M337))*100</f>
        <v>116763.00578034679</v>
      </c>
      <c r="U337" s="72">
        <f>(P337/(L337+M337))*100</f>
        <v>96300.578034682068</v>
      </c>
      <c r="V337" s="2">
        <f>(Q337/(L337+M337))*100</f>
        <v>2238930.63583815</v>
      </c>
      <c r="W337" s="70">
        <f>(R337/(L337+M337))*100</f>
        <v>101907.51445086703</v>
      </c>
    </row>
    <row r="338" spans="1:24" x14ac:dyDescent="0.25">
      <c r="A338" s="2">
        <v>3</v>
      </c>
      <c r="B338" s="2">
        <v>1</v>
      </c>
      <c r="C338" s="2" t="s">
        <v>532</v>
      </c>
      <c r="D338" s="2" t="s">
        <v>544</v>
      </c>
      <c r="E338" s="2" t="s">
        <v>551</v>
      </c>
      <c r="F338" s="66">
        <v>0.54</v>
      </c>
      <c r="G338" s="66">
        <v>0.54</v>
      </c>
      <c r="H338" s="66">
        <v>7.0000000000000007E-2</v>
      </c>
      <c r="I338" s="69">
        <v>0.61</v>
      </c>
      <c r="J338" s="66">
        <v>0</v>
      </c>
      <c r="K338" s="66">
        <v>0.39</v>
      </c>
      <c r="L338" s="19">
        <v>0.02</v>
      </c>
      <c r="M338" s="2">
        <v>6.2199999999999998E-2</v>
      </c>
      <c r="N338" s="19">
        <v>1371.89</v>
      </c>
      <c r="O338" s="2">
        <v>46.53</v>
      </c>
      <c r="P338" s="2">
        <v>51.22</v>
      </c>
      <c r="Q338" s="2">
        <v>1156.55</v>
      </c>
      <c r="R338" s="2">
        <v>51.66</v>
      </c>
      <c r="S338" s="64">
        <f>(N338/(L338+M338))*100</f>
        <v>1668965.9367396594</v>
      </c>
      <c r="T338" s="64">
        <f>(O338/(L338+M338))*100</f>
        <v>56605.839416058407</v>
      </c>
      <c r="U338" s="72">
        <f>(P338/(L338+M338))*100</f>
        <v>62311.435523114356</v>
      </c>
      <c r="V338" s="2">
        <f>(Q338/(L338+M338))*100</f>
        <v>1406995.1338199512</v>
      </c>
      <c r="W338" s="70">
        <f>(R338/(L338+M338))*100</f>
        <v>62846.715328467159</v>
      </c>
    </row>
    <row r="339" spans="1:24" x14ac:dyDescent="0.25">
      <c r="A339" s="2">
        <v>3</v>
      </c>
      <c r="B339" s="2">
        <v>1</v>
      </c>
      <c r="C339" s="2" t="s">
        <v>532</v>
      </c>
      <c r="D339" s="2" t="s">
        <v>544</v>
      </c>
      <c r="E339" s="2" t="s">
        <v>552</v>
      </c>
      <c r="F339" s="66">
        <v>0.64</v>
      </c>
      <c r="G339" s="66">
        <v>0.64</v>
      </c>
      <c r="H339" s="66">
        <v>0.28999999999999998</v>
      </c>
      <c r="I339" s="69">
        <v>0.93</v>
      </c>
      <c r="J339" s="66">
        <v>0</v>
      </c>
      <c r="K339" s="66">
        <v>6.9999999999999951E-2</v>
      </c>
      <c r="L339" s="19">
        <v>1.0500000000000001E-2</v>
      </c>
      <c r="M339" s="2">
        <v>2.0899999999999998E-2</v>
      </c>
      <c r="N339" s="2">
        <v>1194.57</v>
      </c>
      <c r="O339" s="2">
        <v>42.03</v>
      </c>
      <c r="P339" s="2">
        <v>60.21</v>
      </c>
      <c r="Q339" s="2">
        <v>1026.7</v>
      </c>
      <c r="R339" s="2">
        <v>55.89</v>
      </c>
      <c r="S339" s="64">
        <f>(N339/(L339+M339))*100</f>
        <v>3804363.0573248412</v>
      </c>
      <c r="T339" s="64">
        <f>(O339/(L339+M339))*100</f>
        <v>133853.50318471339</v>
      </c>
      <c r="U339" s="72">
        <f>(P339/(L339+M339))*100</f>
        <v>191751.59235668791</v>
      </c>
      <c r="V339" s="2">
        <f>(Q339/(L339+M339))*100</f>
        <v>3269745.2229299368</v>
      </c>
      <c r="W339" s="70">
        <f>(R339/(L339+M339))*100</f>
        <v>177993.63057324843</v>
      </c>
    </row>
    <row r="340" spans="1:24" x14ac:dyDescent="0.25">
      <c r="A340" s="2">
        <v>3</v>
      </c>
      <c r="B340" s="2">
        <v>1</v>
      </c>
      <c r="C340" s="2" t="s">
        <v>532</v>
      </c>
      <c r="D340" s="2" t="s">
        <v>544</v>
      </c>
      <c r="E340" s="2" t="s">
        <v>553</v>
      </c>
      <c r="F340" s="66">
        <v>0.62</v>
      </c>
      <c r="G340" s="66">
        <v>0.62</v>
      </c>
      <c r="H340" s="66">
        <v>0.15</v>
      </c>
      <c r="I340" s="69">
        <v>0.77</v>
      </c>
      <c r="J340" s="66">
        <v>0</v>
      </c>
      <c r="K340" s="66">
        <v>0.22999999999999998</v>
      </c>
      <c r="L340" s="19">
        <v>1.11E-2</v>
      </c>
      <c r="M340" s="2">
        <v>1.1900000000000001E-2</v>
      </c>
      <c r="N340" s="19">
        <v>957.12</v>
      </c>
      <c r="O340" s="2">
        <v>14.8</v>
      </c>
      <c r="P340" s="2">
        <v>11.84</v>
      </c>
      <c r="Q340" s="2">
        <v>865.89</v>
      </c>
      <c r="R340" s="2">
        <v>10.59</v>
      </c>
      <c r="S340" s="64">
        <f>(N340/(L340+M340))*100</f>
        <v>4161391.3043478262</v>
      </c>
      <c r="T340" s="64">
        <f>(O340/(L340+M340))*100</f>
        <v>64347.826086956527</v>
      </c>
      <c r="U340" s="72">
        <f>(P340/(L340+M340))*100</f>
        <v>51478.260869565216</v>
      </c>
      <c r="V340" s="2">
        <f>(Q340/(L340+M340))*100</f>
        <v>3764739.1304347822</v>
      </c>
      <c r="W340" s="70">
        <f>(R340/(L340+M340))*100</f>
        <v>46043.47826086956</v>
      </c>
    </row>
    <row r="341" spans="1:24" x14ac:dyDescent="0.25">
      <c r="A341" s="2">
        <v>2</v>
      </c>
      <c r="B341" s="2">
        <v>1</v>
      </c>
      <c r="C341" s="2" t="s">
        <v>554</v>
      </c>
      <c r="D341" s="2" t="s">
        <v>555</v>
      </c>
      <c r="E341" s="2" t="s">
        <v>556</v>
      </c>
      <c r="F341" s="66">
        <v>0.71</v>
      </c>
      <c r="G341" s="66">
        <v>0.83</v>
      </c>
      <c r="H341" s="66">
        <v>0.03</v>
      </c>
      <c r="I341" s="69">
        <v>0.86</v>
      </c>
      <c r="J341" s="66">
        <v>0</v>
      </c>
      <c r="K341" s="66">
        <v>0.14000000000000001</v>
      </c>
      <c r="L341" s="19">
        <v>0.495</v>
      </c>
      <c r="M341" s="2">
        <v>0.2077</v>
      </c>
      <c r="N341" s="2">
        <v>2436.0700000000002</v>
      </c>
      <c r="O341" s="2">
        <v>51.78</v>
      </c>
      <c r="P341" s="2">
        <v>51.76</v>
      </c>
      <c r="Q341" s="2">
        <v>2256.2800000000002</v>
      </c>
      <c r="R341" s="2">
        <v>51.79</v>
      </c>
      <c r="S341" s="64">
        <f>(N341/(L341+M341))*100</f>
        <v>346672.83335705142</v>
      </c>
      <c r="T341" s="64">
        <f>(O341/(L341+M341))*100</f>
        <v>7368.7206489255732</v>
      </c>
      <c r="U341" s="72">
        <f>(P341/(L341+M341))*100</f>
        <v>7365.8744841326306</v>
      </c>
      <c r="V341" s="2">
        <f>(Q341/(L341+M341))*100</f>
        <v>321087.23495090369</v>
      </c>
      <c r="W341" s="70">
        <f>(R341/(L341+M341))*100</f>
        <v>7370.143731322044</v>
      </c>
    </row>
    <row r="342" spans="1:24" x14ac:dyDescent="0.25">
      <c r="A342" s="2">
        <v>1</v>
      </c>
      <c r="B342" s="2">
        <v>2</v>
      </c>
      <c r="C342" s="2" t="s">
        <v>557</v>
      </c>
      <c r="D342" s="2" t="s">
        <v>288</v>
      </c>
      <c r="E342" s="2" t="s">
        <v>558</v>
      </c>
      <c r="F342" s="66">
        <v>1.0416666666666666E-2</v>
      </c>
      <c r="G342" s="66">
        <v>1.0416666666666666E-2</v>
      </c>
      <c r="H342" s="66">
        <v>7.2916666666666671E-2</v>
      </c>
      <c r="I342" s="69">
        <v>8.3333333333333329E-2</v>
      </c>
      <c r="J342" s="66">
        <v>0.28125</v>
      </c>
      <c r="K342" s="66">
        <v>0.63541666666666663</v>
      </c>
      <c r="L342" s="19">
        <v>2.3599999999999999E-2</v>
      </c>
      <c r="M342" s="2">
        <v>0.1726</v>
      </c>
      <c r="N342" s="2">
        <v>93.119399999999999</v>
      </c>
      <c r="O342" s="2">
        <v>8.11</v>
      </c>
      <c r="P342" s="2">
        <v>8.15</v>
      </c>
      <c r="Q342" s="2">
        <v>68.569999999999993</v>
      </c>
      <c r="R342" s="2">
        <v>8.16</v>
      </c>
      <c r="S342" s="64">
        <f>(N342/(L342+M342))*100</f>
        <v>47461.467889908257</v>
      </c>
      <c r="T342" s="64">
        <f>(O342/(L342+M342))*100</f>
        <v>4133.5372069317018</v>
      </c>
      <c r="U342" s="72">
        <f>(P342/(L342+M342))*100</f>
        <v>4153.9245667686027</v>
      </c>
      <c r="V342" s="2">
        <f>(Q342/(L342+M342))*100</f>
        <v>34949.031600407739</v>
      </c>
      <c r="W342" s="70">
        <f>(R342/(L342+M342))*100</f>
        <v>4159.0214067278284</v>
      </c>
    </row>
    <row r="343" spans="1:24" x14ac:dyDescent="0.25">
      <c r="A343" s="2">
        <v>1</v>
      </c>
      <c r="B343" s="2">
        <v>2</v>
      </c>
      <c r="C343" s="2" t="s">
        <v>557</v>
      </c>
      <c r="D343" s="2" t="s">
        <v>288</v>
      </c>
      <c r="E343" s="2" t="s">
        <v>559</v>
      </c>
      <c r="F343" s="66">
        <v>0</v>
      </c>
      <c r="G343" s="66">
        <v>1.098901098901099E-2</v>
      </c>
      <c r="H343" s="66">
        <v>0.23076923076923078</v>
      </c>
      <c r="I343" s="69">
        <v>0.24175824175824176</v>
      </c>
      <c r="J343" s="66">
        <v>0.31868131868131866</v>
      </c>
      <c r="K343" s="66">
        <v>0.43956043956043955</v>
      </c>
      <c r="L343" s="19">
        <v>1.6799999999999999E-2</v>
      </c>
      <c r="M343" s="2">
        <v>0.10009999999999999</v>
      </c>
      <c r="N343" s="2">
        <v>19.988199999999999</v>
      </c>
      <c r="O343" s="2">
        <v>4.25</v>
      </c>
      <c r="P343" s="2">
        <v>4.29</v>
      </c>
      <c r="Q343" s="2">
        <v>7.59</v>
      </c>
      <c r="R343" s="2">
        <v>4.2</v>
      </c>
      <c r="S343" s="64">
        <f>(N343/(L343+M343))*100</f>
        <v>17098.545765611634</v>
      </c>
      <c r="T343" s="64">
        <f>(O343/(L343+M343))*100</f>
        <v>3635.5859709153124</v>
      </c>
      <c r="U343" s="72">
        <f>(P343/(L343+M343))*100</f>
        <v>3669.8032506415743</v>
      </c>
      <c r="V343" s="2">
        <f>(Q343/(L343+M343))*100</f>
        <v>6492.7288280581688</v>
      </c>
      <c r="W343" s="70">
        <f>(R343/(L343+M343))*100</f>
        <v>3592.8143712574856</v>
      </c>
    </row>
    <row r="344" spans="1:24" x14ac:dyDescent="0.25">
      <c r="A344" s="2" t="s">
        <v>724</v>
      </c>
      <c r="B344" s="2" t="s">
        <v>724</v>
      </c>
      <c r="C344" s="2" t="s">
        <v>557</v>
      </c>
      <c r="D344" s="2" t="s">
        <v>560</v>
      </c>
      <c r="E344" s="2" t="s">
        <v>561</v>
      </c>
      <c r="F344" s="66" t="s">
        <v>729</v>
      </c>
      <c r="G344" s="66" t="s">
        <v>729</v>
      </c>
      <c r="H344" s="66" t="s">
        <v>729</v>
      </c>
      <c r="I344" s="69" t="s">
        <v>729</v>
      </c>
      <c r="J344" s="66" t="s">
        <v>729</v>
      </c>
      <c r="K344" s="66" t="s">
        <v>729</v>
      </c>
      <c r="L344" s="19"/>
      <c r="S344" s="64" t="e">
        <f>(N344/(L344+M344))*100</f>
        <v>#DIV/0!</v>
      </c>
      <c r="T344" s="64" t="e">
        <f>(O344/(L344+M344))*100</f>
        <v>#DIV/0!</v>
      </c>
      <c r="U344" s="72" t="e">
        <f>(P344/(L344+M344))*100</f>
        <v>#DIV/0!</v>
      </c>
      <c r="V344" s="2" t="e">
        <f>(Q344/(L344+M344))*100</f>
        <v>#DIV/0!</v>
      </c>
      <c r="W344" s="70" t="e">
        <f>(R344/(L344+M344))*100</f>
        <v>#DIV/0!</v>
      </c>
      <c r="X344" s="2" t="s">
        <v>694</v>
      </c>
    </row>
    <row r="345" spans="1:24" x14ac:dyDescent="0.25">
      <c r="A345" s="2" t="s">
        <v>724</v>
      </c>
      <c r="B345" s="2" t="s">
        <v>724</v>
      </c>
      <c r="C345" s="2" t="s">
        <v>557</v>
      </c>
      <c r="D345" s="2" t="s">
        <v>562</v>
      </c>
      <c r="E345" s="2" t="s">
        <v>563</v>
      </c>
      <c r="F345" s="66" t="s">
        <v>729</v>
      </c>
      <c r="G345" s="66" t="s">
        <v>729</v>
      </c>
      <c r="H345" s="66" t="s">
        <v>729</v>
      </c>
      <c r="I345" s="69" t="s">
        <v>729</v>
      </c>
      <c r="J345" s="66" t="s">
        <v>729</v>
      </c>
      <c r="K345" s="66" t="s">
        <v>729</v>
      </c>
      <c r="L345" s="19"/>
      <c r="S345" s="64" t="e">
        <f>(N345/(L345+M345))*100</f>
        <v>#DIV/0!</v>
      </c>
      <c r="T345" s="64" t="e">
        <f>(O345/(L345+M345))*100</f>
        <v>#DIV/0!</v>
      </c>
      <c r="U345" s="72" t="e">
        <f>(P345/(L345+M345))*100</f>
        <v>#DIV/0!</v>
      </c>
      <c r="V345" s="2" t="e">
        <f>(Q345/(L345+M345))*100</f>
        <v>#DIV/0!</v>
      </c>
      <c r="W345" s="70" t="e">
        <f>(R345/(L345+M345))*100</f>
        <v>#DIV/0!</v>
      </c>
      <c r="X345" s="2" t="s">
        <v>694</v>
      </c>
    </row>
    <row r="346" spans="1:24" x14ac:dyDescent="0.25">
      <c r="A346" s="2" t="s">
        <v>724</v>
      </c>
      <c r="B346" s="2" t="s">
        <v>724</v>
      </c>
      <c r="C346" s="2" t="s">
        <v>557</v>
      </c>
      <c r="D346" s="2" t="s">
        <v>562</v>
      </c>
      <c r="E346" s="2" t="s">
        <v>564</v>
      </c>
      <c r="F346" s="66" t="s">
        <v>729</v>
      </c>
      <c r="G346" s="66" t="s">
        <v>729</v>
      </c>
      <c r="H346" s="66" t="s">
        <v>729</v>
      </c>
      <c r="I346" s="69" t="s">
        <v>729</v>
      </c>
      <c r="J346" s="66" t="s">
        <v>729</v>
      </c>
      <c r="K346" s="66" t="s">
        <v>729</v>
      </c>
      <c r="L346" s="19"/>
      <c r="S346" s="64" t="e">
        <f>(N346/(L346+M346))*100</f>
        <v>#DIV/0!</v>
      </c>
      <c r="T346" s="64" t="e">
        <f>(O346/(L346+M346))*100</f>
        <v>#DIV/0!</v>
      </c>
      <c r="U346" s="72" t="e">
        <f>(P346/(L346+M346))*100</f>
        <v>#DIV/0!</v>
      </c>
      <c r="V346" s="2" t="e">
        <f>(Q346/(L346+M346))*100</f>
        <v>#DIV/0!</v>
      </c>
      <c r="W346" s="70" t="e">
        <f>(R346/(L346+M346))*100</f>
        <v>#DIV/0!</v>
      </c>
      <c r="X346" s="2" t="s">
        <v>694</v>
      </c>
    </row>
    <row r="347" spans="1:24" x14ac:dyDescent="0.25">
      <c r="A347" s="2" t="s">
        <v>724</v>
      </c>
      <c r="B347" s="2" t="s">
        <v>724</v>
      </c>
      <c r="C347" s="2" t="s">
        <v>557</v>
      </c>
      <c r="D347" s="2" t="s">
        <v>562</v>
      </c>
      <c r="E347" s="2" t="s">
        <v>565</v>
      </c>
      <c r="F347" s="66" t="s">
        <v>729</v>
      </c>
      <c r="G347" s="66" t="s">
        <v>729</v>
      </c>
      <c r="H347" s="66" t="s">
        <v>729</v>
      </c>
      <c r="I347" s="69" t="s">
        <v>729</v>
      </c>
      <c r="J347" s="66" t="s">
        <v>729</v>
      </c>
      <c r="K347" s="66" t="s">
        <v>729</v>
      </c>
      <c r="L347" s="19"/>
      <c r="S347" s="64" t="e">
        <f>(N347/(L347+M347))*100</f>
        <v>#DIV/0!</v>
      </c>
      <c r="T347" s="64" t="e">
        <f>(O347/(L347+M347))*100</f>
        <v>#DIV/0!</v>
      </c>
      <c r="U347" s="72" t="e">
        <f>(P347/(L347+M347))*100</f>
        <v>#DIV/0!</v>
      </c>
      <c r="V347" s="2" t="e">
        <f>(Q347/(L347+M347))*100</f>
        <v>#DIV/0!</v>
      </c>
      <c r="W347" s="70" t="e">
        <f>(R347/(L347+M347))*100</f>
        <v>#DIV/0!</v>
      </c>
      <c r="X347" s="2" t="s">
        <v>694</v>
      </c>
    </row>
    <row r="348" spans="1:24" x14ac:dyDescent="0.25">
      <c r="A348" s="2" t="s">
        <v>724</v>
      </c>
      <c r="B348" s="2" t="s">
        <v>724</v>
      </c>
      <c r="C348" s="2" t="s">
        <v>557</v>
      </c>
      <c r="D348" s="2" t="s">
        <v>566</v>
      </c>
      <c r="E348" s="2" t="s">
        <v>567</v>
      </c>
      <c r="F348" s="66" t="s">
        <v>729</v>
      </c>
      <c r="G348" s="66" t="s">
        <v>729</v>
      </c>
      <c r="H348" s="66" t="s">
        <v>729</v>
      </c>
      <c r="I348" s="69" t="s">
        <v>729</v>
      </c>
      <c r="J348" s="66" t="s">
        <v>729</v>
      </c>
      <c r="K348" s="66" t="s">
        <v>729</v>
      </c>
      <c r="L348" s="19"/>
      <c r="S348" s="64" t="e">
        <f>(N348/(L348+M348))*100</f>
        <v>#DIV/0!</v>
      </c>
      <c r="T348" s="64" t="e">
        <f>(O348/(L348+M348))*100</f>
        <v>#DIV/0!</v>
      </c>
      <c r="U348" s="72" t="e">
        <f>(P348/(L348+M348))*100</f>
        <v>#DIV/0!</v>
      </c>
      <c r="V348" s="2" t="e">
        <f>(Q348/(L348+M348))*100</f>
        <v>#DIV/0!</v>
      </c>
      <c r="W348" s="70" t="e">
        <f>(R348/(L348+M348))*100</f>
        <v>#DIV/0!</v>
      </c>
      <c r="X348" s="2" t="s">
        <v>694</v>
      </c>
    </row>
    <row r="349" spans="1:24" x14ac:dyDescent="0.25">
      <c r="A349" s="2">
        <v>1</v>
      </c>
      <c r="B349" s="2">
        <v>2</v>
      </c>
      <c r="C349" s="2" t="s">
        <v>568</v>
      </c>
      <c r="D349" s="2" t="s">
        <v>569</v>
      </c>
      <c r="E349" s="2" t="s">
        <v>570</v>
      </c>
      <c r="F349" s="66">
        <v>0</v>
      </c>
      <c r="G349" s="66">
        <v>0</v>
      </c>
      <c r="H349" s="66">
        <v>0.28846153846153844</v>
      </c>
      <c r="I349" s="69">
        <v>0.28846153846153844</v>
      </c>
      <c r="J349" s="66">
        <v>0</v>
      </c>
      <c r="K349" s="66">
        <v>0.71153846153846156</v>
      </c>
      <c r="L349" s="19">
        <v>3.3399999999999999E-2</v>
      </c>
      <c r="M349" s="2">
        <v>0.1764</v>
      </c>
      <c r="N349" s="2">
        <v>159.91</v>
      </c>
      <c r="O349" s="2">
        <v>10.039999999999999</v>
      </c>
      <c r="P349" s="2">
        <v>9.99</v>
      </c>
      <c r="Q349" s="2">
        <v>129.16999999999999</v>
      </c>
      <c r="R349" s="2">
        <v>10.050000000000001</v>
      </c>
      <c r="S349" s="64">
        <f>(N349/(L349+M349))*100</f>
        <v>76220.209723546242</v>
      </c>
      <c r="T349" s="64">
        <f>(O349/(L349+M349))*100</f>
        <v>4785.5100095328889</v>
      </c>
      <c r="U349" s="72">
        <f>(P349/(L349+M349))*100</f>
        <v>4761.6777883698769</v>
      </c>
      <c r="V349" s="2">
        <f>(Q349/(L349+M349))*100</f>
        <v>61568.160152526216</v>
      </c>
      <c r="W349" s="70">
        <f>(R349/(L349+M349))*100</f>
        <v>4790.2764537654921</v>
      </c>
    </row>
    <row r="350" spans="1:24" x14ac:dyDescent="0.25">
      <c r="A350" s="2">
        <v>1</v>
      </c>
      <c r="B350" s="2">
        <v>1</v>
      </c>
      <c r="C350" s="2" t="s">
        <v>568</v>
      </c>
      <c r="D350" s="2" t="s">
        <v>569</v>
      </c>
      <c r="E350" s="2" t="s">
        <v>571</v>
      </c>
      <c r="F350" s="66">
        <v>0</v>
      </c>
      <c r="G350" s="66">
        <v>0</v>
      </c>
      <c r="H350" s="66">
        <v>0.34615384615384615</v>
      </c>
      <c r="I350" s="69">
        <v>0.34615384615384615</v>
      </c>
      <c r="J350" s="66">
        <v>0</v>
      </c>
      <c r="K350" s="66">
        <v>0.65384615384615385</v>
      </c>
      <c r="L350" s="19">
        <v>2.4799999999999999E-2</v>
      </c>
      <c r="M350" s="2">
        <v>0.11219999999999999</v>
      </c>
      <c r="N350" s="2">
        <v>71.95</v>
      </c>
      <c r="O350" s="2">
        <v>5.43</v>
      </c>
      <c r="P350" s="2">
        <v>5.54</v>
      </c>
      <c r="Q350" s="2">
        <v>56.16</v>
      </c>
      <c r="R350" s="2">
        <v>5.48</v>
      </c>
      <c r="S350" s="64">
        <f>(N350/(L350+M350))*100</f>
        <v>52518.248175182489</v>
      </c>
      <c r="T350" s="64">
        <f>(O350/(L350+M350))*100</f>
        <v>3963.5036496350367</v>
      </c>
      <c r="U350" s="72">
        <f>(P350/(L350+M350))*100</f>
        <v>4043.7956204379566</v>
      </c>
      <c r="V350" s="2">
        <f>(Q350/(L350+M350))*100</f>
        <v>40992.700729927012</v>
      </c>
      <c r="W350" s="70">
        <f>(R350/(L350+M350))*100</f>
        <v>4000.0000000000009</v>
      </c>
    </row>
    <row r="351" spans="1:24" x14ac:dyDescent="0.25">
      <c r="A351" s="2">
        <v>1</v>
      </c>
      <c r="B351" s="2">
        <v>1</v>
      </c>
      <c r="C351" s="2" t="s">
        <v>568</v>
      </c>
      <c r="D351" s="2" t="s">
        <v>569</v>
      </c>
      <c r="E351" s="2" t="s">
        <v>572</v>
      </c>
      <c r="F351" s="66">
        <v>0</v>
      </c>
      <c r="G351" s="66">
        <v>0</v>
      </c>
      <c r="H351" s="66">
        <v>0.30769230769230771</v>
      </c>
      <c r="I351" s="69">
        <v>0.30769230769230771</v>
      </c>
      <c r="J351" s="66">
        <v>0</v>
      </c>
      <c r="K351" s="66">
        <v>0.69230769230769229</v>
      </c>
      <c r="L351" s="19">
        <v>2.81E-2</v>
      </c>
      <c r="M351" s="2">
        <v>0.1318</v>
      </c>
      <c r="N351" s="2">
        <v>161.15</v>
      </c>
      <c r="O351" s="2">
        <v>10.58</v>
      </c>
      <c r="P351" s="2">
        <v>10.64</v>
      </c>
      <c r="Q351" s="2">
        <v>128.86000000000001</v>
      </c>
      <c r="R351" s="2">
        <v>10.66</v>
      </c>
      <c r="S351" s="64">
        <f>(N351/(L351+M351))*100</f>
        <v>100781.73858661664</v>
      </c>
      <c r="T351" s="64">
        <f>(O351/(L351+M351))*100</f>
        <v>6616.6353971232029</v>
      </c>
      <c r="U351" s="72">
        <f>(P351/(L351+M351))*100</f>
        <v>6654.1588492808014</v>
      </c>
      <c r="V351" s="2">
        <f>(Q351/(L351+M351))*100</f>
        <v>80587.867417135727</v>
      </c>
      <c r="W351" s="70">
        <f>(R351/(L351+M351))*100</f>
        <v>6666.666666666667</v>
      </c>
    </row>
    <row r="352" spans="1:24" x14ac:dyDescent="0.25">
      <c r="A352" s="2" t="s">
        <v>724</v>
      </c>
      <c r="B352" s="2">
        <v>2</v>
      </c>
      <c r="C352" s="2" t="s">
        <v>573</v>
      </c>
      <c r="D352" s="2" t="s">
        <v>574</v>
      </c>
      <c r="E352" s="2" t="s">
        <v>575</v>
      </c>
      <c r="F352" s="66">
        <v>0</v>
      </c>
      <c r="G352" s="66">
        <v>0</v>
      </c>
      <c r="H352" s="66">
        <v>0.46</v>
      </c>
      <c r="I352" s="69">
        <v>0.46</v>
      </c>
      <c r="J352" s="66">
        <v>0.24</v>
      </c>
      <c r="K352" s="66">
        <v>0.30000000000000004</v>
      </c>
      <c r="L352" s="19">
        <v>1.3949</v>
      </c>
      <c r="M352" s="2">
        <v>1.1999999999999999E-3</v>
      </c>
      <c r="N352" s="2">
        <v>67.936599999999999</v>
      </c>
      <c r="O352" s="2">
        <v>34.18</v>
      </c>
      <c r="P352" s="2">
        <v>33.869999999999997</v>
      </c>
      <c r="Q352" s="2">
        <v>0</v>
      </c>
      <c r="R352" s="2">
        <v>0</v>
      </c>
      <c r="S352" s="64">
        <f>(N352/(L352+M352))*100</f>
        <v>4866.1700451257066</v>
      </c>
      <c r="T352" s="64">
        <f>(O352/(L352+M352))*100</f>
        <v>2448.2486927870491</v>
      </c>
      <c r="U352" s="72">
        <f>(P352/(L352+M352))*100</f>
        <v>2426.043979657617</v>
      </c>
      <c r="V352" s="2">
        <f>(Q352/(L352+M352))*100</f>
        <v>0</v>
      </c>
      <c r="W352" s="70">
        <f>(R352/(L352+M352))*100</f>
        <v>0</v>
      </c>
    </row>
    <row r="353" spans="1:23" x14ac:dyDescent="0.25">
      <c r="A353" s="2">
        <v>3</v>
      </c>
      <c r="B353" s="2">
        <v>1</v>
      </c>
      <c r="C353" s="2" t="s">
        <v>576</v>
      </c>
      <c r="D353" s="2" t="s">
        <v>577</v>
      </c>
      <c r="E353" s="2" t="s">
        <v>578</v>
      </c>
      <c r="F353" s="66">
        <v>0.02</v>
      </c>
      <c r="G353" s="66">
        <v>0.02</v>
      </c>
      <c r="H353" s="66">
        <v>0.89</v>
      </c>
      <c r="I353" s="69">
        <v>0.91</v>
      </c>
      <c r="J353" s="66">
        <v>0</v>
      </c>
      <c r="K353" s="66">
        <v>8.9999999999999969E-2</v>
      </c>
      <c r="L353" s="19">
        <v>2.5999999999999999E-3</v>
      </c>
      <c r="M353" s="2">
        <v>1.7100000000000001E-2</v>
      </c>
      <c r="N353" s="2">
        <v>20.961300000000001</v>
      </c>
      <c r="O353" s="2">
        <v>2.12</v>
      </c>
      <c r="P353" s="2">
        <v>2.17</v>
      </c>
      <c r="Q353" s="2">
        <v>14.84</v>
      </c>
      <c r="R353" s="2">
        <v>2.13</v>
      </c>
      <c r="S353" s="64">
        <f>(N353/(L353+M353))*100</f>
        <v>106402.53807106598</v>
      </c>
      <c r="T353" s="64">
        <f>(O353/(L353+M353))*100</f>
        <v>10761.421319796953</v>
      </c>
      <c r="U353" s="72">
        <f>(P353/(L353+M353))*100</f>
        <v>11015.228426395937</v>
      </c>
      <c r="V353" s="2">
        <f>(Q353/(L353+M353))*100</f>
        <v>75329.949238578673</v>
      </c>
      <c r="W353" s="70">
        <f>(R353/(L353+M353))*100</f>
        <v>10812.182741116751</v>
      </c>
    </row>
    <row r="354" spans="1:23" x14ac:dyDescent="0.25">
      <c r="A354" s="2">
        <v>3</v>
      </c>
      <c r="B354" s="2">
        <v>1</v>
      </c>
      <c r="C354" s="2" t="s">
        <v>576</v>
      </c>
      <c r="D354" s="2" t="s">
        <v>577</v>
      </c>
      <c r="E354" s="2" t="s">
        <v>579</v>
      </c>
      <c r="F354" s="66">
        <v>0</v>
      </c>
      <c r="G354" s="66">
        <v>0</v>
      </c>
      <c r="H354" s="66">
        <v>0.96</v>
      </c>
      <c r="I354" s="69">
        <v>0.96</v>
      </c>
      <c r="J354" s="66">
        <v>0</v>
      </c>
      <c r="K354" s="66">
        <v>4.0000000000000036E-2</v>
      </c>
      <c r="L354" s="19">
        <v>2.7000000000000001E-3</v>
      </c>
      <c r="M354" s="2">
        <v>6.1100000000000002E-2</v>
      </c>
      <c r="N354" s="2">
        <v>15.8504</v>
      </c>
      <c r="O354" s="2">
        <v>2.19</v>
      </c>
      <c r="P354" s="2">
        <v>2.16</v>
      </c>
      <c r="Q354" s="2">
        <v>9.9600000000000009</v>
      </c>
      <c r="R354" s="2">
        <v>2.13</v>
      </c>
      <c r="S354" s="64">
        <f>(N354/(L354+M354))*100</f>
        <v>24843.887147335427</v>
      </c>
      <c r="T354" s="64">
        <f>(O354/(L354+M354))*100</f>
        <v>3432.6018808777435</v>
      </c>
      <c r="U354" s="72">
        <f>(P354/(L354+M354))*100</f>
        <v>3385.5799373040759</v>
      </c>
      <c r="V354" s="2">
        <f>(Q354/(L354+M354))*100</f>
        <v>15611.285266457682</v>
      </c>
      <c r="W354" s="70">
        <f>(R354/(L354+M354))*100</f>
        <v>3338.5579937304074</v>
      </c>
    </row>
  </sheetData>
  <autoFilter ref="A1:X1" xr:uid="{5DBBD580-B105-4911-9996-5644ABDC8FC1}"/>
  <sortState xmlns:xlrd2="http://schemas.microsoft.com/office/spreadsheetml/2017/richdata2" ref="A2:X354">
    <sortCondition ref="C2:C354"/>
    <sortCondition ref="D2:D354"/>
    <sortCondition ref="E2:E354"/>
  </sortState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354"/>
  <sheetViews>
    <sheetView workbookViewId="0">
      <selection activeCell="B227" sqref="B227"/>
    </sheetView>
  </sheetViews>
  <sheetFormatPr defaultColWidth="9.140625" defaultRowHeight="15" x14ac:dyDescent="0.25"/>
  <cols>
    <col min="1" max="1" width="14.140625" style="2" customWidth="1"/>
    <col min="2" max="2" width="19.42578125" style="2" customWidth="1"/>
    <col min="3" max="3" width="13.140625" style="2" customWidth="1"/>
    <col min="4" max="4" width="11.140625" style="2" customWidth="1"/>
    <col min="5" max="6" width="10.5703125" style="2" customWidth="1"/>
    <col min="7" max="7" width="11.140625" style="2" customWidth="1"/>
    <col min="8" max="8" width="9.85546875" style="2" customWidth="1"/>
    <col min="9" max="9" width="9.42578125" style="2" bestFit="1" customWidth="1"/>
    <col min="10" max="10" width="9.140625" style="2"/>
    <col min="11" max="11" width="10.140625" style="2" customWidth="1"/>
    <col min="12" max="16384" width="9.140625" style="2"/>
  </cols>
  <sheetData>
    <row r="1" spans="1:11" s="16" customFormat="1" ht="60" x14ac:dyDescent="0.25">
      <c r="A1" s="15" t="s">
        <v>0</v>
      </c>
      <c r="B1" s="15" t="s">
        <v>1</v>
      </c>
      <c r="C1" s="15" t="s">
        <v>2</v>
      </c>
      <c r="D1" s="15" t="s">
        <v>601</v>
      </c>
      <c r="E1" s="15" t="s">
        <v>594</v>
      </c>
      <c r="F1" s="15" t="s">
        <v>593</v>
      </c>
      <c r="G1" s="15" t="s">
        <v>595</v>
      </c>
      <c r="H1" s="15" t="s">
        <v>596</v>
      </c>
      <c r="I1" s="15" t="s">
        <v>598</v>
      </c>
      <c r="J1" s="15" t="s">
        <v>597</v>
      </c>
      <c r="K1" s="15" t="s">
        <v>655</v>
      </c>
    </row>
    <row r="2" spans="1:11" hidden="1" x14ac:dyDescent="0.25">
      <c r="A2" s="2" t="s">
        <v>3</v>
      </c>
      <c r="B2" s="2" t="s">
        <v>4</v>
      </c>
      <c r="C2" s="2" t="s">
        <v>5</v>
      </c>
      <c r="K2" s="4"/>
    </row>
    <row r="3" spans="1:11" hidden="1" x14ac:dyDescent="0.25">
      <c r="A3" s="2" t="s">
        <v>3</v>
      </c>
      <c r="B3" s="2" t="s">
        <v>4</v>
      </c>
      <c r="C3" s="2" t="s">
        <v>6</v>
      </c>
      <c r="K3" s="4"/>
    </row>
    <row r="4" spans="1:11" hidden="1" x14ac:dyDescent="0.25">
      <c r="A4" s="2" t="s">
        <v>7</v>
      </c>
      <c r="B4" s="2" t="s">
        <v>8</v>
      </c>
      <c r="C4" s="2" t="s">
        <v>9</v>
      </c>
      <c r="D4" s="2" t="s">
        <v>599</v>
      </c>
      <c r="E4" s="2" t="s">
        <v>604</v>
      </c>
      <c r="F4" s="2">
        <v>5</v>
      </c>
      <c r="G4" s="2">
        <v>6</v>
      </c>
      <c r="I4" s="2" t="s">
        <v>623</v>
      </c>
      <c r="J4" s="2" t="s">
        <v>606</v>
      </c>
      <c r="K4" s="5" t="s">
        <v>612</v>
      </c>
    </row>
    <row r="5" spans="1:11" hidden="1" x14ac:dyDescent="0.25">
      <c r="A5" s="2" t="s">
        <v>7</v>
      </c>
      <c r="B5" s="2" t="s">
        <v>8</v>
      </c>
      <c r="C5" s="2" t="s">
        <v>10</v>
      </c>
      <c r="D5" s="2" t="s">
        <v>599</v>
      </c>
      <c r="E5" s="2" t="s">
        <v>604</v>
      </c>
      <c r="F5" s="2">
        <v>5</v>
      </c>
      <c r="G5" s="2">
        <v>6</v>
      </c>
      <c r="I5" s="2" t="s">
        <v>623</v>
      </c>
      <c r="J5" s="2" t="s">
        <v>606</v>
      </c>
      <c r="K5" s="5" t="s">
        <v>612</v>
      </c>
    </row>
    <row r="6" spans="1:11" hidden="1" x14ac:dyDescent="0.25">
      <c r="A6" s="2" t="s">
        <v>11</v>
      </c>
      <c r="B6" s="2" t="s">
        <v>12</v>
      </c>
      <c r="C6" s="2" t="s">
        <v>13</v>
      </c>
      <c r="D6" s="2" t="s">
        <v>599</v>
      </c>
      <c r="E6" s="2" t="s">
        <v>604</v>
      </c>
      <c r="F6" s="2">
        <v>5</v>
      </c>
      <c r="G6" s="2">
        <v>21</v>
      </c>
      <c r="H6" s="2" t="s">
        <v>615</v>
      </c>
      <c r="I6" s="2" t="s">
        <v>623</v>
      </c>
      <c r="J6" s="2" t="s">
        <v>607</v>
      </c>
      <c r="K6" s="5">
        <v>20</v>
      </c>
    </row>
    <row r="7" spans="1:11" hidden="1" x14ac:dyDescent="0.25">
      <c r="A7" s="2" t="s">
        <v>14</v>
      </c>
      <c r="B7" s="2" t="s">
        <v>15</v>
      </c>
      <c r="C7" s="2" t="s">
        <v>16</v>
      </c>
      <c r="D7" s="2" t="s">
        <v>599</v>
      </c>
      <c r="E7" s="2" t="s">
        <v>604</v>
      </c>
      <c r="F7" s="2">
        <v>5</v>
      </c>
      <c r="G7" s="2">
        <v>8</v>
      </c>
      <c r="I7" s="2" t="s">
        <v>623</v>
      </c>
      <c r="J7" s="2" t="s">
        <v>607</v>
      </c>
      <c r="K7" s="5" t="s">
        <v>611</v>
      </c>
    </row>
    <row r="8" spans="1:11" hidden="1" x14ac:dyDescent="0.25">
      <c r="A8" s="2" t="s">
        <v>17</v>
      </c>
      <c r="B8" s="2" t="s">
        <v>18</v>
      </c>
      <c r="C8" s="2" t="s">
        <v>19</v>
      </c>
      <c r="D8" s="2" t="s">
        <v>599</v>
      </c>
      <c r="E8" s="2" t="s">
        <v>604</v>
      </c>
      <c r="F8" s="2">
        <v>5</v>
      </c>
      <c r="G8" s="2">
        <v>21</v>
      </c>
      <c r="I8" s="2" t="s">
        <v>628</v>
      </c>
      <c r="J8" s="2" t="s">
        <v>606</v>
      </c>
      <c r="K8" s="5" t="s">
        <v>611</v>
      </c>
    </row>
    <row r="9" spans="1:11" hidden="1" x14ac:dyDescent="0.25">
      <c r="A9" s="2" t="s">
        <v>17</v>
      </c>
      <c r="B9" s="2" t="s">
        <v>18</v>
      </c>
      <c r="C9" s="2" t="s">
        <v>20</v>
      </c>
      <c r="D9" s="2" t="s">
        <v>599</v>
      </c>
      <c r="E9" s="2" t="s">
        <v>604</v>
      </c>
      <c r="F9" s="2">
        <v>5</v>
      </c>
      <c r="G9" s="2">
        <v>21</v>
      </c>
      <c r="I9" s="2" t="s">
        <v>628</v>
      </c>
      <c r="J9" s="2" t="s">
        <v>606</v>
      </c>
      <c r="K9" s="5" t="s">
        <v>611</v>
      </c>
    </row>
    <row r="10" spans="1:11" hidden="1" x14ac:dyDescent="0.25">
      <c r="A10" s="2" t="s">
        <v>17</v>
      </c>
      <c r="B10" s="2" t="s">
        <v>18</v>
      </c>
      <c r="C10" s="2" t="s">
        <v>21</v>
      </c>
      <c r="D10" s="2" t="s">
        <v>599</v>
      </c>
      <c r="E10" s="2" t="s">
        <v>604</v>
      </c>
      <c r="F10" s="2">
        <v>5</v>
      </c>
      <c r="G10" s="2">
        <v>21</v>
      </c>
      <c r="I10" s="2" t="s">
        <v>628</v>
      </c>
      <c r="J10" s="2" t="s">
        <v>606</v>
      </c>
      <c r="K10" s="5" t="s">
        <v>611</v>
      </c>
    </row>
    <row r="11" spans="1:11" hidden="1" x14ac:dyDescent="0.25">
      <c r="A11" s="2" t="s">
        <v>22</v>
      </c>
      <c r="B11" s="2" t="s">
        <v>23</v>
      </c>
      <c r="C11" s="2" t="s">
        <v>24</v>
      </c>
      <c r="D11" s="2" t="s">
        <v>599</v>
      </c>
      <c r="E11" s="2" t="s">
        <v>604</v>
      </c>
      <c r="F11" s="2">
        <v>5</v>
      </c>
      <c r="G11" s="2">
        <v>6</v>
      </c>
      <c r="I11" s="2" t="s">
        <v>628</v>
      </c>
      <c r="J11" s="2" t="s">
        <v>606</v>
      </c>
      <c r="K11" s="5">
        <v>15</v>
      </c>
    </row>
    <row r="12" spans="1:11" hidden="1" x14ac:dyDescent="0.25">
      <c r="A12" s="2" t="s">
        <v>22</v>
      </c>
      <c r="B12" s="2" t="s">
        <v>23</v>
      </c>
      <c r="C12" s="2" t="s">
        <v>25</v>
      </c>
      <c r="D12" s="2" t="s">
        <v>599</v>
      </c>
      <c r="E12" s="2" t="s">
        <v>604</v>
      </c>
      <c r="F12" s="2">
        <v>5</v>
      </c>
      <c r="G12" s="2">
        <v>6</v>
      </c>
      <c r="I12" s="2" t="s">
        <v>628</v>
      </c>
      <c r="J12" s="2" t="s">
        <v>606</v>
      </c>
      <c r="K12" s="5">
        <v>15</v>
      </c>
    </row>
    <row r="13" spans="1:11" hidden="1" x14ac:dyDescent="0.25">
      <c r="A13" s="2" t="s">
        <v>26</v>
      </c>
      <c r="B13" s="2" t="s">
        <v>27</v>
      </c>
      <c r="C13" s="2" t="s">
        <v>28</v>
      </c>
      <c r="D13" s="2" t="s">
        <v>599</v>
      </c>
      <c r="E13" s="2" t="s">
        <v>604</v>
      </c>
      <c r="F13" s="2">
        <v>5</v>
      </c>
      <c r="G13" s="2">
        <v>5</v>
      </c>
      <c r="I13" s="2" t="s">
        <v>623</v>
      </c>
      <c r="J13" s="2" t="s">
        <v>606</v>
      </c>
      <c r="K13" s="5" t="s">
        <v>612</v>
      </c>
    </row>
    <row r="14" spans="1:11" hidden="1" x14ac:dyDescent="0.25">
      <c r="A14" s="2" t="s">
        <v>29</v>
      </c>
      <c r="B14" s="2" t="s">
        <v>30</v>
      </c>
      <c r="C14" s="2" t="s">
        <v>31</v>
      </c>
      <c r="D14" s="2" t="s">
        <v>599</v>
      </c>
      <c r="E14" s="2" t="s">
        <v>604</v>
      </c>
      <c r="F14" s="2">
        <v>5</v>
      </c>
      <c r="G14" s="2">
        <v>5</v>
      </c>
      <c r="I14" s="2" t="s">
        <v>623</v>
      </c>
      <c r="J14" s="2" t="s">
        <v>606</v>
      </c>
      <c r="K14" s="5">
        <v>25</v>
      </c>
    </row>
    <row r="15" spans="1:11" hidden="1" x14ac:dyDescent="0.25">
      <c r="A15" s="2" t="s">
        <v>32</v>
      </c>
      <c r="B15" s="2" t="s">
        <v>33</v>
      </c>
      <c r="C15" s="2" t="s">
        <v>34</v>
      </c>
      <c r="D15" s="2" t="s">
        <v>599</v>
      </c>
      <c r="E15" s="2" t="s">
        <v>604</v>
      </c>
      <c r="F15" s="2">
        <v>5</v>
      </c>
      <c r="G15" s="2">
        <v>70</v>
      </c>
      <c r="H15" s="2" t="s">
        <v>616</v>
      </c>
      <c r="I15" s="2" t="s">
        <v>623</v>
      </c>
      <c r="J15" s="2" t="s">
        <v>606</v>
      </c>
      <c r="K15" s="5" t="s">
        <v>611</v>
      </c>
    </row>
    <row r="16" spans="1:11" hidden="1" x14ac:dyDescent="0.25">
      <c r="A16" s="2" t="s">
        <v>32</v>
      </c>
      <c r="B16" s="2" t="s">
        <v>33</v>
      </c>
      <c r="C16" s="2" t="s">
        <v>35</v>
      </c>
      <c r="D16" s="2" t="s">
        <v>599</v>
      </c>
      <c r="E16" s="2" t="s">
        <v>604</v>
      </c>
      <c r="F16" s="2">
        <v>5</v>
      </c>
      <c r="G16" s="2">
        <v>70</v>
      </c>
      <c r="H16" s="2" t="s">
        <v>616</v>
      </c>
      <c r="I16" s="2" t="s">
        <v>623</v>
      </c>
      <c r="J16" s="2" t="s">
        <v>606</v>
      </c>
      <c r="K16" s="5" t="s">
        <v>611</v>
      </c>
    </row>
    <row r="17" spans="1:11" hidden="1" x14ac:dyDescent="0.25">
      <c r="A17" s="2" t="s">
        <v>32</v>
      </c>
      <c r="B17" s="2" t="s">
        <v>33</v>
      </c>
      <c r="C17" s="2" t="s">
        <v>36</v>
      </c>
      <c r="D17" s="2" t="s">
        <v>599</v>
      </c>
      <c r="E17" s="2" t="s">
        <v>604</v>
      </c>
      <c r="F17" s="2">
        <v>5</v>
      </c>
      <c r="G17" s="2">
        <v>70</v>
      </c>
      <c r="H17" s="2" t="s">
        <v>616</v>
      </c>
      <c r="I17" s="2" t="s">
        <v>623</v>
      </c>
      <c r="J17" s="2" t="s">
        <v>606</v>
      </c>
      <c r="K17" s="5" t="s">
        <v>611</v>
      </c>
    </row>
    <row r="18" spans="1:11" hidden="1" x14ac:dyDescent="0.25">
      <c r="A18" s="2" t="s">
        <v>32</v>
      </c>
      <c r="B18" s="2" t="s">
        <v>33</v>
      </c>
      <c r="C18" s="2" t="s">
        <v>37</v>
      </c>
      <c r="D18" s="2" t="s">
        <v>599</v>
      </c>
      <c r="E18" s="2" t="s">
        <v>604</v>
      </c>
      <c r="F18" s="2">
        <v>5</v>
      </c>
      <c r="G18" s="2">
        <v>70</v>
      </c>
      <c r="H18" s="2" t="s">
        <v>616</v>
      </c>
      <c r="I18" s="2" t="s">
        <v>623</v>
      </c>
      <c r="J18" s="2" t="s">
        <v>606</v>
      </c>
      <c r="K18" s="5" t="s">
        <v>611</v>
      </c>
    </row>
    <row r="19" spans="1:11" hidden="1" x14ac:dyDescent="0.25">
      <c r="A19" s="2" t="s">
        <v>32</v>
      </c>
      <c r="B19" s="2" t="s">
        <v>33</v>
      </c>
      <c r="C19" s="2" t="s">
        <v>38</v>
      </c>
      <c r="D19" s="2" t="s">
        <v>599</v>
      </c>
      <c r="E19" s="2" t="s">
        <v>604</v>
      </c>
      <c r="F19" s="2">
        <v>5</v>
      </c>
      <c r="G19" s="2">
        <v>70</v>
      </c>
      <c r="H19" s="2" t="s">
        <v>616</v>
      </c>
      <c r="I19" s="2" t="s">
        <v>623</v>
      </c>
      <c r="J19" s="2" t="s">
        <v>606</v>
      </c>
      <c r="K19" s="5" t="s">
        <v>611</v>
      </c>
    </row>
    <row r="20" spans="1:11" hidden="1" x14ac:dyDescent="0.25">
      <c r="A20" s="2" t="s">
        <v>32</v>
      </c>
      <c r="B20" s="2" t="s">
        <v>39</v>
      </c>
      <c r="C20" s="2" t="s">
        <v>40</v>
      </c>
      <c r="D20" s="2" t="s">
        <v>599</v>
      </c>
      <c r="E20" s="2" t="s">
        <v>604</v>
      </c>
      <c r="F20" s="2">
        <v>5</v>
      </c>
      <c r="G20" s="2">
        <v>70</v>
      </c>
      <c r="H20" s="2" t="s">
        <v>616</v>
      </c>
      <c r="I20" s="2" t="s">
        <v>623</v>
      </c>
      <c r="J20" s="2" t="s">
        <v>606</v>
      </c>
      <c r="K20" s="5" t="s">
        <v>611</v>
      </c>
    </row>
    <row r="21" spans="1:11" hidden="1" x14ac:dyDescent="0.25">
      <c r="A21" s="2" t="s">
        <v>32</v>
      </c>
      <c r="B21" s="2" t="s">
        <v>39</v>
      </c>
      <c r="C21" s="2" t="s">
        <v>41</v>
      </c>
      <c r="D21" s="2" t="s">
        <v>599</v>
      </c>
      <c r="E21" s="2" t="s">
        <v>604</v>
      </c>
      <c r="F21" s="2">
        <v>5</v>
      </c>
      <c r="G21" s="2">
        <v>70</v>
      </c>
      <c r="H21" s="2" t="s">
        <v>616</v>
      </c>
      <c r="I21" s="2" t="s">
        <v>623</v>
      </c>
      <c r="J21" s="2" t="s">
        <v>606</v>
      </c>
      <c r="K21" s="5" t="s">
        <v>611</v>
      </c>
    </row>
    <row r="22" spans="1:11" hidden="1" x14ac:dyDescent="0.25">
      <c r="A22" s="2" t="s">
        <v>32</v>
      </c>
      <c r="B22" s="2" t="s">
        <v>39</v>
      </c>
      <c r="C22" s="2" t="s">
        <v>42</v>
      </c>
      <c r="D22" s="2" t="s">
        <v>599</v>
      </c>
      <c r="E22" s="2" t="s">
        <v>604</v>
      </c>
      <c r="F22" s="2">
        <v>5</v>
      </c>
      <c r="G22" s="2">
        <v>70</v>
      </c>
      <c r="H22" s="2" t="s">
        <v>616</v>
      </c>
      <c r="I22" s="2" t="s">
        <v>623</v>
      </c>
      <c r="J22" s="2" t="s">
        <v>606</v>
      </c>
      <c r="K22" s="5" t="s">
        <v>611</v>
      </c>
    </row>
    <row r="23" spans="1:11" hidden="1" x14ac:dyDescent="0.25">
      <c r="A23" s="2" t="s">
        <v>43</v>
      </c>
      <c r="B23" s="2" t="s">
        <v>44</v>
      </c>
      <c r="C23" s="2" t="s">
        <v>45</v>
      </c>
      <c r="D23" s="2" t="s">
        <v>599</v>
      </c>
      <c r="E23" s="2" t="s">
        <v>604</v>
      </c>
      <c r="F23" s="2">
        <v>5</v>
      </c>
      <c r="G23" s="2">
        <v>60</v>
      </c>
      <c r="H23" s="2" t="s">
        <v>625</v>
      </c>
      <c r="I23" s="2" t="s">
        <v>623</v>
      </c>
      <c r="J23" s="2" t="s">
        <v>606</v>
      </c>
      <c r="K23" s="5">
        <v>25</v>
      </c>
    </row>
    <row r="24" spans="1:11" hidden="1" x14ac:dyDescent="0.25">
      <c r="A24" s="2" t="s">
        <v>43</v>
      </c>
      <c r="B24" s="2" t="s">
        <v>44</v>
      </c>
      <c r="C24" s="2" t="s">
        <v>46</v>
      </c>
      <c r="D24" s="2" t="s">
        <v>599</v>
      </c>
      <c r="E24" s="2" t="s">
        <v>604</v>
      </c>
      <c r="F24" s="2">
        <v>5</v>
      </c>
      <c r="G24" s="2">
        <v>60</v>
      </c>
      <c r="H24" s="2" t="s">
        <v>625</v>
      </c>
      <c r="I24" s="2" t="s">
        <v>623</v>
      </c>
      <c r="J24" s="2" t="s">
        <v>606</v>
      </c>
      <c r="K24" s="5">
        <v>25</v>
      </c>
    </row>
    <row r="25" spans="1:11" hidden="1" x14ac:dyDescent="0.25">
      <c r="A25" s="2" t="s">
        <v>43</v>
      </c>
      <c r="B25" s="2" t="s">
        <v>44</v>
      </c>
      <c r="C25" s="2" t="s">
        <v>47</v>
      </c>
      <c r="D25" s="2" t="s">
        <v>599</v>
      </c>
      <c r="E25" s="2" t="s">
        <v>604</v>
      </c>
      <c r="F25" s="2">
        <v>5</v>
      </c>
      <c r="G25" s="2">
        <v>60</v>
      </c>
      <c r="H25" s="2" t="s">
        <v>625</v>
      </c>
      <c r="I25" s="2" t="s">
        <v>623</v>
      </c>
      <c r="J25" s="2" t="s">
        <v>606</v>
      </c>
      <c r="K25" s="5">
        <v>25</v>
      </c>
    </row>
    <row r="26" spans="1:11" hidden="1" x14ac:dyDescent="0.25">
      <c r="A26" s="2" t="s">
        <v>43</v>
      </c>
      <c r="B26" s="2" t="s">
        <v>48</v>
      </c>
      <c r="C26" s="2" t="s">
        <v>49</v>
      </c>
      <c r="D26" s="2" t="s">
        <v>599</v>
      </c>
      <c r="E26" s="2" t="s">
        <v>604</v>
      </c>
      <c r="F26" s="2">
        <v>5</v>
      </c>
      <c r="G26" s="2">
        <v>60</v>
      </c>
      <c r="H26" s="2" t="s">
        <v>625</v>
      </c>
      <c r="I26" s="2" t="s">
        <v>623</v>
      </c>
      <c r="J26" s="2" t="s">
        <v>606</v>
      </c>
      <c r="K26" s="5" t="s">
        <v>611</v>
      </c>
    </row>
    <row r="27" spans="1:11" hidden="1" x14ac:dyDescent="0.25">
      <c r="A27" s="2" t="s">
        <v>43</v>
      </c>
      <c r="B27" s="2" t="s">
        <v>50</v>
      </c>
      <c r="C27" s="2" t="s">
        <v>51</v>
      </c>
      <c r="D27" s="2" t="s">
        <v>599</v>
      </c>
      <c r="E27" s="2" t="s">
        <v>604</v>
      </c>
      <c r="F27" s="2">
        <v>5</v>
      </c>
      <c r="G27" s="2">
        <v>60</v>
      </c>
      <c r="H27" s="2" t="s">
        <v>625</v>
      </c>
      <c r="I27" s="2" t="s">
        <v>623</v>
      </c>
      <c r="J27" s="2" t="s">
        <v>606</v>
      </c>
      <c r="K27" s="5" t="s">
        <v>611</v>
      </c>
    </row>
    <row r="28" spans="1:11" hidden="1" x14ac:dyDescent="0.25">
      <c r="A28" s="2" t="s">
        <v>43</v>
      </c>
      <c r="B28" s="2" t="s">
        <v>50</v>
      </c>
      <c r="C28" s="2" t="s">
        <v>52</v>
      </c>
      <c r="D28" s="2" t="s">
        <v>599</v>
      </c>
      <c r="E28" s="2" t="s">
        <v>604</v>
      </c>
      <c r="F28" s="2">
        <v>5</v>
      </c>
      <c r="G28" s="2">
        <v>60</v>
      </c>
      <c r="H28" s="2" t="s">
        <v>625</v>
      </c>
      <c r="I28" s="2" t="s">
        <v>623</v>
      </c>
      <c r="J28" s="2" t="s">
        <v>606</v>
      </c>
      <c r="K28" s="5" t="s">
        <v>611</v>
      </c>
    </row>
    <row r="29" spans="1:11" hidden="1" x14ac:dyDescent="0.25">
      <c r="A29" s="2" t="s">
        <v>43</v>
      </c>
      <c r="B29" s="2" t="s">
        <v>50</v>
      </c>
      <c r="C29" s="2" t="s">
        <v>53</v>
      </c>
      <c r="D29" s="2" t="s">
        <v>599</v>
      </c>
      <c r="E29" s="2" t="s">
        <v>604</v>
      </c>
      <c r="F29" s="2">
        <v>5</v>
      </c>
      <c r="G29" s="2">
        <v>60</v>
      </c>
      <c r="H29" s="2" t="s">
        <v>625</v>
      </c>
      <c r="I29" s="2" t="s">
        <v>623</v>
      </c>
      <c r="J29" s="2" t="s">
        <v>606</v>
      </c>
      <c r="K29" s="5" t="s">
        <v>611</v>
      </c>
    </row>
    <row r="30" spans="1:11" hidden="1" x14ac:dyDescent="0.25">
      <c r="A30" s="2" t="s">
        <v>43</v>
      </c>
      <c r="B30" s="2" t="s">
        <v>50</v>
      </c>
      <c r="C30" s="2" t="s">
        <v>54</v>
      </c>
      <c r="D30" s="2" t="s">
        <v>599</v>
      </c>
      <c r="E30" s="2" t="s">
        <v>604</v>
      </c>
      <c r="F30" s="2">
        <v>5</v>
      </c>
      <c r="G30" s="2">
        <v>60</v>
      </c>
      <c r="H30" s="2" t="s">
        <v>625</v>
      </c>
      <c r="I30" s="2" t="s">
        <v>623</v>
      </c>
      <c r="J30" s="2" t="s">
        <v>606</v>
      </c>
      <c r="K30" s="5" t="s">
        <v>611</v>
      </c>
    </row>
    <row r="31" spans="1:11" hidden="1" x14ac:dyDescent="0.25">
      <c r="A31" s="2" t="s">
        <v>43</v>
      </c>
      <c r="B31" s="2" t="s">
        <v>55</v>
      </c>
      <c r="C31" s="2" t="s">
        <v>56</v>
      </c>
      <c r="D31" s="2" t="s">
        <v>599</v>
      </c>
      <c r="E31" s="2" t="s">
        <v>604</v>
      </c>
      <c r="F31" s="2">
        <v>5</v>
      </c>
      <c r="G31" s="2">
        <v>60</v>
      </c>
      <c r="H31" s="2" t="s">
        <v>625</v>
      </c>
      <c r="I31" s="2" t="s">
        <v>623</v>
      </c>
      <c r="J31" s="2" t="s">
        <v>606</v>
      </c>
      <c r="K31" s="5" t="s">
        <v>612</v>
      </c>
    </row>
    <row r="32" spans="1:11" hidden="1" x14ac:dyDescent="0.25">
      <c r="A32" s="2" t="s">
        <v>43</v>
      </c>
      <c r="B32" s="2" t="s">
        <v>57</v>
      </c>
      <c r="C32" s="2" t="s">
        <v>58</v>
      </c>
      <c r="D32" s="2" t="s">
        <v>599</v>
      </c>
      <c r="E32" s="2" t="s">
        <v>604</v>
      </c>
      <c r="F32" s="2">
        <v>5</v>
      </c>
      <c r="G32" s="2">
        <v>60</v>
      </c>
      <c r="H32" s="2" t="s">
        <v>625</v>
      </c>
      <c r="I32" s="2" t="s">
        <v>623</v>
      </c>
      <c r="J32" s="2" t="s">
        <v>606</v>
      </c>
      <c r="K32" s="5" t="s">
        <v>612</v>
      </c>
    </row>
    <row r="33" spans="1:11" hidden="1" x14ac:dyDescent="0.25">
      <c r="A33" s="2" t="s">
        <v>43</v>
      </c>
      <c r="B33" s="2" t="s">
        <v>59</v>
      </c>
      <c r="C33" s="2" t="s">
        <v>60</v>
      </c>
      <c r="D33" s="2" t="s">
        <v>599</v>
      </c>
      <c r="E33" s="2" t="s">
        <v>604</v>
      </c>
      <c r="F33" s="2">
        <v>5</v>
      </c>
      <c r="G33" s="2">
        <v>60</v>
      </c>
      <c r="H33" s="2" t="s">
        <v>626</v>
      </c>
      <c r="I33" s="2" t="s">
        <v>623</v>
      </c>
      <c r="J33" s="2" t="s">
        <v>606</v>
      </c>
      <c r="K33" s="5">
        <v>25</v>
      </c>
    </row>
    <row r="34" spans="1:11" hidden="1" x14ac:dyDescent="0.25">
      <c r="A34" s="2" t="s">
        <v>43</v>
      </c>
      <c r="B34" s="2" t="s">
        <v>59</v>
      </c>
      <c r="C34" s="2" t="s">
        <v>61</v>
      </c>
      <c r="D34" s="2" t="s">
        <v>599</v>
      </c>
      <c r="E34" s="2" t="s">
        <v>604</v>
      </c>
      <c r="F34" s="2">
        <v>5</v>
      </c>
      <c r="G34" s="2">
        <v>60</v>
      </c>
      <c r="H34" s="2" t="s">
        <v>626</v>
      </c>
      <c r="I34" s="2" t="s">
        <v>623</v>
      </c>
      <c r="J34" s="2" t="s">
        <v>606</v>
      </c>
      <c r="K34" s="5">
        <v>25</v>
      </c>
    </row>
    <row r="35" spans="1:11" hidden="1" x14ac:dyDescent="0.25">
      <c r="A35" s="2" t="s">
        <v>43</v>
      </c>
      <c r="B35" s="2" t="s">
        <v>59</v>
      </c>
      <c r="C35" s="2" t="s">
        <v>62</v>
      </c>
      <c r="D35" s="2" t="s">
        <v>599</v>
      </c>
      <c r="E35" s="2" t="s">
        <v>604</v>
      </c>
      <c r="F35" s="2">
        <v>5</v>
      </c>
      <c r="G35" s="2">
        <v>60</v>
      </c>
      <c r="H35" s="2" t="s">
        <v>626</v>
      </c>
      <c r="I35" s="2" t="s">
        <v>623</v>
      </c>
      <c r="J35" s="2" t="s">
        <v>606</v>
      </c>
      <c r="K35" s="5">
        <v>25</v>
      </c>
    </row>
    <row r="36" spans="1:11" hidden="1" x14ac:dyDescent="0.25">
      <c r="A36" s="2" t="s">
        <v>43</v>
      </c>
      <c r="B36" s="2" t="s">
        <v>59</v>
      </c>
      <c r="C36" s="2" t="s">
        <v>63</v>
      </c>
      <c r="D36" s="2" t="s">
        <v>599</v>
      </c>
      <c r="E36" s="2" t="s">
        <v>604</v>
      </c>
      <c r="F36" s="2">
        <v>5</v>
      </c>
      <c r="G36" s="2">
        <v>60</v>
      </c>
      <c r="H36" s="2" t="s">
        <v>626</v>
      </c>
      <c r="I36" s="2" t="s">
        <v>623</v>
      </c>
      <c r="J36" s="2" t="s">
        <v>606</v>
      </c>
      <c r="K36" s="5">
        <v>25</v>
      </c>
    </row>
    <row r="37" spans="1:11" hidden="1" x14ac:dyDescent="0.25">
      <c r="A37" s="2" t="s">
        <v>43</v>
      </c>
      <c r="B37" s="2" t="s">
        <v>59</v>
      </c>
      <c r="C37" s="2" t="s">
        <v>64</v>
      </c>
      <c r="D37" s="2" t="s">
        <v>599</v>
      </c>
      <c r="E37" s="2" t="s">
        <v>604</v>
      </c>
      <c r="F37" s="2">
        <v>5</v>
      </c>
      <c r="G37" s="2">
        <v>60</v>
      </c>
      <c r="H37" s="2" t="s">
        <v>626</v>
      </c>
      <c r="I37" s="2" t="s">
        <v>623</v>
      </c>
      <c r="J37" s="2" t="s">
        <v>606</v>
      </c>
      <c r="K37" s="5">
        <v>25</v>
      </c>
    </row>
    <row r="38" spans="1:11" hidden="1" x14ac:dyDescent="0.25">
      <c r="A38" s="2" t="s">
        <v>43</v>
      </c>
      <c r="B38" s="2" t="s">
        <v>59</v>
      </c>
      <c r="C38" s="2" t="s">
        <v>65</v>
      </c>
      <c r="D38" s="2" t="s">
        <v>599</v>
      </c>
      <c r="E38" s="2" t="s">
        <v>604</v>
      </c>
      <c r="F38" s="2">
        <v>5</v>
      </c>
      <c r="G38" s="2">
        <v>45</v>
      </c>
      <c r="H38" s="2" t="s">
        <v>626</v>
      </c>
      <c r="I38" s="2" t="s">
        <v>623</v>
      </c>
      <c r="J38" s="2" t="s">
        <v>606</v>
      </c>
      <c r="K38" s="5">
        <v>25</v>
      </c>
    </row>
    <row r="39" spans="1:11" hidden="1" x14ac:dyDescent="0.25">
      <c r="A39" s="2" t="s">
        <v>43</v>
      </c>
      <c r="B39" s="2" t="s">
        <v>59</v>
      </c>
      <c r="C39" s="2" t="s">
        <v>66</v>
      </c>
      <c r="D39" s="2" t="s">
        <v>599</v>
      </c>
      <c r="E39" s="2" t="s">
        <v>604</v>
      </c>
      <c r="F39" s="2">
        <v>5</v>
      </c>
      <c r="G39" s="2">
        <v>60</v>
      </c>
      <c r="H39" s="2" t="s">
        <v>626</v>
      </c>
      <c r="I39" s="2" t="s">
        <v>623</v>
      </c>
      <c r="J39" s="2" t="s">
        <v>606</v>
      </c>
      <c r="K39" s="5">
        <v>25</v>
      </c>
    </row>
    <row r="40" spans="1:11" hidden="1" x14ac:dyDescent="0.25">
      <c r="A40" s="2" t="s">
        <v>43</v>
      </c>
      <c r="B40" s="2" t="s">
        <v>67</v>
      </c>
      <c r="C40" s="2" t="s">
        <v>68</v>
      </c>
      <c r="D40" s="2" t="s">
        <v>599</v>
      </c>
      <c r="E40" s="2" t="s">
        <v>604</v>
      </c>
      <c r="F40" s="2">
        <v>5</v>
      </c>
      <c r="G40" s="2">
        <v>60</v>
      </c>
      <c r="H40" s="2" t="s">
        <v>626</v>
      </c>
      <c r="I40" s="2" t="s">
        <v>623</v>
      </c>
      <c r="J40" s="2" t="s">
        <v>606</v>
      </c>
      <c r="K40" s="5">
        <v>25</v>
      </c>
    </row>
    <row r="41" spans="1:11" hidden="1" x14ac:dyDescent="0.25">
      <c r="A41" s="2" t="s">
        <v>43</v>
      </c>
      <c r="B41" s="2" t="s">
        <v>67</v>
      </c>
      <c r="C41" s="2" t="s">
        <v>69</v>
      </c>
      <c r="D41" s="2" t="s">
        <v>599</v>
      </c>
      <c r="E41" s="2" t="s">
        <v>604</v>
      </c>
      <c r="F41" s="2">
        <v>5</v>
      </c>
      <c r="G41" s="2">
        <v>60</v>
      </c>
      <c r="H41" s="2" t="s">
        <v>626</v>
      </c>
      <c r="I41" s="2" t="s">
        <v>623</v>
      </c>
      <c r="J41" s="2" t="s">
        <v>606</v>
      </c>
      <c r="K41" s="5">
        <v>25</v>
      </c>
    </row>
    <row r="42" spans="1:11" hidden="1" x14ac:dyDescent="0.25">
      <c r="A42" s="2" t="s">
        <v>43</v>
      </c>
      <c r="B42" s="2" t="s">
        <v>67</v>
      </c>
      <c r="C42" s="2" t="s">
        <v>70</v>
      </c>
      <c r="D42" s="2" t="s">
        <v>599</v>
      </c>
      <c r="E42" s="2" t="s">
        <v>604</v>
      </c>
      <c r="F42" s="2">
        <v>5</v>
      </c>
      <c r="G42" s="2">
        <v>45</v>
      </c>
      <c r="H42" s="2" t="s">
        <v>626</v>
      </c>
      <c r="I42" s="2" t="s">
        <v>623</v>
      </c>
      <c r="J42" s="2" t="s">
        <v>606</v>
      </c>
      <c r="K42" s="5">
        <v>25</v>
      </c>
    </row>
    <row r="43" spans="1:11" hidden="1" x14ac:dyDescent="0.25">
      <c r="A43" s="2" t="s">
        <v>43</v>
      </c>
      <c r="B43" s="2" t="s">
        <v>67</v>
      </c>
      <c r="C43" s="2" t="s">
        <v>71</v>
      </c>
      <c r="D43" s="2" t="s">
        <v>599</v>
      </c>
      <c r="E43" s="2" t="s">
        <v>604</v>
      </c>
      <c r="F43" s="2">
        <v>5</v>
      </c>
      <c r="G43" s="2">
        <v>60</v>
      </c>
      <c r="H43" s="2" t="s">
        <v>626</v>
      </c>
      <c r="I43" s="2" t="s">
        <v>623</v>
      </c>
      <c r="J43" s="2" t="s">
        <v>606</v>
      </c>
      <c r="K43" s="5">
        <v>25</v>
      </c>
    </row>
    <row r="44" spans="1:11" hidden="1" x14ac:dyDescent="0.25">
      <c r="A44" s="2" t="s">
        <v>43</v>
      </c>
      <c r="B44" s="2" t="s">
        <v>72</v>
      </c>
      <c r="C44" s="2" t="s">
        <v>73</v>
      </c>
      <c r="D44" s="2" t="s">
        <v>599</v>
      </c>
      <c r="E44" s="2" t="s">
        <v>604</v>
      </c>
      <c r="F44" s="2">
        <v>5</v>
      </c>
      <c r="G44" s="2">
        <v>60</v>
      </c>
      <c r="H44" s="2" t="s">
        <v>626</v>
      </c>
      <c r="I44" s="2" t="s">
        <v>623</v>
      </c>
      <c r="J44" s="2" t="s">
        <v>606</v>
      </c>
      <c r="K44" s="5">
        <v>25</v>
      </c>
    </row>
    <row r="45" spans="1:11" hidden="1" x14ac:dyDescent="0.25">
      <c r="A45" s="2" t="s">
        <v>74</v>
      </c>
      <c r="B45" s="2" t="s">
        <v>75</v>
      </c>
      <c r="C45" s="2" t="s">
        <v>76</v>
      </c>
      <c r="D45" s="2" t="s">
        <v>599</v>
      </c>
      <c r="E45" s="2" t="s">
        <v>604</v>
      </c>
      <c r="F45" s="2">
        <v>5</v>
      </c>
      <c r="G45" s="2">
        <v>32</v>
      </c>
      <c r="H45" s="2" t="s">
        <v>626</v>
      </c>
      <c r="I45" s="2" t="s">
        <v>623</v>
      </c>
      <c r="J45" s="2" t="s">
        <v>607</v>
      </c>
      <c r="K45" s="5">
        <v>20</v>
      </c>
    </row>
    <row r="46" spans="1:11" hidden="1" x14ac:dyDescent="0.25">
      <c r="A46" s="2" t="s">
        <v>77</v>
      </c>
      <c r="B46" s="2" t="s">
        <v>78</v>
      </c>
      <c r="C46" s="2" t="s">
        <v>79</v>
      </c>
      <c r="D46" s="2" t="s">
        <v>600</v>
      </c>
      <c r="I46" s="2" t="s">
        <v>623</v>
      </c>
      <c r="J46" s="2" t="s">
        <v>608</v>
      </c>
      <c r="K46" s="5" t="s">
        <v>611</v>
      </c>
    </row>
    <row r="47" spans="1:11" hidden="1" x14ac:dyDescent="0.25">
      <c r="A47" s="2" t="s">
        <v>77</v>
      </c>
      <c r="B47" s="2" t="s">
        <v>78</v>
      </c>
      <c r="C47" s="2" t="s">
        <v>80</v>
      </c>
      <c r="D47" s="2" t="s">
        <v>600</v>
      </c>
      <c r="I47" s="2" t="s">
        <v>623</v>
      </c>
      <c r="J47" s="2" t="s">
        <v>608</v>
      </c>
      <c r="K47" s="5" t="s">
        <v>611</v>
      </c>
    </row>
    <row r="48" spans="1:11" hidden="1" x14ac:dyDescent="0.25">
      <c r="A48" s="2" t="s">
        <v>81</v>
      </c>
      <c r="B48" s="2" t="s">
        <v>82</v>
      </c>
      <c r="C48" s="2" t="s">
        <v>83</v>
      </c>
      <c r="D48" s="2" t="s">
        <v>599</v>
      </c>
      <c r="E48" s="2" t="s">
        <v>604</v>
      </c>
      <c r="F48" s="2">
        <v>5</v>
      </c>
      <c r="G48" s="2">
        <v>60</v>
      </c>
      <c r="I48" s="2" t="s">
        <v>623</v>
      </c>
      <c r="J48" s="2" t="s">
        <v>608</v>
      </c>
      <c r="K48" s="5">
        <v>25</v>
      </c>
    </row>
    <row r="49" spans="1:11" hidden="1" x14ac:dyDescent="0.25">
      <c r="A49" s="2" t="s">
        <v>84</v>
      </c>
      <c r="B49" s="2" t="s">
        <v>85</v>
      </c>
      <c r="C49" s="2" t="s">
        <v>86</v>
      </c>
      <c r="D49" s="2" t="s">
        <v>599</v>
      </c>
      <c r="E49" s="2" t="s">
        <v>604</v>
      </c>
      <c r="F49" s="2">
        <v>5</v>
      </c>
      <c r="G49" s="2">
        <v>14</v>
      </c>
      <c r="I49" s="2" t="s">
        <v>623</v>
      </c>
      <c r="J49" s="2" t="s">
        <v>608</v>
      </c>
      <c r="K49" s="5" t="s">
        <v>613</v>
      </c>
    </row>
    <row r="50" spans="1:11" hidden="1" x14ac:dyDescent="0.25">
      <c r="A50" s="2" t="s">
        <v>84</v>
      </c>
      <c r="B50" s="2" t="s">
        <v>85</v>
      </c>
      <c r="C50" s="2" t="s">
        <v>87</v>
      </c>
      <c r="D50" s="2" t="s">
        <v>599</v>
      </c>
      <c r="E50" s="2" t="s">
        <v>604</v>
      </c>
      <c r="F50" s="2">
        <v>5</v>
      </c>
      <c r="G50" s="2">
        <v>14</v>
      </c>
      <c r="I50" s="2" t="s">
        <v>623</v>
      </c>
      <c r="J50" s="2" t="s">
        <v>608</v>
      </c>
      <c r="K50" s="5" t="s">
        <v>613</v>
      </c>
    </row>
    <row r="51" spans="1:11" hidden="1" x14ac:dyDescent="0.25">
      <c r="A51" s="2" t="s">
        <v>88</v>
      </c>
      <c r="B51" s="2" t="s">
        <v>89</v>
      </c>
      <c r="C51" s="2" t="s">
        <v>90</v>
      </c>
      <c r="D51" s="2" t="s">
        <v>600</v>
      </c>
      <c r="I51" s="2" t="s">
        <v>623</v>
      </c>
      <c r="J51" s="2" t="s">
        <v>608</v>
      </c>
      <c r="K51" s="5">
        <v>25</v>
      </c>
    </row>
    <row r="52" spans="1:11" hidden="1" x14ac:dyDescent="0.25">
      <c r="A52" s="2" t="s">
        <v>88</v>
      </c>
      <c r="B52" s="2" t="s">
        <v>89</v>
      </c>
      <c r="C52" s="2" t="s">
        <v>91</v>
      </c>
      <c r="D52" s="2" t="s">
        <v>600</v>
      </c>
      <c r="I52" s="2" t="s">
        <v>623</v>
      </c>
      <c r="J52" s="2" t="s">
        <v>608</v>
      </c>
      <c r="K52" s="5">
        <v>25</v>
      </c>
    </row>
    <row r="53" spans="1:11" hidden="1" x14ac:dyDescent="0.25">
      <c r="A53" s="2" t="s">
        <v>88</v>
      </c>
      <c r="B53" s="2" t="s">
        <v>89</v>
      </c>
      <c r="C53" s="2" t="s">
        <v>92</v>
      </c>
      <c r="D53" s="2" t="s">
        <v>600</v>
      </c>
      <c r="I53" s="2" t="s">
        <v>623</v>
      </c>
      <c r="J53" s="2" t="s">
        <v>608</v>
      </c>
      <c r="K53" s="5">
        <v>25</v>
      </c>
    </row>
    <row r="54" spans="1:11" hidden="1" x14ac:dyDescent="0.25">
      <c r="A54" s="2" t="s">
        <v>88</v>
      </c>
      <c r="B54" s="2" t="s">
        <v>89</v>
      </c>
      <c r="C54" s="2" t="s">
        <v>93</v>
      </c>
      <c r="D54" s="2" t="s">
        <v>600</v>
      </c>
      <c r="I54" s="2" t="s">
        <v>623</v>
      </c>
      <c r="J54" s="2" t="s">
        <v>608</v>
      </c>
      <c r="K54" s="5">
        <v>25</v>
      </c>
    </row>
    <row r="55" spans="1:11" hidden="1" x14ac:dyDescent="0.25">
      <c r="A55" s="2" t="s">
        <v>88</v>
      </c>
      <c r="B55" s="2" t="s">
        <v>89</v>
      </c>
      <c r="C55" s="2" t="s">
        <v>94</v>
      </c>
      <c r="D55" s="2" t="s">
        <v>600</v>
      </c>
      <c r="I55" s="2" t="s">
        <v>623</v>
      </c>
      <c r="J55" s="2" t="s">
        <v>608</v>
      </c>
      <c r="K55" s="5">
        <v>25</v>
      </c>
    </row>
    <row r="56" spans="1:11" hidden="1" x14ac:dyDescent="0.25">
      <c r="A56" s="2" t="s">
        <v>88</v>
      </c>
      <c r="B56" s="2" t="s">
        <v>89</v>
      </c>
      <c r="C56" s="2" t="s">
        <v>95</v>
      </c>
      <c r="D56" s="2" t="s">
        <v>600</v>
      </c>
      <c r="I56" s="2" t="s">
        <v>623</v>
      </c>
      <c r="J56" s="2" t="s">
        <v>608</v>
      </c>
      <c r="K56" s="5">
        <v>25</v>
      </c>
    </row>
    <row r="57" spans="1:11" hidden="1" x14ac:dyDescent="0.25">
      <c r="A57" s="2" t="s">
        <v>88</v>
      </c>
      <c r="B57" s="2" t="s">
        <v>89</v>
      </c>
      <c r="C57" s="2" t="s">
        <v>96</v>
      </c>
      <c r="D57" s="2" t="s">
        <v>600</v>
      </c>
      <c r="I57" s="2" t="s">
        <v>623</v>
      </c>
      <c r="J57" s="2" t="s">
        <v>608</v>
      </c>
      <c r="K57" s="5">
        <v>25</v>
      </c>
    </row>
    <row r="58" spans="1:11" hidden="1" x14ac:dyDescent="0.25">
      <c r="A58" s="2" t="s">
        <v>97</v>
      </c>
      <c r="B58" s="2" t="s">
        <v>98</v>
      </c>
      <c r="C58" s="2" t="s">
        <v>99</v>
      </c>
      <c r="D58" s="2" t="s">
        <v>599</v>
      </c>
      <c r="E58" s="2" t="s">
        <v>604</v>
      </c>
      <c r="F58" s="2">
        <v>5</v>
      </c>
      <c r="G58" s="2">
        <v>14</v>
      </c>
      <c r="I58" s="2" t="s">
        <v>623</v>
      </c>
      <c r="J58" s="2" t="s">
        <v>606</v>
      </c>
      <c r="K58" s="5" t="s">
        <v>612</v>
      </c>
    </row>
    <row r="59" spans="1:11" hidden="1" x14ac:dyDescent="0.25">
      <c r="A59" s="2" t="s">
        <v>97</v>
      </c>
      <c r="B59" s="2" t="s">
        <v>100</v>
      </c>
      <c r="C59" s="2" t="s">
        <v>101</v>
      </c>
      <c r="D59" s="2" t="s">
        <v>599</v>
      </c>
      <c r="E59" s="2" t="s">
        <v>604</v>
      </c>
      <c r="F59" s="2">
        <v>5</v>
      </c>
      <c r="G59" s="2">
        <v>14</v>
      </c>
      <c r="I59" s="2" t="s">
        <v>623</v>
      </c>
      <c r="J59" s="2" t="s">
        <v>606</v>
      </c>
      <c r="K59" s="5" t="s">
        <v>612</v>
      </c>
    </row>
    <row r="60" spans="1:11" hidden="1" x14ac:dyDescent="0.25">
      <c r="A60" s="2" t="s">
        <v>97</v>
      </c>
      <c r="B60" s="2" t="s">
        <v>102</v>
      </c>
      <c r="C60" s="2" t="s">
        <v>103</v>
      </c>
      <c r="D60" s="2" t="s">
        <v>599</v>
      </c>
      <c r="E60" s="2" t="s">
        <v>604</v>
      </c>
      <c r="F60" s="2">
        <v>5</v>
      </c>
      <c r="G60" s="2">
        <v>14</v>
      </c>
      <c r="I60" s="2" t="s">
        <v>623</v>
      </c>
      <c r="J60" s="2" t="s">
        <v>606</v>
      </c>
      <c r="K60" s="5" t="s">
        <v>612</v>
      </c>
    </row>
    <row r="61" spans="1:11" hidden="1" x14ac:dyDescent="0.25">
      <c r="A61" s="2" t="s">
        <v>97</v>
      </c>
      <c r="B61" s="2" t="s">
        <v>102</v>
      </c>
      <c r="C61" s="2" t="s">
        <v>104</v>
      </c>
      <c r="D61" s="2" t="s">
        <v>599</v>
      </c>
      <c r="E61" s="2" t="s">
        <v>604</v>
      </c>
      <c r="F61" s="2">
        <v>5</v>
      </c>
      <c r="G61" s="2">
        <v>14</v>
      </c>
      <c r="I61" s="2" t="s">
        <v>623</v>
      </c>
      <c r="J61" s="2" t="s">
        <v>606</v>
      </c>
      <c r="K61" s="5" t="s">
        <v>612</v>
      </c>
    </row>
    <row r="62" spans="1:11" hidden="1" x14ac:dyDescent="0.25">
      <c r="A62" s="2" t="s">
        <v>97</v>
      </c>
      <c r="B62" s="2" t="s">
        <v>102</v>
      </c>
      <c r="C62" s="2" t="s">
        <v>105</v>
      </c>
      <c r="D62" s="2" t="s">
        <v>599</v>
      </c>
      <c r="E62" s="2" t="s">
        <v>604</v>
      </c>
      <c r="F62" s="2">
        <v>5</v>
      </c>
      <c r="G62" s="2">
        <v>14</v>
      </c>
      <c r="I62" s="2" t="s">
        <v>623</v>
      </c>
      <c r="J62" s="2" t="s">
        <v>606</v>
      </c>
      <c r="K62" s="5" t="s">
        <v>612</v>
      </c>
    </row>
    <row r="63" spans="1:11" hidden="1" x14ac:dyDescent="0.25">
      <c r="A63" s="2" t="s">
        <v>97</v>
      </c>
      <c r="B63" s="2" t="s">
        <v>106</v>
      </c>
      <c r="C63" s="2" t="s">
        <v>107</v>
      </c>
      <c r="D63" s="2" t="s">
        <v>599</v>
      </c>
      <c r="E63" s="2" t="s">
        <v>604</v>
      </c>
      <c r="F63" s="2">
        <v>5</v>
      </c>
      <c r="G63" s="2">
        <v>14</v>
      </c>
      <c r="I63" s="2" t="s">
        <v>623</v>
      </c>
      <c r="J63" s="2" t="s">
        <v>606</v>
      </c>
      <c r="K63" s="5" t="s">
        <v>612</v>
      </c>
    </row>
    <row r="64" spans="1:11" hidden="1" x14ac:dyDescent="0.25">
      <c r="A64" s="2" t="s">
        <v>97</v>
      </c>
      <c r="B64" s="2" t="s">
        <v>108</v>
      </c>
      <c r="C64" s="2" t="s">
        <v>109</v>
      </c>
      <c r="D64" s="2" t="s">
        <v>599</v>
      </c>
      <c r="E64" s="2" t="s">
        <v>604</v>
      </c>
      <c r="F64" s="2">
        <v>5</v>
      </c>
      <c r="G64" s="2">
        <v>14</v>
      </c>
      <c r="I64" s="2" t="s">
        <v>623</v>
      </c>
      <c r="J64" s="2" t="s">
        <v>606</v>
      </c>
      <c r="K64" s="5" t="s">
        <v>612</v>
      </c>
    </row>
    <row r="65" spans="1:11" hidden="1" x14ac:dyDescent="0.25">
      <c r="A65" s="2" t="s">
        <v>97</v>
      </c>
      <c r="B65" s="2" t="s">
        <v>110</v>
      </c>
      <c r="C65" s="2" t="s">
        <v>111</v>
      </c>
      <c r="D65" s="2" t="s">
        <v>599</v>
      </c>
      <c r="E65" s="2" t="s">
        <v>604</v>
      </c>
      <c r="F65" s="2">
        <v>5</v>
      </c>
      <c r="G65" s="2">
        <v>14</v>
      </c>
      <c r="I65" s="2" t="s">
        <v>623</v>
      </c>
      <c r="J65" s="2" t="s">
        <v>606</v>
      </c>
      <c r="K65" s="5" t="s">
        <v>612</v>
      </c>
    </row>
    <row r="66" spans="1:11" hidden="1" x14ac:dyDescent="0.25">
      <c r="A66" s="2" t="s">
        <v>112</v>
      </c>
      <c r="B66" s="2" t="s">
        <v>113</v>
      </c>
      <c r="C66" s="2" t="s">
        <v>114</v>
      </c>
      <c r="K66" s="5"/>
    </row>
    <row r="67" spans="1:11" hidden="1" x14ac:dyDescent="0.25">
      <c r="A67" s="2" t="s">
        <v>112</v>
      </c>
      <c r="B67" s="2" t="s">
        <v>113</v>
      </c>
      <c r="C67" s="2" t="s">
        <v>115</v>
      </c>
      <c r="K67" s="5"/>
    </row>
    <row r="68" spans="1:11" hidden="1" x14ac:dyDescent="0.25">
      <c r="A68" s="2" t="s">
        <v>116</v>
      </c>
      <c r="B68" s="2" t="s">
        <v>117</v>
      </c>
      <c r="C68" s="2" t="s">
        <v>118</v>
      </c>
      <c r="D68" s="2" t="s">
        <v>600</v>
      </c>
      <c r="I68" s="2" t="s">
        <v>623</v>
      </c>
      <c r="J68" s="2" t="s">
        <v>606</v>
      </c>
      <c r="K68" s="5" t="s">
        <v>611</v>
      </c>
    </row>
    <row r="69" spans="1:11" hidden="1" x14ac:dyDescent="0.25">
      <c r="A69" s="2" t="s">
        <v>119</v>
      </c>
      <c r="B69" s="2" t="s">
        <v>120</v>
      </c>
      <c r="C69" s="2" t="s">
        <v>121</v>
      </c>
      <c r="D69" s="2" t="s">
        <v>600</v>
      </c>
      <c r="I69" s="2" t="s">
        <v>623</v>
      </c>
      <c r="J69" s="2" t="s">
        <v>606</v>
      </c>
      <c r="K69" s="5" t="s">
        <v>611</v>
      </c>
    </row>
    <row r="70" spans="1:11" hidden="1" x14ac:dyDescent="0.25">
      <c r="A70" s="2" t="s">
        <v>122</v>
      </c>
      <c r="B70" s="2" t="s">
        <v>123</v>
      </c>
      <c r="C70" s="2" t="s">
        <v>124</v>
      </c>
      <c r="D70" s="2" t="s">
        <v>599</v>
      </c>
      <c r="E70" s="2" t="s">
        <v>604</v>
      </c>
      <c r="F70" s="2">
        <v>5</v>
      </c>
      <c r="G70" s="2">
        <v>90</v>
      </c>
      <c r="H70" s="2" t="s">
        <v>639</v>
      </c>
      <c r="I70" s="2" t="s">
        <v>627</v>
      </c>
      <c r="J70" s="2" t="s">
        <v>606</v>
      </c>
      <c r="K70" s="5" t="s">
        <v>611</v>
      </c>
    </row>
    <row r="71" spans="1:11" hidden="1" x14ac:dyDescent="0.25">
      <c r="A71" s="2" t="s">
        <v>125</v>
      </c>
      <c r="B71" s="2" t="s">
        <v>126</v>
      </c>
      <c r="C71" s="2" t="s">
        <v>127</v>
      </c>
      <c r="D71" s="2" t="s">
        <v>599</v>
      </c>
      <c r="E71" s="2" t="s">
        <v>604</v>
      </c>
      <c r="F71" s="2">
        <v>5</v>
      </c>
      <c r="G71" s="2">
        <v>32</v>
      </c>
      <c r="H71" s="2" t="s">
        <v>640</v>
      </c>
      <c r="I71" s="2" t="s">
        <v>623</v>
      </c>
      <c r="J71" s="2" t="s">
        <v>608</v>
      </c>
      <c r="K71" s="5">
        <v>25</v>
      </c>
    </row>
    <row r="72" spans="1:11" hidden="1" x14ac:dyDescent="0.25">
      <c r="A72" s="2" t="s">
        <v>125</v>
      </c>
      <c r="B72" s="2" t="s">
        <v>126</v>
      </c>
      <c r="C72" s="2" t="s">
        <v>128</v>
      </c>
      <c r="D72" s="2" t="s">
        <v>599</v>
      </c>
      <c r="E72" s="2" t="s">
        <v>604</v>
      </c>
      <c r="F72" s="2">
        <v>5</v>
      </c>
      <c r="G72" s="2">
        <v>32</v>
      </c>
      <c r="H72" s="2" t="s">
        <v>640</v>
      </c>
      <c r="I72" s="2" t="s">
        <v>623</v>
      </c>
      <c r="J72" s="2" t="s">
        <v>608</v>
      </c>
      <c r="K72" s="5">
        <v>25</v>
      </c>
    </row>
    <row r="73" spans="1:11" hidden="1" x14ac:dyDescent="0.25">
      <c r="A73" s="2" t="s">
        <v>125</v>
      </c>
      <c r="B73" s="2" t="s">
        <v>126</v>
      </c>
      <c r="C73" s="2" t="s">
        <v>129</v>
      </c>
      <c r="D73" s="2" t="s">
        <v>599</v>
      </c>
      <c r="E73" s="2" t="s">
        <v>604</v>
      </c>
      <c r="F73" s="2">
        <v>5</v>
      </c>
      <c r="G73" s="2">
        <v>32</v>
      </c>
      <c r="H73" s="2" t="s">
        <v>640</v>
      </c>
      <c r="I73" s="2" t="s">
        <v>623</v>
      </c>
      <c r="J73" s="2" t="s">
        <v>608</v>
      </c>
      <c r="K73" s="5">
        <v>25</v>
      </c>
    </row>
    <row r="74" spans="1:11" hidden="1" x14ac:dyDescent="0.25">
      <c r="A74" s="2" t="s">
        <v>125</v>
      </c>
      <c r="B74" s="2" t="s">
        <v>126</v>
      </c>
      <c r="C74" s="2" t="s">
        <v>130</v>
      </c>
      <c r="D74" s="2" t="s">
        <v>599</v>
      </c>
      <c r="E74" s="2" t="s">
        <v>604</v>
      </c>
      <c r="F74" s="2">
        <v>5</v>
      </c>
      <c r="G74" s="2">
        <v>32</v>
      </c>
      <c r="H74" s="2" t="s">
        <v>640</v>
      </c>
      <c r="I74" s="2" t="s">
        <v>623</v>
      </c>
      <c r="J74" s="2" t="s">
        <v>608</v>
      </c>
      <c r="K74" s="5">
        <v>25</v>
      </c>
    </row>
    <row r="75" spans="1:11" hidden="1" x14ac:dyDescent="0.25">
      <c r="A75" s="2" t="s">
        <v>125</v>
      </c>
      <c r="B75" s="2" t="s">
        <v>126</v>
      </c>
      <c r="C75" s="2" t="s">
        <v>131</v>
      </c>
      <c r="D75" s="2" t="s">
        <v>599</v>
      </c>
      <c r="E75" s="2" t="s">
        <v>604</v>
      </c>
      <c r="F75" s="2">
        <v>5</v>
      </c>
      <c r="G75" s="2">
        <v>32</v>
      </c>
      <c r="H75" s="2" t="s">
        <v>640</v>
      </c>
      <c r="I75" s="2" t="s">
        <v>623</v>
      </c>
      <c r="J75" s="2" t="s">
        <v>608</v>
      </c>
      <c r="K75" s="5">
        <v>25</v>
      </c>
    </row>
    <row r="76" spans="1:11" hidden="1" x14ac:dyDescent="0.25">
      <c r="A76" s="2" t="s">
        <v>125</v>
      </c>
      <c r="B76" s="2" t="s">
        <v>126</v>
      </c>
      <c r="C76" s="2" t="s">
        <v>132</v>
      </c>
      <c r="D76" s="2" t="s">
        <v>599</v>
      </c>
      <c r="E76" s="2" t="s">
        <v>604</v>
      </c>
      <c r="F76" s="2">
        <v>5</v>
      </c>
      <c r="G76" s="2">
        <v>32</v>
      </c>
      <c r="H76" s="2" t="s">
        <v>640</v>
      </c>
      <c r="I76" s="2" t="s">
        <v>623</v>
      </c>
      <c r="J76" s="2" t="s">
        <v>608</v>
      </c>
      <c r="K76" s="5">
        <v>25</v>
      </c>
    </row>
    <row r="77" spans="1:11" hidden="1" x14ac:dyDescent="0.25">
      <c r="A77" s="2" t="s">
        <v>125</v>
      </c>
      <c r="B77" s="2" t="s">
        <v>126</v>
      </c>
      <c r="C77" s="2" t="s">
        <v>133</v>
      </c>
      <c r="D77" s="2" t="s">
        <v>599</v>
      </c>
      <c r="E77" s="2" t="s">
        <v>604</v>
      </c>
      <c r="F77" s="2">
        <v>5</v>
      </c>
      <c r="G77" s="2">
        <v>32</v>
      </c>
      <c r="H77" s="2" t="s">
        <v>640</v>
      </c>
      <c r="I77" s="2" t="s">
        <v>623</v>
      </c>
      <c r="J77" s="2" t="s">
        <v>608</v>
      </c>
      <c r="K77" s="5">
        <v>25</v>
      </c>
    </row>
    <row r="78" spans="1:11" hidden="1" x14ac:dyDescent="0.25">
      <c r="A78" s="2" t="s">
        <v>125</v>
      </c>
      <c r="B78" s="2" t="s">
        <v>126</v>
      </c>
      <c r="C78" s="2" t="s">
        <v>134</v>
      </c>
      <c r="K78" s="5"/>
    </row>
    <row r="79" spans="1:11" hidden="1" x14ac:dyDescent="0.25">
      <c r="A79" s="2" t="s">
        <v>125</v>
      </c>
      <c r="B79" s="2" t="s">
        <v>126</v>
      </c>
      <c r="C79" s="2" t="s">
        <v>135</v>
      </c>
      <c r="K79" s="5"/>
    </row>
    <row r="80" spans="1:11" hidden="1" x14ac:dyDescent="0.25">
      <c r="A80" s="2" t="s">
        <v>136</v>
      </c>
      <c r="B80" s="2" t="s">
        <v>137</v>
      </c>
      <c r="C80" s="2" t="s">
        <v>138</v>
      </c>
      <c r="D80" s="2" t="s">
        <v>599</v>
      </c>
      <c r="E80" s="2" t="s">
        <v>604</v>
      </c>
      <c r="F80" s="2">
        <v>5</v>
      </c>
      <c r="G80" s="2">
        <v>21</v>
      </c>
      <c r="I80" s="2" t="s">
        <v>623</v>
      </c>
      <c r="J80" s="2" t="s">
        <v>608</v>
      </c>
      <c r="K80" s="5">
        <v>25</v>
      </c>
    </row>
    <row r="81" spans="1:11" hidden="1" x14ac:dyDescent="0.25">
      <c r="A81" s="2" t="s">
        <v>139</v>
      </c>
      <c r="B81" s="2" t="s">
        <v>140</v>
      </c>
      <c r="C81" s="2" t="s">
        <v>141</v>
      </c>
      <c r="D81" s="2" t="s">
        <v>599</v>
      </c>
      <c r="E81" s="2" t="s">
        <v>604</v>
      </c>
      <c r="F81" s="2">
        <v>5</v>
      </c>
      <c r="G81" s="2">
        <v>14</v>
      </c>
      <c r="I81" s="2" t="s">
        <v>623</v>
      </c>
      <c r="J81" s="2" t="s">
        <v>607</v>
      </c>
      <c r="K81" s="5">
        <v>20</v>
      </c>
    </row>
    <row r="82" spans="1:11" hidden="1" x14ac:dyDescent="0.25">
      <c r="A82" s="2" t="s">
        <v>139</v>
      </c>
      <c r="B82" s="2" t="s">
        <v>140</v>
      </c>
      <c r="C82" s="2" t="s">
        <v>142</v>
      </c>
      <c r="D82" s="2" t="s">
        <v>599</v>
      </c>
      <c r="E82" s="2" t="s">
        <v>604</v>
      </c>
      <c r="F82" s="2">
        <v>5</v>
      </c>
      <c r="G82" s="2">
        <v>14</v>
      </c>
      <c r="I82" s="2" t="s">
        <v>623</v>
      </c>
      <c r="J82" s="2" t="s">
        <v>607</v>
      </c>
      <c r="K82" s="5">
        <v>20</v>
      </c>
    </row>
    <row r="83" spans="1:11" hidden="1" x14ac:dyDescent="0.25">
      <c r="A83" s="2" t="s">
        <v>139</v>
      </c>
      <c r="B83" s="2" t="s">
        <v>140</v>
      </c>
      <c r="C83" s="2" t="s">
        <v>143</v>
      </c>
      <c r="D83" s="2" t="s">
        <v>599</v>
      </c>
      <c r="E83" s="2" t="s">
        <v>604</v>
      </c>
      <c r="F83" s="2">
        <v>5</v>
      </c>
      <c r="G83" s="2">
        <v>14</v>
      </c>
      <c r="I83" s="2" t="s">
        <v>623</v>
      </c>
      <c r="J83" s="2" t="s">
        <v>607</v>
      </c>
      <c r="K83" s="5">
        <v>20</v>
      </c>
    </row>
    <row r="84" spans="1:11" hidden="1" x14ac:dyDescent="0.25">
      <c r="A84" s="2" t="s">
        <v>144</v>
      </c>
      <c r="B84" s="2" t="s">
        <v>145</v>
      </c>
      <c r="C84" s="2" t="s">
        <v>146</v>
      </c>
      <c r="D84" s="2" t="s">
        <v>600</v>
      </c>
      <c r="H84" s="2" t="s">
        <v>618</v>
      </c>
      <c r="I84" s="2" t="s">
        <v>621</v>
      </c>
      <c r="J84" s="2" t="s">
        <v>607</v>
      </c>
      <c r="K84" s="5" t="s">
        <v>611</v>
      </c>
    </row>
    <row r="85" spans="1:11" hidden="1" x14ac:dyDescent="0.25">
      <c r="A85" s="2" t="s">
        <v>144</v>
      </c>
      <c r="B85" s="2" t="s">
        <v>145</v>
      </c>
      <c r="C85" s="2" t="s">
        <v>147</v>
      </c>
      <c r="D85" s="2" t="s">
        <v>600</v>
      </c>
      <c r="H85" s="2" t="s">
        <v>618</v>
      </c>
      <c r="I85" s="2" t="s">
        <v>623</v>
      </c>
      <c r="J85" s="2" t="s">
        <v>607</v>
      </c>
      <c r="K85" s="5" t="s">
        <v>611</v>
      </c>
    </row>
    <row r="86" spans="1:11" hidden="1" x14ac:dyDescent="0.25">
      <c r="A86" s="2" t="s">
        <v>144</v>
      </c>
      <c r="B86" s="2" t="s">
        <v>145</v>
      </c>
      <c r="C86" s="2" t="s">
        <v>148</v>
      </c>
      <c r="D86" s="2" t="s">
        <v>600</v>
      </c>
      <c r="H86" s="2" t="s">
        <v>618</v>
      </c>
      <c r="I86" s="2" t="s">
        <v>621</v>
      </c>
      <c r="J86" s="2" t="s">
        <v>607</v>
      </c>
      <c r="K86" s="5" t="s">
        <v>611</v>
      </c>
    </row>
    <row r="87" spans="1:11" hidden="1" x14ac:dyDescent="0.25">
      <c r="A87" s="2" t="s">
        <v>144</v>
      </c>
      <c r="B87" s="2" t="s">
        <v>149</v>
      </c>
      <c r="C87" s="2" t="s">
        <v>150</v>
      </c>
      <c r="D87" s="2" t="s">
        <v>600</v>
      </c>
      <c r="H87" s="2" t="s">
        <v>619</v>
      </c>
      <c r="I87" s="2" t="s">
        <v>621</v>
      </c>
      <c r="J87" s="2" t="s">
        <v>607</v>
      </c>
      <c r="K87" s="5" t="s">
        <v>611</v>
      </c>
    </row>
    <row r="88" spans="1:11" hidden="1" x14ac:dyDescent="0.25">
      <c r="A88" s="2" t="s">
        <v>144</v>
      </c>
      <c r="B88" s="2" t="s">
        <v>151</v>
      </c>
      <c r="C88" s="2" t="s">
        <v>152</v>
      </c>
      <c r="D88" s="2" t="s">
        <v>600</v>
      </c>
      <c r="H88" s="2" t="s">
        <v>619</v>
      </c>
      <c r="I88" s="2" t="s">
        <v>621</v>
      </c>
      <c r="J88" s="2" t="s">
        <v>607</v>
      </c>
      <c r="K88" s="5" t="s">
        <v>611</v>
      </c>
    </row>
    <row r="89" spans="1:11" hidden="1" x14ac:dyDescent="0.25">
      <c r="A89" s="2" t="s">
        <v>144</v>
      </c>
      <c r="B89" s="2" t="s">
        <v>151</v>
      </c>
      <c r="C89" s="2" t="s">
        <v>153</v>
      </c>
      <c r="D89" s="2" t="s">
        <v>600</v>
      </c>
      <c r="H89" s="2" t="s">
        <v>619</v>
      </c>
      <c r="I89" s="2" t="s">
        <v>621</v>
      </c>
      <c r="J89" s="2" t="s">
        <v>607</v>
      </c>
      <c r="K89" s="5" t="s">
        <v>611</v>
      </c>
    </row>
    <row r="90" spans="1:11" hidden="1" x14ac:dyDescent="0.25">
      <c r="A90" s="2" t="s">
        <v>154</v>
      </c>
      <c r="B90" s="2" t="s">
        <v>155</v>
      </c>
      <c r="C90" s="2" t="s">
        <v>156</v>
      </c>
      <c r="D90" s="2" t="s">
        <v>600</v>
      </c>
      <c r="I90" s="2" t="s">
        <v>623</v>
      </c>
      <c r="J90" s="2" t="s">
        <v>606</v>
      </c>
      <c r="K90" s="5">
        <v>15</v>
      </c>
    </row>
    <row r="91" spans="1:11" hidden="1" x14ac:dyDescent="0.25">
      <c r="A91" s="2" t="s">
        <v>157</v>
      </c>
      <c r="B91" s="2" t="s">
        <v>158</v>
      </c>
      <c r="C91" s="2" t="s">
        <v>159</v>
      </c>
      <c r="D91" s="2" t="s">
        <v>600</v>
      </c>
      <c r="I91" s="2" t="s">
        <v>623</v>
      </c>
      <c r="J91" s="2" t="s">
        <v>608</v>
      </c>
      <c r="K91" s="5" t="s">
        <v>611</v>
      </c>
    </row>
    <row r="92" spans="1:11" hidden="1" x14ac:dyDescent="0.25">
      <c r="A92" s="2" t="s">
        <v>157</v>
      </c>
      <c r="B92" s="2" t="s">
        <v>158</v>
      </c>
      <c r="C92" s="2" t="s">
        <v>160</v>
      </c>
      <c r="D92" s="2" t="s">
        <v>600</v>
      </c>
      <c r="I92" s="2" t="s">
        <v>623</v>
      </c>
      <c r="J92" s="2" t="s">
        <v>608</v>
      </c>
      <c r="K92" s="5" t="s">
        <v>611</v>
      </c>
    </row>
    <row r="93" spans="1:11" hidden="1" x14ac:dyDescent="0.25">
      <c r="A93" s="2" t="s">
        <v>161</v>
      </c>
      <c r="B93" s="2" t="s">
        <v>162</v>
      </c>
      <c r="C93" s="2" t="s">
        <v>163</v>
      </c>
      <c r="D93" s="2" t="s">
        <v>600</v>
      </c>
      <c r="I93" s="2" t="s">
        <v>623</v>
      </c>
      <c r="J93" s="2" t="s">
        <v>607</v>
      </c>
      <c r="K93" s="5" t="s">
        <v>612</v>
      </c>
    </row>
    <row r="94" spans="1:11" hidden="1" x14ac:dyDescent="0.25">
      <c r="A94" s="2" t="s">
        <v>164</v>
      </c>
      <c r="B94" s="2" t="s">
        <v>165</v>
      </c>
      <c r="C94" s="2" t="s">
        <v>166</v>
      </c>
      <c r="D94" s="2" t="s">
        <v>599</v>
      </c>
      <c r="E94" s="2" t="s">
        <v>604</v>
      </c>
      <c r="F94" s="2">
        <v>5</v>
      </c>
      <c r="G94" s="2">
        <v>7</v>
      </c>
      <c r="I94" s="2" t="s">
        <v>623</v>
      </c>
      <c r="J94" s="2" t="s">
        <v>608</v>
      </c>
      <c r="K94" s="5" t="s">
        <v>611</v>
      </c>
    </row>
    <row r="95" spans="1:11" hidden="1" x14ac:dyDescent="0.25">
      <c r="A95" s="2" t="s">
        <v>164</v>
      </c>
      <c r="B95" s="2" t="s">
        <v>165</v>
      </c>
      <c r="C95" s="2" t="s">
        <v>167</v>
      </c>
      <c r="K95" s="5"/>
    </row>
    <row r="96" spans="1:11" hidden="1" x14ac:dyDescent="0.25">
      <c r="A96" s="2" t="s">
        <v>168</v>
      </c>
      <c r="B96" s="2" t="s">
        <v>169</v>
      </c>
      <c r="C96" s="2" t="s">
        <v>170</v>
      </c>
      <c r="D96" s="2" t="s">
        <v>599</v>
      </c>
      <c r="E96" s="2" t="s">
        <v>604</v>
      </c>
      <c r="F96" s="2">
        <v>5</v>
      </c>
      <c r="G96" s="2">
        <v>21</v>
      </c>
      <c r="I96" s="2" t="s">
        <v>623</v>
      </c>
      <c r="J96" s="2" t="s">
        <v>606</v>
      </c>
      <c r="K96" s="5" t="s">
        <v>611</v>
      </c>
    </row>
    <row r="97" spans="1:11" hidden="1" x14ac:dyDescent="0.25">
      <c r="A97" s="2" t="s">
        <v>168</v>
      </c>
      <c r="B97" s="2" t="s">
        <v>169</v>
      </c>
      <c r="C97" s="2" t="s">
        <v>171</v>
      </c>
      <c r="D97" s="2" t="s">
        <v>599</v>
      </c>
      <c r="E97" s="2" t="s">
        <v>604</v>
      </c>
      <c r="F97" s="2">
        <v>5</v>
      </c>
      <c r="G97" s="2">
        <v>21</v>
      </c>
      <c r="I97" s="2" t="s">
        <v>623</v>
      </c>
      <c r="J97" s="2" t="s">
        <v>606</v>
      </c>
      <c r="K97" s="5" t="s">
        <v>611</v>
      </c>
    </row>
    <row r="98" spans="1:11" hidden="1" x14ac:dyDescent="0.25">
      <c r="A98" s="2" t="s">
        <v>168</v>
      </c>
      <c r="B98" s="2" t="s">
        <v>172</v>
      </c>
      <c r="C98" s="2" t="s">
        <v>173</v>
      </c>
      <c r="D98" s="2" t="s">
        <v>600</v>
      </c>
      <c r="I98" s="2" t="s">
        <v>623</v>
      </c>
      <c r="J98" s="2" t="s">
        <v>606</v>
      </c>
      <c r="K98" s="5" t="s">
        <v>611</v>
      </c>
    </row>
    <row r="99" spans="1:11" hidden="1" x14ac:dyDescent="0.25">
      <c r="A99" s="2" t="s">
        <v>168</v>
      </c>
      <c r="B99" s="2" t="s">
        <v>174</v>
      </c>
      <c r="C99" s="2" t="s">
        <v>175</v>
      </c>
      <c r="D99" s="2" t="s">
        <v>599</v>
      </c>
      <c r="E99" s="2" t="s">
        <v>604</v>
      </c>
      <c r="F99" s="2">
        <v>5</v>
      </c>
      <c r="G99" s="2">
        <v>21</v>
      </c>
      <c r="I99" s="2" t="s">
        <v>623</v>
      </c>
      <c r="J99" s="2" t="s">
        <v>606</v>
      </c>
      <c r="K99" s="5" t="s">
        <v>611</v>
      </c>
    </row>
    <row r="100" spans="1:11" hidden="1" x14ac:dyDescent="0.25">
      <c r="A100" s="2" t="s">
        <v>176</v>
      </c>
      <c r="B100" s="2" t="s">
        <v>177</v>
      </c>
      <c r="C100" s="2" t="s">
        <v>178</v>
      </c>
      <c r="D100" s="2" t="s">
        <v>599</v>
      </c>
      <c r="E100" s="2" t="s">
        <v>604</v>
      </c>
      <c r="F100" s="2">
        <v>5</v>
      </c>
      <c r="G100" s="2">
        <v>30</v>
      </c>
      <c r="I100" s="2" t="s">
        <v>623</v>
      </c>
      <c r="J100" s="2" t="s">
        <v>606</v>
      </c>
      <c r="K100" s="5" t="s">
        <v>612</v>
      </c>
    </row>
    <row r="101" spans="1:11" hidden="1" x14ac:dyDescent="0.25">
      <c r="A101" s="2" t="s">
        <v>176</v>
      </c>
      <c r="B101" s="2" t="s">
        <v>177</v>
      </c>
      <c r="C101" s="2" t="s">
        <v>179</v>
      </c>
      <c r="K101" s="5"/>
    </row>
    <row r="102" spans="1:11" hidden="1" x14ac:dyDescent="0.25">
      <c r="A102" s="2" t="s">
        <v>176</v>
      </c>
      <c r="B102" s="2" t="s">
        <v>177</v>
      </c>
      <c r="C102" s="2" t="s">
        <v>180</v>
      </c>
      <c r="D102" s="2" t="s">
        <v>599</v>
      </c>
      <c r="E102" s="2" t="s">
        <v>604</v>
      </c>
      <c r="F102" s="2">
        <v>5</v>
      </c>
      <c r="G102" s="2">
        <v>30</v>
      </c>
      <c r="I102" s="2" t="s">
        <v>623</v>
      </c>
      <c r="J102" s="2" t="s">
        <v>606</v>
      </c>
      <c r="K102" s="5" t="s">
        <v>612</v>
      </c>
    </row>
    <row r="103" spans="1:11" hidden="1" x14ac:dyDescent="0.25">
      <c r="A103" s="2" t="s">
        <v>176</v>
      </c>
      <c r="B103" s="2" t="s">
        <v>177</v>
      </c>
      <c r="C103" s="2" t="s">
        <v>181</v>
      </c>
      <c r="D103" s="2" t="s">
        <v>599</v>
      </c>
      <c r="E103" s="2" t="s">
        <v>604</v>
      </c>
      <c r="F103" s="2">
        <v>5</v>
      </c>
      <c r="G103" s="2">
        <v>30</v>
      </c>
      <c r="I103" s="2" t="s">
        <v>623</v>
      </c>
      <c r="J103" s="2" t="s">
        <v>606</v>
      </c>
      <c r="K103" s="5" t="s">
        <v>612</v>
      </c>
    </row>
    <row r="104" spans="1:11" hidden="1" x14ac:dyDescent="0.25">
      <c r="A104" s="2" t="s">
        <v>182</v>
      </c>
      <c r="B104" s="2" t="s">
        <v>75</v>
      </c>
      <c r="C104" s="2" t="s">
        <v>183</v>
      </c>
      <c r="D104" s="2" t="s">
        <v>600</v>
      </c>
      <c r="I104" s="2" t="s">
        <v>623</v>
      </c>
      <c r="J104" s="2" t="s">
        <v>606</v>
      </c>
      <c r="K104" s="5" t="s">
        <v>611</v>
      </c>
    </row>
    <row r="105" spans="1:11" hidden="1" x14ac:dyDescent="0.25">
      <c r="A105" s="2" t="s">
        <v>182</v>
      </c>
      <c r="B105" s="2" t="s">
        <v>75</v>
      </c>
      <c r="C105" s="2" t="s">
        <v>184</v>
      </c>
      <c r="D105" s="2" t="s">
        <v>600</v>
      </c>
      <c r="I105" s="2" t="s">
        <v>623</v>
      </c>
      <c r="J105" s="2" t="s">
        <v>606</v>
      </c>
      <c r="K105" s="5" t="s">
        <v>611</v>
      </c>
    </row>
    <row r="106" spans="1:11" hidden="1" x14ac:dyDescent="0.25">
      <c r="A106" s="2" t="s">
        <v>182</v>
      </c>
      <c r="B106" s="2" t="s">
        <v>185</v>
      </c>
      <c r="C106" s="2" t="s">
        <v>186</v>
      </c>
      <c r="D106" s="2" t="s">
        <v>600</v>
      </c>
      <c r="I106" s="2" t="s">
        <v>623</v>
      </c>
      <c r="J106" s="2" t="s">
        <v>606</v>
      </c>
      <c r="K106" s="5" t="s">
        <v>611</v>
      </c>
    </row>
    <row r="107" spans="1:11" hidden="1" x14ac:dyDescent="0.25">
      <c r="A107" s="2" t="s">
        <v>182</v>
      </c>
      <c r="B107" s="2" t="s">
        <v>185</v>
      </c>
      <c r="C107" s="2" t="s">
        <v>187</v>
      </c>
      <c r="D107" s="2" t="s">
        <v>600</v>
      </c>
      <c r="I107" s="2" t="s">
        <v>623</v>
      </c>
      <c r="J107" s="2" t="s">
        <v>606</v>
      </c>
      <c r="K107" s="5" t="s">
        <v>611</v>
      </c>
    </row>
    <row r="108" spans="1:11" hidden="1" x14ac:dyDescent="0.25">
      <c r="A108" s="2" t="s">
        <v>182</v>
      </c>
      <c r="B108" s="2" t="s">
        <v>185</v>
      </c>
      <c r="C108" s="2" t="s">
        <v>188</v>
      </c>
      <c r="D108" s="2" t="s">
        <v>600</v>
      </c>
      <c r="I108" s="2" t="s">
        <v>623</v>
      </c>
      <c r="J108" s="2" t="s">
        <v>606</v>
      </c>
      <c r="K108" s="5" t="s">
        <v>611</v>
      </c>
    </row>
    <row r="109" spans="1:11" hidden="1" x14ac:dyDescent="0.25">
      <c r="A109" s="2" t="s">
        <v>182</v>
      </c>
      <c r="B109" s="2" t="s">
        <v>185</v>
      </c>
      <c r="C109" s="2" t="s">
        <v>189</v>
      </c>
      <c r="D109" s="2" t="s">
        <v>600</v>
      </c>
      <c r="I109" s="2" t="s">
        <v>623</v>
      </c>
      <c r="J109" s="2" t="s">
        <v>606</v>
      </c>
      <c r="K109" s="5" t="s">
        <v>611</v>
      </c>
    </row>
    <row r="110" spans="1:11" hidden="1" x14ac:dyDescent="0.25">
      <c r="A110" s="2" t="s">
        <v>182</v>
      </c>
      <c r="B110" s="2" t="s">
        <v>185</v>
      </c>
      <c r="C110" s="2" t="s">
        <v>190</v>
      </c>
      <c r="D110" s="2" t="s">
        <v>600</v>
      </c>
      <c r="I110" s="2" t="s">
        <v>623</v>
      </c>
      <c r="J110" s="2" t="s">
        <v>606</v>
      </c>
      <c r="K110" s="5" t="s">
        <v>611</v>
      </c>
    </row>
    <row r="111" spans="1:11" hidden="1" x14ac:dyDescent="0.25">
      <c r="A111" s="2" t="s">
        <v>182</v>
      </c>
      <c r="B111" s="2" t="s">
        <v>185</v>
      </c>
      <c r="C111" s="2" t="s">
        <v>191</v>
      </c>
      <c r="D111" s="2" t="s">
        <v>600</v>
      </c>
      <c r="I111" s="2" t="s">
        <v>623</v>
      </c>
      <c r="J111" s="2" t="s">
        <v>606</v>
      </c>
      <c r="K111" s="5" t="s">
        <v>611</v>
      </c>
    </row>
    <row r="112" spans="1:11" hidden="1" x14ac:dyDescent="0.25">
      <c r="A112" s="2" t="s">
        <v>182</v>
      </c>
      <c r="B112" s="2" t="s">
        <v>185</v>
      </c>
      <c r="C112" s="2" t="s">
        <v>192</v>
      </c>
      <c r="D112" s="2" t="s">
        <v>600</v>
      </c>
      <c r="I112" s="2" t="s">
        <v>623</v>
      </c>
      <c r="J112" s="2" t="s">
        <v>606</v>
      </c>
      <c r="K112" s="5" t="s">
        <v>611</v>
      </c>
    </row>
    <row r="113" spans="1:11" hidden="1" x14ac:dyDescent="0.25">
      <c r="A113" s="2" t="s">
        <v>182</v>
      </c>
      <c r="B113" s="2" t="s">
        <v>185</v>
      </c>
      <c r="C113" s="2" t="s">
        <v>193</v>
      </c>
      <c r="D113" s="2" t="s">
        <v>600</v>
      </c>
      <c r="I113" s="2" t="s">
        <v>623</v>
      </c>
      <c r="J113" s="2" t="s">
        <v>606</v>
      </c>
      <c r="K113" s="5" t="s">
        <v>611</v>
      </c>
    </row>
    <row r="114" spans="1:11" hidden="1" x14ac:dyDescent="0.25">
      <c r="A114" s="2" t="s">
        <v>182</v>
      </c>
      <c r="B114" s="2" t="s">
        <v>185</v>
      </c>
      <c r="C114" s="2" t="s">
        <v>194</v>
      </c>
      <c r="D114" s="2" t="s">
        <v>600</v>
      </c>
      <c r="I114" s="2" t="s">
        <v>623</v>
      </c>
      <c r="J114" s="2" t="s">
        <v>606</v>
      </c>
      <c r="K114" s="5" t="s">
        <v>611</v>
      </c>
    </row>
    <row r="115" spans="1:11" hidden="1" x14ac:dyDescent="0.25">
      <c r="A115" s="2" t="s">
        <v>195</v>
      </c>
      <c r="B115" s="2" t="s">
        <v>196</v>
      </c>
      <c r="C115" s="2" t="s">
        <v>197</v>
      </c>
      <c r="D115" s="2" t="s">
        <v>599</v>
      </c>
      <c r="E115" s="2" t="s">
        <v>604</v>
      </c>
      <c r="F115" s="2">
        <v>5</v>
      </c>
      <c r="G115" s="2">
        <v>14</v>
      </c>
      <c r="I115" s="2" t="s">
        <v>623</v>
      </c>
      <c r="J115" s="2" t="s">
        <v>606</v>
      </c>
      <c r="K115" s="5" t="s">
        <v>611</v>
      </c>
    </row>
    <row r="116" spans="1:11" hidden="1" x14ac:dyDescent="0.25">
      <c r="A116" s="2" t="s">
        <v>195</v>
      </c>
      <c r="B116" s="2" t="s">
        <v>196</v>
      </c>
      <c r="C116" s="2" t="s">
        <v>198</v>
      </c>
      <c r="D116" s="2" t="s">
        <v>599</v>
      </c>
      <c r="E116" s="2" t="s">
        <v>604</v>
      </c>
      <c r="F116" s="2">
        <v>5</v>
      </c>
      <c r="G116" s="2">
        <v>14</v>
      </c>
      <c r="I116" s="2" t="s">
        <v>623</v>
      </c>
      <c r="J116" s="2" t="s">
        <v>606</v>
      </c>
      <c r="K116" s="5" t="s">
        <v>611</v>
      </c>
    </row>
    <row r="117" spans="1:11" hidden="1" x14ac:dyDescent="0.25">
      <c r="A117" s="2" t="s">
        <v>199</v>
      </c>
      <c r="B117" s="2" t="s">
        <v>200</v>
      </c>
      <c r="C117" s="2" t="s">
        <v>201</v>
      </c>
      <c r="D117" s="2" t="s">
        <v>599</v>
      </c>
      <c r="E117" s="2" t="s">
        <v>604</v>
      </c>
      <c r="F117" s="2">
        <v>5</v>
      </c>
      <c r="G117" s="2">
        <v>14</v>
      </c>
      <c r="I117" s="2" t="s">
        <v>623</v>
      </c>
      <c r="J117" s="2" t="s">
        <v>607</v>
      </c>
      <c r="K117" s="5" t="s">
        <v>612</v>
      </c>
    </row>
    <row r="118" spans="1:11" hidden="1" x14ac:dyDescent="0.25">
      <c r="A118" s="2" t="s">
        <v>199</v>
      </c>
      <c r="B118" s="2" t="s">
        <v>202</v>
      </c>
      <c r="C118" s="2" t="s">
        <v>203</v>
      </c>
      <c r="D118" s="2" t="s">
        <v>599</v>
      </c>
      <c r="E118" s="2" t="s">
        <v>604</v>
      </c>
      <c r="F118" s="2">
        <v>5</v>
      </c>
      <c r="G118" s="2">
        <v>14</v>
      </c>
      <c r="I118" s="2" t="s">
        <v>623</v>
      </c>
      <c r="J118" s="2" t="s">
        <v>607</v>
      </c>
      <c r="K118" s="5" t="s">
        <v>612</v>
      </c>
    </row>
    <row r="119" spans="1:11" hidden="1" x14ac:dyDescent="0.25">
      <c r="A119" s="2" t="s">
        <v>199</v>
      </c>
      <c r="B119" s="2" t="s">
        <v>204</v>
      </c>
      <c r="C119" s="2" t="s">
        <v>205</v>
      </c>
      <c r="D119" s="2" t="s">
        <v>599</v>
      </c>
      <c r="E119" s="2" t="s">
        <v>604</v>
      </c>
      <c r="F119" s="2">
        <v>5</v>
      </c>
      <c r="G119" s="2">
        <v>14</v>
      </c>
      <c r="I119" s="2" t="s">
        <v>623</v>
      </c>
      <c r="J119" s="2" t="s">
        <v>607</v>
      </c>
      <c r="K119" s="5" t="s">
        <v>612</v>
      </c>
    </row>
    <row r="120" spans="1:11" hidden="1" x14ac:dyDescent="0.25">
      <c r="A120" s="2" t="s">
        <v>199</v>
      </c>
      <c r="B120" s="2" t="s">
        <v>204</v>
      </c>
      <c r="C120" s="2" t="s">
        <v>206</v>
      </c>
      <c r="D120" s="2" t="s">
        <v>599</v>
      </c>
      <c r="E120" s="2" t="s">
        <v>604</v>
      </c>
      <c r="F120" s="2">
        <v>5</v>
      </c>
      <c r="G120" s="2">
        <v>14</v>
      </c>
      <c r="I120" s="2" t="s">
        <v>623</v>
      </c>
      <c r="J120" s="2" t="s">
        <v>607</v>
      </c>
      <c r="K120" s="5" t="s">
        <v>612</v>
      </c>
    </row>
    <row r="121" spans="1:11" hidden="1" x14ac:dyDescent="0.25">
      <c r="A121" s="2" t="s">
        <v>199</v>
      </c>
      <c r="B121" s="2" t="s">
        <v>204</v>
      </c>
      <c r="C121" s="2" t="s">
        <v>207</v>
      </c>
      <c r="D121" s="2" t="s">
        <v>599</v>
      </c>
      <c r="E121" s="2" t="s">
        <v>604</v>
      </c>
      <c r="F121" s="2">
        <v>5</v>
      </c>
      <c r="G121" s="2">
        <v>14</v>
      </c>
      <c r="I121" s="2" t="s">
        <v>623</v>
      </c>
      <c r="J121" s="2" t="s">
        <v>607</v>
      </c>
      <c r="K121" s="5" t="s">
        <v>612</v>
      </c>
    </row>
    <row r="122" spans="1:11" hidden="1" x14ac:dyDescent="0.25">
      <c r="A122" s="2" t="s">
        <v>199</v>
      </c>
      <c r="B122" s="2" t="s">
        <v>204</v>
      </c>
      <c r="C122" s="2" t="s">
        <v>208</v>
      </c>
      <c r="D122" s="2" t="s">
        <v>599</v>
      </c>
      <c r="E122" s="2" t="s">
        <v>604</v>
      </c>
      <c r="F122" s="2">
        <v>5</v>
      </c>
      <c r="G122" s="2">
        <v>14</v>
      </c>
      <c r="I122" s="2" t="s">
        <v>623</v>
      </c>
      <c r="J122" s="2" t="s">
        <v>607</v>
      </c>
      <c r="K122" s="5" t="s">
        <v>612</v>
      </c>
    </row>
    <row r="123" spans="1:11" hidden="1" x14ac:dyDescent="0.25">
      <c r="A123" s="2" t="s">
        <v>199</v>
      </c>
      <c r="B123" s="2" t="s">
        <v>204</v>
      </c>
      <c r="C123" s="2" t="s">
        <v>209</v>
      </c>
      <c r="D123" s="2" t="s">
        <v>599</v>
      </c>
      <c r="E123" s="2" t="s">
        <v>604</v>
      </c>
      <c r="F123" s="2">
        <v>5</v>
      </c>
      <c r="G123" s="2">
        <v>14</v>
      </c>
      <c r="I123" s="2" t="s">
        <v>623</v>
      </c>
      <c r="J123" s="2" t="s">
        <v>607</v>
      </c>
      <c r="K123" s="5" t="s">
        <v>612</v>
      </c>
    </row>
    <row r="124" spans="1:11" hidden="1" x14ac:dyDescent="0.25">
      <c r="A124" s="2" t="s">
        <v>210</v>
      </c>
      <c r="B124" s="2" t="s">
        <v>211</v>
      </c>
      <c r="C124" s="2" t="s">
        <v>212</v>
      </c>
      <c r="D124" s="2" t="s">
        <v>599</v>
      </c>
      <c r="E124" s="2" t="s">
        <v>604</v>
      </c>
      <c r="F124" s="2">
        <v>5</v>
      </c>
      <c r="G124" s="2">
        <v>45</v>
      </c>
      <c r="I124" s="2" t="s">
        <v>623</v>
      </c>
      <c r="J124" s="2" t="s">
        <v>608</v>
      </c>
      <c r="K124" s="5">
        <v>20</v>
      </c>
    </row>
    <row r="125" spans="1:11" hidden="1" x14ac:dyDescent="0.25">
      <c r="A125" s="2" t="s">
        <v>210</v>
      </c>
      <c r="B125" s="2" t="s">
        <v>211</v>
      </c>
      <c r="C125" s="2" t="s">
        <v>213</v>
      </c>
      <c r="D125" s="2" t="s">
        <v>599</v>
      </c>
      <c r="E125" s="2" t="s">
        <v>604</v>
      </c>
      <c r="F125" s="2">
        <v>5</v>
      </c>
      <c r="G125" s="2">
        <v>45</v>
      </c>
      <c r="I125" s="2" t="s">
        <v>623</v>
      </c>
      <c r="J125" s="2" t="s">
        <v>608</v>
      </c>
      <c r="K125" s="5">
        <v>20</v>
      </c>
    </row>
    <row r="126" spans="1:11" hidden="1" x14ac:dyDescent="0.25">
      <c r="A126" s="2" t="s">
        <v>214</v>
      </c>
      <c r="B126" s="2" t="s">
        <v>215</v>
      </c>
      <c r="C126" s="2" t="s">
        <v>216</v>
      </c>
      <c r="K126" s="5"/>
    </row>
    <row r="127" spans="1:11" hidden="1" x14ac:dyDescent="0.25">
      <c r="A127" s="2" t="s">
        <v>217</v>
      </c>
      <c r="B127" s="2" t="s">
        <v>218</v>
      </c>
      <c r="C127" s="2" t="s">
        <v>219</v>
      </c>
      <c r="D127" s="2" t="s">
        <v>599</v>
      </c>
      <c r="E127" s="2" t="s">
        <v>604</v>
      </c>
      <c r="F127" s="2">
        <v>5</v>
      </c>
      <c r="G127" s="2">
        <v>30</v>
      </c>
      <c r="I127" s="2" t="s">
        <v>623</v>
      </c>
      <c r="J127" s="2" t="s">
        <v>608</v>
      </c>
      <c r="K127" s="5" t="s">
        <v>612</v>
      </c>
    </row>
    <row r="128" spans="1:11" hidden="1" x14ac:dyDescent="0.25">
      <c r="A128" s="2" t="s">
        <v>217</v>
      </c>
      <c r="B128" s="2" t="s">
        <v>218</v>
      </c>
      <c r="C128" s="2" t="s">
        <v>220</v>
      </c>
      <c r="D128" s="2" t="s">
        <v>599</v>
      </c>
      <c r="E128" s="2" t="s">
        <v>604</v>
      </c>
      <c r="F128" s="2">
        <v>5</v>
      </c>
      <c r="G128" s="2">
        <v>30</v>
      </c>
      <c r="I128" s="2" t="s">
        <v>623</v>
      </c>
      <c r="J128" s="2" t="s">
        <v>608</v>
      </c>
      <c r="K128" s="5" t="s">
        <v>612</v>
      </c>
    </row>
    <row r="129" spans="1:11" hidden="1" x14ac:dyDescent="0.25">
      <c r="A129" s="2" t="s">
        <v>217</v>
      </c>
      <c r="B129" s="2" t="s">
        <v>218</v>
      </c>
      <c r="C129" s="2" t="s">
        <v>221</v>
      </c>
      <c r="D129" s="2" t="s">
        <v>599</v>
      </c>
      <c r="E129" s="2" t="s">
        <v>604</v>
      </c>
      <c r="F129" s="2">
        <v>5</v>
      </c>
      <c r="G129" s="2">
        <v>14</v>
      </c>
      <c r="I129" s="2" t="s">
        <v>629</v>
      </c>
      <c r="J129" s="2" t="s">
        <v>608</v>
      </c>
      <c r="K129" s="5" t="s">
        <v>612</v>
      </c>
    </row>
    <row r="130" spans="1:11" hidden="1" x14ac:dyDescent="0.25">
      <c r="A130" s="2" t="s">
        <v>222</v>
      </c>
      <c r="B130" s="2" t="s">
        <v>223</v>
      </c>
      <c r="C130" s="2" t="s">
        <v>224</v>
      </c>
      <c r="D130" s="2" t="s">
        <v>599</v>
      </c>
      <c r="E130" s="2" t="s">
        <v>604</v>
      </c>
      <c r="F130" s="2">
        <v>5</v>
      </c>
      <c r="G130" s="2">
        <v>21</v>
      </c>
      <c r="I130" s="2" t="s">
        <v>623</v>
      </c>
      <c r="J130" s="2" t="s">
        <v>606</v>
      </c>
      <c r="K130" s="5">
        <v>20</v>
      </c>
    </row>
    <row r="131" spans="1:11" hidden="1" x14ac:dyDescent="0.25">
      <c r="A131" s="2" t="s">
        <v>225</v>
      </c>
      <c r="B131" s="2" t="s">
        <v>226</v>
      </c>
      <c r="C131" s="2" t="s">
        <v>227</v>
      </c>
      <c r="D131" s="2" t="s">
        <v>600</v>
      </c>
      <c r="H131" s="2" t="s">
        <v>620</v>
      </c>
      <c r="I131" s="2" t="s">
        <v>628</v>
      </c>
      <c r="J131" s="2" t="s">
        <v>606</v>
      </c>
      <c r="K131" s="5" t="s">
        <v>611</v>
      </c>
    </row>
    <row r="132" spans="1:11" hidden="1" x14ac:dyDescent="0.25">
      <c r="A132" s="2" t="s">
        <v>225</v>
      </c>
      <c r="B132" s="2" t="s">
        <v>226</v>
      </c>
      <c r="C132" s="2" t="s">
        <v>228</v>
      </c>
      <c r="K132" s="5"/>
    </row>
    <row r="133" spans="1:11" hidden="1" x14ac:dyDescent="0.25">
      <c r="A133" s="2" t="s">
        <v>225</v>
      </c>
      <c r="B133" s="2" t="s">
        <v>226</v>
      </c>
      <c r="C133" s="2" t="s">
        <v>229</v>
      </c>
      <c r="D133" s="2" t="s">
        <v>600</v>
      </c>
      <c r="H133" s="2" t="s">
        <v>620</v>
      </c>
      <c r="I133" s="2" t="s">
        <v>628</v>
      </c>
      <c r="J133" s="2" t="s">
        <v>606</v>
      </c>
      <c r="K133" s="5" t="s">
        <v>611</v>
      </c>
    </row>
    <row r="134" spans="1:11" hidden="1" x14ac:dyDescent="0.25">
      <c r="A134" s="2" t="s">
        <v>230</v>
      </c>
      <c r="B134" s="2" t="s">
        <v>231</v>
      </c>
      <c r="C134" s="2" t="s">
        <v>232</v>
      </c>
      <c r="D134" s="2" t="s">
        <v>600</v>
      </c>
      <c r="I134" s="2" t="s">
        <v>623</v>
      </c>
      <c r="J134" s="2" t="s">
        <v>606</v>
      </c>
      <c r="K134" s="5">
        <v>15</v>
      </c>
    </row>
    <row r="135" spans="1:11" hidden="1" x14ac:dyDescent="0.25">
      <c r="A135" s="2" t="s">
        <v>233</v>
      </c>
      <c r="B135" s="2" t="s">
        <v>234</v>
      </c>
      <c r="C135" s="2" t="s">
        <v>235</v>
      </c>
      <c r="D135" s="2" t="s">
        <v>599</v>
      </c>
      <c r="E135" s="2" t="s">
        <v>604</v>
      </c>
      <c r="F135" s="2">
        <v>5</v>
      </c>
      <c r="G135" s="2">
        <v>21</v>
      </c>
      <c r="I135" s="2" t="s">
        <v>623</v>
      </c>
      <c r="J135" s="2" t="s">
        <v>606</v>
      </c>
      <c r="K135" s="5">
        <v>25</v>
      </c>
    </row>
    <row r="136" spans="1:11" hidden="1" x14ac:dyDescent="0.25">
      <c r="A136" s="2" t="s">
        <v>233</v>
      </c>
      <c r="B136" s="2" t="s">
        <v>236</v>
      </c>
      <c r="C136" s="2" t="s">
        <v>237</v>
      </c>
      <c r="D136" s="2" t="s">
        <v>599</v>
      </c>
      <c r="E136" s="2" t="s">
        <v>604</v>
      </c>
      <c r="F136" s="2">
        <v>5</v>
      </c>
      <c r="G136" s="2">
        <v>21</v>
      </c>
      <c r="I136" s="2" t="s">
        <v>623</v>
      </c>
      <c r="J136" s="2" t="s">
        <v>606</v>
      </c>
      <c r="K136" s="5">
        <v>25</v>
      </c>
    </row>
    <row r="137" spans="1:11" hidden="1" x14ac:dyDescent="0.25">
      <c r="A137" s="2" t="s">
        <v>233</v>
      </c>
      <c r="B137" s="2" t="s">
        <v>236</v>
      </c>
      <c r="C137" s="2" t="s">
        <v>238</v>
      </c>
      <c r="D137" s="2" t="s">
        <v>599</v>
      </c>
      <c r="E137" s="2" t="s">
        <v>604</v>
      </c>
      <c r="F137" s="2">
        <v>5</v>
      </c>
      <c r="G137" s="2">
        <v>21</v>
      </c>
      <c r="I137" s="2" t="s">
        <v>623</v>
      </c>
      <c r="J137" s="2" t="s">
        <v>606</v>
      </c>
      <c r="K137" s="5">
        <v>25</v>
      </c>
    </row>
    <row r="138" spans="1:11" hidden="1" x14ac:dyDescent="0.25">
      <c r="A138" s="2" t="s">
        <v>233</v>
      </c>
      <c r="B138" s="2" t="s">
        <v>236</v>
      </c>
      <c r="C138" s="2" t="s">
        <v>239</v>
      </c>
      <c r="D138" s="2" t="s">
        <v>599</v>
      </c>
      <c r="E138" s="2" t="s">
        <v>604</v>
      </c>
      <c r="F138" s="2">
        <v>5</v>
      </c>
      <c r="G138" s="2">
        <v>21</v>
      </c>
      <c r="I138" s="2" t="s">
        <v>623</v>
      </c>
      <c r="J138" s="2" t="s">
        <v>606</v>
      </c>
      <c r="K138" s="5">
        <v>25</v>
      </c>
    </row>
    <row r="139" spans="1:11" hidden="1" x14ac:dyDescent="0.25">
      <c r="A139" s="2" t="s">
        <v>233</v>
      </c>
      <c r="B139" s="2" t="s">
        <v>236</v>
      </c>
      <c r="C139" s="2" t="s">
        <v>240</v>
      </c>
      <c r="D139" s="2" t="s">
        <v>599</v>
      </c>
      <c r="E139" s="2" t="s">
        <v>604</v>
      </c>
      <c r="F139" s="2">
        <v>5</v>
      </c>
      <c r="G139" s="2">
        <v>21</v>
      </c>
      <c r="I139" s="2" t="s">
        <v>623</v>
      </c>
      <c r="J139" s="2" t="s">
        <v>606</v>
      </c>
      <c r="K139" s="5">
        <v>25</v>
      </c>
    </row>
    <row r="140" spans="1:11" hidden="1" x14ac:dyDescent="0.25">
      <c r="A140" s="2" t="s">
        <v>233</v>
      </c>
      <c r="B140" s="2" t="s">
        <v>236</v>
      </c>
      <c r="C140" s="2" t="s">
        <v>241</v>
      </c>
      <c r="D140" s="2" t="s">
        <v>599</v>
      </c>
      <c r="E140" s="2" t="s">
        <v>604</v>
      </c>
      <c r="F140" s="2">
        <v>5</v>
      </c>
      <c r="G140" s="2">
        <v>21</v>
      </c>
      <c r="I140" s="2" t="s">
        <v>623</v>
      </c>
      <c r="J140" s="2" t="s">
        <v>606</v>
      </c>
      <c r="K140" s="5">
        <v>25</v>
      </c>
    </row>
    <row r="141" spans="1:11" hidden="1" x14ac:dyDescent="0.25">
      <c r="A141" s="2" t="s">
        <v>233</v>
      </c>
      <c r="B141" s="2" t="s">
        <v>236</v>
      </c>
      <c r="C141" s="2" t="s">
        <v>242</v>
      </c>
      <c r="D141" s="2" t="s">
        <v>599</v>
      </c>
      <c r="E141" s="2" t="s">
        <v>604</v>
      </c>
      <c r="F141" s="2">
        <v>5</v>
      </c>
      <c r="G141" s="2">
        <v>21</v>
      </c>
      <c r="I141" s="2" t="s">
        <v>623</v>
      </c>
      <c r="J141" s="2" t="s">
        <v>606</v>
      </c>
      <c r="K141" s="5">
        <v>25</v>
      </c>
    </row>
    <row r="142" spans="1:11" hidden="1" x14ac:dyDescent="0.25">
      <c r="A142" s="2" t="s">
        <v>243</v>
      </c>
      <c r="B142" s="2" t="s">
        <v>244</v>
      </c>
      <c r="C142" s="2" t="s">
        <v>245</v>
      </c>
      <c r="D142" s="2" t="s">
        <v>599</v>
      </c>
      <c r="E142" s="2" t="s">
        <v>604</v>
      </c>
      <c r="F142" s="2">
        <v>5</v>
      </c>
      <c r="G142" s="2">
        <v>30</v>
      </c>
      <c r="I142" s="2" t="s">
        <v>623</v>
      </c>
      <c r="J142" s="2" t="s">
        <v>606</v>
      </c>
      <c r="K142" s="5" t="s">
        <v>612</v>
      </c>
    </row>
    <row r="143" spans="1:11" hidden="1" x14ac:dyDescent="0.25">
      <c r="A143" s="2" t="s">
        <v>246</v>
      </c>
      <c r="B143" s="2" t="s">
        <v>247</v>
      </c>
      <c r="C143" s="2" t="s">
        <v>248</v>
      </c>
      <c r="D143" s="2" t="s">
        <v>599</v>
      </c>
      <c r="E143" s="2" t="s">
        <v>604</v>
      </c>
      <c r="F143" s="2">
        <v>5</v>
      </c>
      <c r="G143" s="2">
        <v>14</v>
      </c>
      <c r="H143" s="2" t="s">
        <v>641</v>
      </c>
      <c r="I143" s="2" t="s">
        <v>623</v>
      </c>
      <c r="J143" s="2" t="s">
        <v>606</v>
      </c>
      <c r="K143" s="5" t="s">
        <v>612</v>
      </c>
    </row>
    <row r="144" spans="1:11" hidden="1" x14ac:dyDescent="0.25">
      <c r="A144" s="2" t="s">
        <v>246</v>
      </c>
      <c r="B144" s="2" t="s">
        <v>247</v>
      </c>
      <c r="C144" s="2" t="s">
        <v>249</v>
      </c>
      <c r="D144" s="2" t="s">
        <v>599</v>
      </c>
      <c r="E144" s="2" t="s">
        <v>604</v>
      </c>
      <c r="F144" s="2">
        <v>5</v>
      </c>
      <c r="G144" s="2">
        <v>14</v>
      </c>
      <c r="H144" s="2" t="s">
        <v>641</v>
      </c>
      <c r="I144" s="2" t="s">
        <v>623</v>
      </c>
      <c r="J144" s="2" t="s">
        <v>606</v>
      </c>
      <c r="K144" s="5" t="s">
        <v>612</v>
      </c>
    </row>
    <row r="145" spans="1:11" hidden="1" x14ac:dyDescent="0.25">
      <c r="A145" s="2" t="s">
        <v>246</v>
      </c>
      <c r="B145" s="2" t="s">
        <v>250</v>
      </c>
      <c r="C145" s="2" t="s">
        <v>251</v>
      </c>
      <c r="D145" s="2" t="s">
        <v>599</v>
      </c>
      <c r="E145" s="2" t="s">
        <v>604</v>
      </c>
      <c r="F145" s="2">
        <v>5</v>
      </c>
      <c r="G145" s="2">
        <v>14</v>
      </c>
      <c r="H145" s="2" t="s">
        <v>641</v>
      </c>
      <c r="I145" s="2" t="s">
        <v>623</v>
      </c>
      <c r="J145" s="2" t="s">
        <v>606</v>
      </c>
      <c r="K145" s="5" t="s">
        <v>612</v>
      </c>
    </row>
    <row r="146" spans="1:11" hidden="1" x14ac:dyDescent="0.25">
      <c r="A146" s="2" t="s">
        <v>246</v>
      </c>
      <c r="B146" s="2" t="s">
        <v>252</v>
      </c>
      <c r="C146" s="2" t="s">
        <v>253</v>
      </c>
      <c r="K146" s="5"/>
    </row>
    <row r="147" spans="1:11" hidden="1" x14ac:dyDescent="0.25">
      <c r="A147" s="2" t="s">
        <v>246</v>
      </c>
      <c r="B147" s="2" t="s">
        <v>252</v>
      </c>
      <c r="C147" s="2" t="s">
        <v>254</v>
      </c>
      <c r="D147" s="2" t="s">
        <v>599</v>
      </c>
      <c r="E147" s="2" t="s">
        <v>604</v>
      </c>
      <c r="F147" s="2">
        <v>5</v>
      </c>
      <c r="G147" s="2">
        <v>14</v>
      </c>
      <c r="H147" s="2" t="s">
        <v>641</v>
      </c>
      <c r="I147" s="2" t="s">
        <v>623</v>
      </c>
      <c r="J147" s="2" t="s">
        <v>606</v>
      </c>
      <c r="K147" s="5" t="s">
        <v>612</v>
      </c>
    </row>
    <row r="148" spans="1:11" hidden="1" x14ac:dyDescent="0.25">
      <c r="A148" s="2" t="s">
        <v>255</v>
      </c>
      <c r="B148" s="2" t="s">
        <v>256</v>
      </c>
      <c r="C148" s="2" t="s">
        <v>257</v>
      </c>
      <c r="D148" s="2" t="s">
        <v>599</v>
      </c>
      <c r="E148" s="2" t="s">
        <v>604</v>
      </c>
      <c r="F148" s="2">
        <v>5</v>
      </c>
      <c r="G148" s="2">
        <v>30</v>
      </c>
      <c r="H148" s="2" t="s">
        <v>642</v>
      </c>
      <c r="I148" s="2" t="s">
        <v>628</v>
      </c>
      <c r="J148" s="2" t="s">
        <v>606</v>
      </c>
      <c r="K148" s="5">
        <v>20</v>
      </c>
    </row>
    <row r="149" spans="1:11" hidden="1" x14ac:dyDescent="0.25">
      <c r="A149" s="2" t="s">
        <v>258</v>
      </c>
      <c r="B149" s="2" t="s">
        <v>259</v>
      </c>
      <c r="C149" s="2" t="s">
        <v>260</v>
      </c>
      <c r="D149" s="2" t="s">
        <v>599</v>
      </c>
      <c r="E149" s="2" t="s">
        <v>604</v>
      </c>
      <c r="F149" s="2">
        <v>5</v>
      </c>
      <c r="G149" s="2">
        <v>62</v>
      </c>
      <c r="H149" s="2" t="s">
        <v>643</v>
      </c>
      <c r="I149" s="2" t="s">
        <v>623</v>
      </c>
      <c r="J149" s="2" t="s">
        <v>607</v>
      </c>
      <c r="K149" s="5">
        <v>25</v>
      </c>
    </row>
    <row r="150" spans="1:11" hidden="1" x14ac:dyDescent="0.25">
      <c r="A150" s="2" t="s">
        <v>258</v>
      </c>
      <c r="B150" s="2" t="s">
        <v>259</v>
      </c>
      <c r="C150" s="2" t="s">
        <v>261</v>
      </c>
      <c r="D150" s="2" t="s">
        <v>599</v>
      </c>
      <c r="E150" s="2" t="s">
        <v>604</v>
      </c>
      <c r="F150" s="2">
        <v>5</v>
      </c>
      <c r="G150" s="2">
        <v>62</v>
      </c>
      <c r="H150" s="2" t="s">
        <v>643</v>
      </c>
      <c r="I150" s="2" t="s">
        <v>623</v>
      </c>
      <c r="J150" s="2" t="s">
        <v>607</v>
      </c>
      <c r="K150" s="5">
        <v>25</v>
      </c>
    </row>
    <row r="151" spans="1:11" hidden="1" x14ac:dyDescent="0.25">
      <c r="A151" s="2" t="s">
        <v>258</v>
      </c>
      <c r="B151" s="2" t="s">
        <v>259</v>
      </c>
      <c r="C151" s="2" t="s">
        <v>262</v>
      </c>
      <c r="D151" s="2" t="s">
        <v>599</v>
      </c>
      <c r="E151" s="2" t="s">
        <v>604</v>
      </c>
      <c r="F151" s="2">
        <v>5</v>
      </c>
      <c r="G151" s="2">
        <v>62</v>
      </c>
      <c r="H151" s="2" t="s">
        <v>643</v>
      </c>
      <c r="I151" s="2" t="s">
        <v>623</v>
      </c>
      <c r="J151" s="2" t="s">
        <v>607</v>
      </c>
      <c r="K151" s="5">
        <v>25</v>
      </c>
    </row>
    <row r="152" spans="1:11" hidden="1" x14ac:dyDescent="0.25">
      <c r="A152" s="2" t="s">
        <v>258</v>
      </c>
      <c r="B152" s="2" t="s">
        <v>259</v>
      </c>
      <c r="C152" s="2" t="s">
        <v>263</v>
      </c>
      <c r="D152" s="2" t="s">
        <v>599</v>
      </c>
      <c r="E152" s="2" t="s">
        <v>604</v>
      </c>
      <c r="F152" s="2">
        <v>5</v>
      </c>
      <c r="G152" s="2">
        <v>62</v>
      </c>
      <c r="H152" s="2" t="s">
        <v>643</v>
      </c>
      <c r="I152" s="2" t="s">
        <v>623</v>
      </c>
      <c r="J152" s="2" t="s">
        <v>607</v>
      </c>
      <c r="K152" s="5">
        <v>25</v>
      </c>
    </row>
    <row r="153" spans="1:11" hidden="1" x14ac:dyDescent="0.25">
      <c r="A153" s="2" t="s">
        <v>258</v>
      </c>
      <c r="B153" s="2" t="s">
        <v>259</v>
      </c>
      <c r="C153" s="2" t="s">
        <v>264</v>
      </c>
      <c r="D153" s="2" t="s">
        <v>599</v>
      </c>
      <c r="E153" s="2" t="s">
        <v>604</v>
      </c>
      <c r="F153" s="2">
        <v>5</v>
      </c>
      <c r="G153" s="2">
        <v>62</v>
      </c>
      <c r="H153" s="2" t="s">
        <v>643</v>
      </c>
      <c r="I153" s="2" t="s">
        <v>623</v>
      </c>
      <c r="J153" s="2" t="s">
        <v>607</v>
      </c>
      <c r="K153" s="5">
        <v>25</v>
      </c>
    </row>
    <row r="154" spans="1:11" hidden="1" x14ac:dyDescent="0.25">
      <c r="A154" s="2" t="s">
        <v>258</v>
      </c>
      <c r="B154" s="2" t="s">
        <v>259</v>
      </c>
      <c r="C154" s="2" t="s">
        <v>265</v>
      </c>
      <c r="D154" s="2" t="s">
        <v>599</v>
      </c>
      <c r="E154" s="2" t="s">
        <v>604</v>
      </c>
      <c r="F154" s="2">
        <v>5</v>
      </c>
      <c r="G154" s="2">
        <v>62</v>
      </c>
      <c r="H154" s="2" t="s">
        <v>643</v>
      </c>
      <c r="I154" s="2" t="s">
        <v>623</v>
      </c>
      <c r="J154" s="2" t="s">
        <v>607</v>
      </c>
      <c r="K154" s="5">
        <v>25</v>
      </c>
    </row>
    <row r="155" spans="1:11" hidden="1" x14ac:dyDescent="0.25">
      <c r="A155" s="2" t="s">
        <v>258</v>
      </c>
      <c r="B155" s="2" t="s">
        <v>259</v>
      </c>
      <c r="C155" s="2" t="s">
        <v>266</v>
      </c>
      <c r="D155" s="2" t="s">
        <v>599</v>
      </c>
      <c r="E155" s="2" t="s">
        <v>604</v>
      </c>
      <c r="F155" s="2">
        <v>5</v>
      </c>
      <c r="G155" s="2">
        <v>62</v>
      </c>
      <c r="H155" s="2" t="s">
        <v>643</v>
      </c>
      <c r="I155" s="2" t="s">
        <v>623</v>
      </c>
      <c r="J155" s="2" t="s">
        <v>607</v>
      </c>
      <c r="K155" s="5">
        <v>25</v>
      </c>
    </row>
    <row r="156" spans="1:11" hidden="1" x14ac:dyDescent="0.25">
      <c r="A156" s="2" t="s">
        <v>267</v>
      </c>
      <c r="B156" s="2" t="s">
        <v>218</v>
      </c>
      <c r="C156" s="2" t="s">
        <v>268</v>
      </c>
      <c r="D156" s="2" t="s">
        <v>599</v>
      </c>
      <c r="E156" s="2" t="s">
        <v>604</v>
      </c>
      <c r="F156" s="2">
        <v>5</v>
      </c>
      <c r="G156" s="2">
        <v>45</v>
      </c>
      <c r="I156" s="2" t="s">
        <v>621</v>
      </c>
      <c r="J156" s="2" t="s">
        <v>607</v>
      </c>
      <c r="K156" s="5">
        <v>25</v>
      </c>
    </row>
    <row r="157" spans="1:11" hidden="1" x14ac:dyDescent="0.25">
      <c r="A157" s="2" t="s">
        <v>267</v>
      </c>
      <c r="B157" s="2" t="s">
        <v>269</v>
      </c>
      <c r="C157" s="2" t="s">
        <v>270</v>
      </c>
      <c r="D157" s="2" t="s">
        <v>599</v>
      </c>
      <c r="E157" s="2" t="s">
        <v>604</v>
      </c>
      <c r="F157" s="2">
        <v>5</v>
      </c>
      <c r="G157" s="2">
        <v>45</v>
      </c>
      <c r="I157" s="2" t="s">
        <v>621</v>
      </c>
      <c r="J157" s="2" t="s">
        <v>607</v>
      </c>
      <c r="K157" s="5">
        <v>25</v>
      </c>
    </row>
    <row r="158" spans="1:11" hidden="1" x14ac:dyDescent="0.25">
      <c r="A158" s="2" t="s">
        <v>267</v>
      </c>
      <c r="B158" s="2" t="s">
        <v>269</v>
      </c>
      <c r="C158" s="2" t="s">
        <v>271</v>
      </c>
      <c r="K158" s="5"/>
    </row>
    <row r="159" spans="1:11" hidden="1" x14ac:dyDescent="0.25">
      <c r="A159" s="2" t="s">
        <v>267</v>
      </c>
      <c r="B159" s="2" t="s">
        <v>269</v>
      </c>
      <c r="C159" s="2" t="s">
        <v>272</v>
      </c>
      <c r="D159" s="2" t="s">
        <v>599</v>
      </c>
      <c r="E159" s="2" t="s">
        <v>604</v>
      </c>
      <c r="F159" s="2">
        <v>5</v>
      </c>
      <c r="G159" s="2">
        <v>45</v>
      </c>
      <c r="I159" s="2" t="s">
        <v>621</v>
      </c>
      <c r="J159" s="2" t="s">
        <v>607</v>
      </c>
      <c r="K159" s="5">
        <v>25</v>
      </c>
    </row>
    <row r="160" spans="1:11" hidden="1" x14ac:dyDescent="0.25">
      <c r="A160" s="2" t="s">
        <v>267</v>
      </c>
      <c r="B160" s="2" t="s">
        <v>269</v>
      </c>
      <c r="C160" s="2" t="s">
        <v>273</v>
      </c>
      <c r="D160" s="2" t="s">
        <v>599</v>
      </c>
      <c r="E160" s="2" t="s">
        <v>604</v>
      </c>
      <c r="F160" s="2">
        <v>5</v>
      </c>
      <c r="G160" s="2">
        <v>45</v>
      </c>
      <c r="I160" s="2" t="s">
        <v>621</v>
      </c>
      <c r="J160" s="2" t="s">
        <v>607</v>
      </c>
      <c r="K160" s="5">
        <v>25</v>
      </c>
    </row>
    <row r="161" spans="1:11" hidden="1" x14ac:dyDescent="0.25">
      <c r="A161" s="2" t="s">
        <v>267</v>
      </c>
      <c r="B161" s="2" t="s">
        <v>269</v>
      </c>
      <c r="C161" s="2" t="s">
        <v>274</v>
      </c>
      <c r="D161" s="2" t="s">
        <v>599</v>
      </c>
      <c r="E161" s="2" t="s">
        <v>604</v>
      </c>
      <c r="F161" s="2">
        <v>5</v>
      </c>
      <c r="G161" s="2">
        <v>45</v>
      </c>
      <c r="I161" s="2" t="s">
        <v>621</v>
      </c>
      <c r="J161" s="2" t="s">
        <v>607</v>
      </c>
      <c r="K161" s="5">
        <v>25</v>
      </c>
    </row>
    <row r="162" spans="1:11" hidden="1" x14ac:dyDescent="0.25">
      <c r="A162" s="2" t="s">
        <v>267</v>
      </c>
      <c r="B162" s="2" t="s">
        <v>269</v>
      </c>
      <c r="C162" s="2" t="s">
        <v>275</v>
      </c>
      <c r="D162" s="2" t="s">
        <v>599</v>
      </c>
      <c r="E162" s="2" t="s">
        <v>604</v>
      </c>
      <c r="F162" s="2">
        <v>5</v>
      </c>
      <c r="G162" s="2">
        <v>45</v>
      </c>
      <c r="I162" s="2" t="s">
        <v>621</v>
      </c>
      <c r="J162" s="2" t="s">
        <v>607</v>
      </c>
      <c r="K162" s="5">
        <v>25</v>
      </c>
    </row>
    <row r="163" spans="1:11" hidden="1" x14ac:dyDescent="0.25">
      <c r="A163" s="2" t="s">
        <v>267</v>
      </c>
      <c r="B163" s="2" t="s">
        <v>269</v>
      </c>
      <c r="C163" s="2" t="s">
        <v>276</v>
      </c>
      <c r="D163" s="2" t="s">
        <v>599</v>
      </c>
      <c r="E163" s="2" t="s">
        <v>604</v>
      </c>
      <c r="F163" s="2">
        <v>5</v>
      </c>
      <c r="G163" s="2">
        <v>45</v>
      </c>
      <c r="I163" s="2" t="s">
        <v>621</v>
      </c>
      <c r="J163" s="2" t="s">
        <v>607</v>
      </c>
      <c r="K163" s="5">
        <v>25</v>
      </c>
    </row>
    <row r="164" spans="1:11" hidden="1" x14ac:dyDescent="0.25">
      <c r="A164" s="2" t="s">
        <v>267</v>
      </c>
      <c r="B164" s="2" t="s">
        <v>269</v>
      </c>
      <c r="C164" s="2" t="s">
        <v>277</v>
      </c>
      <c r="D164" s="2" t="s">
        <v>599</v>
      </c>
      <c r="E164" s="2" t="s">
        <v>604</v>
      </c>
      <c r="F164" s="2">
        <v>5</v>
      </c>
      <c r="G164" s="2">
        <v>45</v>
      </c>
      <c r="I164" s="2" t="s">
        <v>621</v>
      </c>
      <c r="J164" s="2" t="s">
        <v>607</v>
      </c>
      <c r="K164" s="5">
        <v>25</v>
      </c>
    </row>
    <row r="165" spans="1:11" hidden="1" x14ac:dyDescent="0.25">
      <c r="A165" s="2" t="s">
        <v>267</v>
      </c>
      <c r="B165" s="2" t="s">
        <v>12</v>
      </c>
      <c r="C165" s="2" t="s">
        <v>278</v>
      </c>
      <c r="D165" s="2" t="s">
        <v>599</v>
      </c>
      <c r="E165" s="2" t="s">
        <v>604</v>
      </c>
      <c r="F165" s="2">
        <v>5</v>
      </c>
      <c r="G165" s="2">
        <v>45</v>
      </c>
      <c r="I165" s="2" t="s">
        <v>621</v>
      </c>
      <c r="J165" s="2" t="s">
        <v>607</v>
      </c>
      <c r="K165" s="5">
        <v>25</v>
      </c>
    </row>
    <row r="166" spans="1:11" hidden="1" x14ac:dyDescent="0.25">
      <c r="A166" s="2" t="s">
        <v>267</v>
      </c>
      <c r="B166" s="2" t="s">
        <v>12</v>
      </c>
      <c r="C166" s="2" t="s">
        <v>279</v>
      </c>
      <c r="D166" s="2" t="s">
        <v>599</v>
      </c>
      <c r="E166" s="2" t="s">
        <v>604</v>
      </c>
      <c r="F166" s="2">
        <v>5</v>
      </c>
      <c r="G166" s="2">
        <v>45</v>
      </c>
      <c r="I166" s="2" t="s">
        <v>621</v>
      </c>
      <c r="J166" s="2" t="s">
        <v>607</v>
      </c>
      <c r="K166" s="5">
        <v>25</v>
      </c>
    </row>
    <row r="167" spans="1:11" hidden="1" x14ac:dyDescent="0.25">
      <c r="A167" s="2" t="s">
        <v>267</v>
      </c>
      <c r="B167" s="2" t="s">
        <v>12</v>
      </c>
      <c r="C167" s="2" t="s">
        <v>280</v>
      </c>
      <c r="D167" s="2" t="s">
        <v>599</v>
      </c>
      <c r="E167" s="2" t="s">
        <v>604</v>
      </c>
      <c r="F167" s="2">
        <v>5</v>
      </c>
      <c r="G167" s="2">
        <v>45</v>
      </c>
      <c r="I167" s="2" t="s">
        <v>621</v>
      </c>
      <c r="J167" s="2" t="s">
        <v>607</v>
      </c>
      <c r="K167" s="5">
        <v>25</v>
      </c>
    </row>
    <row r="168" spans="1:11" hidden="1" x14ac:dyDescent="0.25">
      <c r="A168" s="2" t="s">
        <v>267</v>
      </c>
      <c r="B168" s="2" t="s">
        <v>12</v>
      </c>
      <c r="C168" s="2" t="s">
        <v>281</v>
      </c>
      <c r="D168" s="2" t="s">
        <v>599</v>
      </c>
      <c r="E168" s="2" t="s">
        <v>604</v>
      </c>
      <c r="F168" s="2">
        <v>5</v>
      </c>
      <c r="G168" s="2">
        <v>45</v>
      </c>
      <c r="I168" s="2" t="s">
        <v>621</v>
      </c>
      <c r="J168" s="2" t="s">
        <v>607</v>
      </c>
      <c r="K168" s="5">
        <v>25</v>
      </c>
    </row>
    <row r="169" spans="1:11" hidden="1" x14ac:dyDescent="0.25">
      <c r="A169" s="2" t="s">
        <v>267</v>
      </c>
      <c r="B169" s="2" t="s">
        <v>12</v>
      </c>
      <c r="C169" s="2" t="s">
        <v>282</v>
      </c>
      <c r="D169" s="2" t="s">
        <v>599</v>
      </c>
      <c r="E169" s="2" t="s">
        <v>604</v>
      </c>
      <c r="F169" s="2">
        <v>5</v>
      </c>
      <c r="G169" s="2">
        <v>45</v>
      </c>
      <c r="I169" s="2" t="s">
        <v>621</v>
      </c>
      <c r="J169" s="2" t="s">
        <v>607</v>
      </c>
      <c r="K169" s="5">
        <v>25</v>
      </c>
    </row>
    <row r="170" spans="1:11" hidden="1" x14ac:dyDescent="0.25">
      <c r="A170" s="2" t="s">
        <v>267</v>
      </c>
      <c r="B170" s="2" t="s">
        <v>12</v>
      </c>
      <c r="C170" s="2" t="s">
        <v>283</v>
      </c>
      <c r="D170" s="2" t="s">
        <v>599</v>
      </c>
      <c r="E170" s="2" t="s">
        <v>604</v>
      </c>
      <c r="F170" s="2">
        <v>5</v>
      </c>
      <c r="G170" s="2">
        <v>45</v>
      </c>
      <c r="I170" s="2" t="s">
        <v>621</v>
      </c>
      <c r="J170" s="2" t="s">
        <v>607</v>
      </c>
      <c r="K170" s="5">
        <v>25</v>
      </c>
    </row>
    <row r="171" spans="1:11" hidden="1" x14ac:dyDescent="0.25">
      <c r="A171" s="2" t="s">
        <v>267</v>
      </c>
      <c r="B171" s="2" t="s">
        <v>12</v>
      </c>
      <c r="C171" s="2" t="s">
        <v>284</v>
      </c>
      <c r="D171" s="2" t="s">
        <v>599</v>
      </c>
      <c r="E171" s="2" t="s">
        <v>604</v>
      </c>
      <c r="F171" s="2">
        <v>5</v>
      </c>
      <c r="G171" s="2">
        <v>45</v>
      </c>
      <c r="I171" s="2" t="s">
        <v>621</v>
      </c>
      <c r="J171" s="2" t="s">
        <v>607</v>
      </c>
      <c r="K171" s="5">
        <v>25</v>
      </c>
    </row>
    <row r="172" spans="1:11" hidden="1" x14ac:dyDescent="0.25">
      <c r="A172" s="2" t="s">
        <v>267</v>
      </c>
      <c r="B172" s="2" t="s">
        <v>12</v>
      </c>
      <c r="C172" s="2" t="s">
        <v>285</v>
      </c>
      <c r="D172" s="2" t="s">
        <v>599</v>
      </c>
      <c r="E172" s="2" t="s">
        <v>604</v>
      </c>
      <c r="F172" s="2">
        <v>5</v>
      </c>
      <c r="G172" s="2">
        <v>45</v>
      </c>
      <c r="I172" s="2" t="s">
        <v>621</v>
      </c>
      <c r="J172" s="2" t="s">
        <v>607</v>
      </c>
      <c r="K172" s="5">
        <v>25</v>
      </c>
    </row>
    <row r="173" spans="1:11" hidden="1" x14ac:dyDescent="0.25">
      <c r="A173" s="2" t="s">
        <v>267</v>
      </c>
      <c r="B173" s="2" t="s">
        <v>12</v>
      </c>
      <c r="C173" s="2" t="s">
        <v>286</v>
      </c>
      <c r="D173" s="2" t="s">
        <v>599</v>
      </c>
      <c r="E173" s="2" t="s">
        <v>604</v>
      </c>
      <c r="F173" s="2">
        <v>5</v>
      </c>
      <c r="G173" s="2">
        <v>45</v>
      </c>
      <c r="I173" s="2" t="s">
        <v>621</v>
      </c>
      <c r="J173" s="2" t="s">
        <v>607</v>
      </c>
      <c r="K173" s="5">
        <v>25</v>
      </c>
    </row>
    <row r="174" spans="1:11" hidden="1" x14ac:dyDescent="0.25">
      <c r="A174" s="2" t="s">
        <v>602</v>
      </c>
      <c r="B174" s="2" t="s">
        <v>123</v>
      </c>
      <c r="C174" s="2" t="s">
        <v>603</v>
      </c>
      <c r="D174" s="2" t="s">
        <v>599</v>
      </c>
      <c r="E174" s="2" t="s">
        <v>604</v>
      </c>
      <c r="F174" s="2">
        <v>5</v>
      </c>
      <c r="G174" s="2">
        <v>31</v>
      </c>
      <c r="H174" s="2" t="s">
        <v>644</v>
      </c>
      <c r="I174" s="2" t="s">
        <v>628</v>
      </c>
      <c r="J174" s="2" t="s">
        <v>606</v>
      </c>
      <c r="K174" s="5">
        <v>25</v>
      </c>
    </row>
    <row r="175" spans="1:11" hidden="1" x14ac:dyDescent="0.25">
      <c r="A175" s="2" t="s">
        <v>287</v>
      </c>
      <c r="B175" s="2" t="s">
        <v>288</v>
      </c>
      <c r="C175" s="2" t="s">
        <v>289</v>
      </c>
      <c r="D175" s="2" t="s">
        <v>599</v>
      </c>
      <c r="E175" s="2" t="s">
        <v>604</v>
      </c>
      <c r="F175" s="2">
        <v>5</v>
      </c>
      <c r="G175" s="2">
        <v>60</v>
      </c>
      <c r="H175" s="2" t="s">
        <v>630</v>
      </c>
      <c r="I175" s="2" t="s">
        <v>623</v>
      </c>
      <c r="J175" s="2" t="s">
        <v>607</v>
      </c>
      <c r="K175" s="5">
        <v>25</v>
      </c>
    </row>
    <row r="176" spans="1:11" hidden="1" x14ac:dyDescent="0.25">
      <c r="A176" s="2" t="s">
        <v>287</v>
      </c>
      <c r="B176" s="2" t="s">
        <v>288</v>
      </c>
      <c r="C176" s="2" t="s">
        <v>290</v>
      </c>
      <c r="D176" s="2" t="s">
        <v>599</v>
      </c>
      <c r="E176" s="2" t="s">
        <v>604</v>
      </c>
      <c r="F176" s="2">
        <v>5</v>
      </c>
      <c r="G176" s="2">
        <v>60</v>
      </c>
      <c r="H176" s="2" t="s">
        <v>630</v>
      </c>
      <c r="I176" s="2" t="s">
        <v>623</v>
      </c>
      <c r="J176" s="2" t="s">
        <v>607</v>
      </c>
      <c r="K176" s="5">
        <v>25</v>
      </c>
    </row>
    <row r="177" spans="1:11" hidden="1" x14ac:dyDescent="0.25">
      <c r="A177" s="2" t="s">
        <v>287</v>
      </c>
      <c r="B177" s="2" t="s">
        <v>288</v>
      </c>
      <c r="C177" s="2" t="s">
        <v>291</v>
      </c>
      <c r="D177" s="2" t="s">
        <v>599</v>
      </c>
      <c r="E177" s="2" t="s">
        <v>604</v>
      </c>
      <c r="F177" s="2">
        <v>5</v>
      </c>
      <c r="G177" s="2">
        <v>60</v>
      </c>
      <c r="H177" s="2" t="s">
        <v>630</v>
      </c>
      <c r="I177" s="2" t="s">
        <v>623</v>
      </c>
      <c r="J177" s="2" t="s">
        <v>607</v>
      </c>
      <c r="K177" s="5">
        <v>25</v>
      </c>
    </row>
    <row r="178" spans="1:11" hidden="1" x14ac:dyDescent="0.25">
      <c r="A178" s="2" t="s">
        <v>287</v>
      </c>
      <c r="B178" s="2" t="s">
        <v>288</v>
      </c>
      <c r="C178" s="2" t="s">
        <v>292</v>
      </c>
      <c r="D178" s="2" t="s">
        <v>599</v>
      </c>
      <c r="E178" s="2" t="s">
        <v>604</v>
      </c>
      <c r="F178" s="2">
        <v>5</v>
      </c>
      <c r="G178" s="2">
        <v>60</v>
      </c>
      <c r="H178" s="2" t="s">
        <v>630</v>
      </c>
      <c r="I178" s="2" t="s">
        <v>623</v>
      </c>
      <c r="J178" s="2" t="s">
        <v>607</v>
      </c>
      <c r="K178" s="5">
        <v>25</v>
      </c>
    </row>
    <row r="179" spans="1:11" hidden="1" x14ac:dyDescent="0.25">
      <c r="A179" s="2" t="s">
        <v>293</v>
      </c>
      <c r="B179" s="2" t="s">
        <v>294</v>
      </c>
      <c r="C179" s="2" t="s">
        <v>295</v>
      </c>
      <c r="D179" s="2" t="s">
        <v>600</v>
      </c>
      <c r="I179" s="2" t="s">
        <v>628</v>
      </c>
      <c r="J179" s="2" t="s">
        <v>606</v>
      </c>
      <c r="K179" s="5" t="s">
        <v>611</v>
      </c>
    </row>
    <row r="180" spans="1:11" hidden="1" x14ac:dyDescent="0.25">
      <c r="A180" s="2" t="s">
        <v>296</v>
      </c>
      <c r="B180" s="2" t="s">
        <v>297</v>
      </c>
      <c r="C180" s="2" t="s">
        <v>298</v>
      </c>
      <c r="K180" s="5"/>
    </row>
    <row r="181" spans="1:11" hidden="1" x14ac:dyDescent="0.25">
      <c r="A181" s="2" t="s">
        <v>299</v>
      </c>
      <c r="B181" s="2" t="s">
        <v>300</v>
      </c>
      <c r="C181" s="2" t="s">
        <v>301</v>
      </c>
      <c r="D181" s="2" t="s">
        <v>600</v>
      </c>
      <c r="H181" s="2" t="s">
        <v>620</v>
      </c>
      <c r="I181" s="2" t="s">
        <v>628</v>
      </c>
      <c r="J181" s="2" t="s">
        <v>609</v>
      </c>
      <c r="K181" s="5" t="s">
        <v>611</v>
      </c>
    </row>
    <row r="182" spans="1:11" hidden="1" x14ac:dyDescent="0.25">
      <c r="A182" s="2" t="s">
        <v>299</v>
      </c>
      <c r="B182" s="2" t="s">
        <v>300</v>
      </c>
      <c r="C182" s="2" t="s">
        <v>302</v>
      </c>
      <c r="D182" s="2" t="s">
        <v>600</v>
      </c>
      <c r="H182" s="2" t="s">
        <v>620</v>
      </c>
      <c r="I182" s="2" t="s">
        <v>628</v>
      </c>
      <c r="J182" s="2" t="s">
        <v>609</v>
      </c>
      <c r="K182" s="5" t="s">
        <v>611</v>
      </c>
    </row>
    <row r="183" spans="1:11" hidden="1" x14ac:dyDescent="0.25">
      <c r="A183" s="2" t="s">
        <v>303</v>
      </c>
      <c r="B183" s="2" t="s">
        <v>304</v>
      </c>
      <c r="C183" s="2" t="s">
        <v>305</v>
      </c>
      <c r="D183" s="2" t="s">
        <v>600</v>
      </c>
      <c r="I183" s="2" t="s">
        <v>628</v>
      </c>
      <c r="J183" s="2" t="s">
        <v>606</v>
      </c>
      <c r="K183" s="5" t="s">
        <v>612</v>
      </c>
    </row>
    <row r="184" spans="1:11" hidden="1" x14ac:dyDescent="0.25">
      <c r="A184" s="2" t="s">
        <v>303</v>
      </c>
      <c r="B184" s="2" t="s">
        <v>304</v>
      </c>
      <c r="C184" s="2" t="s">
        <v>306</v>
      </c>
      <c r="D184" s="2" t="s">
        <v>600</v>
      </c>
      <c r="I184" s="2" t="s">
        <v>628</v>
      </c>
      <c r="J184" s="2" t="s">
        <v>606</v>
      </c>
      <c r="K184" s="5" t="s">
        <v>612</v>
      </c>
    </row>
    <row r="185" spans="1:11" hidden="1" x14ac:dyDescent="0.25">
      <c r="A185" s="2" t="s">
        <v>303</v>
      </c>
      <c r="B185" s="2" t="s">
        <v>304</v>
      </c>
      <c r="C185" s="2" t="s">
        <v>307</v>
      </c>
      <c r="D185" s="2" t="s">
        <v>600</v>
      </c>
      <c r="I185" s="2" t="s">
        <v>628</v>
      </c>
      <c r="J185" s="2" t="s">
        <v>606</v>
      </c>
      <c r="K185" s="5" t="s">
        <v>612</v>
      </c>
    </row>
    <row r="186" spans="1:11" hidden="1" x14ac:dyDescent="0.25">
      <c r="A186" s="2" t="s">
        <v>303</v>
      </c>
      <c r="B186" s="2" t="s">
        <v>304</v>
      </c>
      <c r="C186" s="2" t="s">
        <v>308</v>
      </c>
      <c r="D186" s="2" t="s">
        <v>600</v>
      </c>
      <c r="I186" s="2" t="s">
        <v>628</v>
      </c>
      <c r="J186" s="2" t="s">
        <v>606</v>
      </c>
      <c r="K186" s="5" t="s">
        <v>612</v>
      </c>
    </row>
    <row r="187" spans="1:11" hidden="1" x14ac:dyDescent="0.25">
      <c r="A187" s="2" t="s">
        <v>303</v>
      </c>
      <c r="B187" s="2" t="s">
        <v>304</v>
      </c>
      <c r="C187" s="2" t="s">
        <v>309</v>
      </c>
      <c r="D187" s="2" t="s">
        <v>600</v>
      </c>
      <c r="I187" s="2" t="s">
        <v>628</v>
      </c>
      <c r="J187" s="2" t="s">
        <v>606</v>
      </c>
      <c r="K187" s="5" t="s">
        <v>612</v>
      </c>
    </row>
    <row r="188" spans="1:11" hidden="1" x14ac:dyDescent="0.25">
      <c r="A188" s="2" t="s">
        <v>310</v>
      </c>
      <c r="B188" s="2" t="s">
        <v>311</v>
      </c>
      <c r="C188" s="2" t="s">
        <v>312</v>
      </c>
      <c r="D188" s="2" t="s">
        <v>599</v>
      </c>
      <c r="E188" s="2" t="s">
        <v>604</v>
      </c>
      <c r="F188" s="2">
        <v>5</v>
      </c>
      <c r="G188" s="2">
        <v>47</v>
      </c>
      <c r="I188" s="2" t="s">
        <v>623</v>
      </c>
      <c r="J188" s="2" t="s">
        <v>606</v>
      </c>
      <c r="K188" s="5" t="s">
        <v>614</v>
      </c>
    </row>
    <row r="189" spans="1:11" hidden="1" x14ac:dyDescent="0.25">
      <c r="A189" s="2" t="s">
        <v>313</v>
      </c>
      <c r="B189" s="2" t="s">
        <v>314</v>
      </c>
      <c r="C189" s="2" t="s">
        <v>315</v>
      </c>
      <c r="D189" s="2" t="s">
        <v>599</v>
      </c>
      <c r="E189" s="2" t="s">
        <v>604</v>
      </c>
      <c r="F189" s="2">
        <v>5</v>
      </c>
      <c r="G189" s="2">
        <v>14</v>
      </c>
      <c r="H189" s="2" t="s">
        <v>631</v>
      </c>
      <c r="I189" s="2" t="s">
        <v>623</v>
      </c>
      <c r="J189" s="2" t="s">
        <v>606</v>
      </c>
      <c r="K189" s="5" t="s">
        <v>611</v>
      </c>
    </row>
    <row r="190" spans="1:11" hidden="1" x14ac:dyDescent="0.25">
      <c r="A190" s="2" t="s">
        <v>316</v>
      </c>
      <c r="B190" s="2" t="s">
        <v>317</v>
      </c>
      <c r="C190" s="2" t="s">
        <v>318</v>
      </c>
      <c r="D190" s="2" t="s">
        <v>599</v>
      </c>
      <c r="E190" s="2" t="s">
        <v>604</v>
      </c>
      <c r="F190" s="2">
        <v>5</v>
      </c>
      <c r="G190" s="2">
        <v>21</v>
      </c>
      <c r="I190" s="2" t="s">
        <v>623</v>
      </c>
      <c r="J190" s="2" t="s">
        <v>607</v>
      </c>
      <c r="K190" s="5" t="s">
        <v>611</v>
      </c>
    </row>
    <row r="191" spans="1:11" hidden="1" x14ac:dyDescent="0.25">
      <c r="A191" s="2" t="s">
        <v>319</v>
      </c>
      <c r="B191" s="2" t="s">
        <v>320</v>
      </c>
      <c r="C191" s="2" t="s">
        <v>321</v>
      </c>
      <c r="D191" s="2" t="s">
        <v>599</v>
      </c>
      <c r="E191" s="2" t="s">
        <v>604</v>
      </c>
      <c r="F191" s="2">
        <v>5</v>
      </c>
      <c r="G191" s="2">
        <v>14</v>
      </c>
      <c r="H191" s="2" t="s">
        <v>632</v>
      </c>
      <c r="I191" s="2" t="s">
        <v>623</v>
      </c>
      <c r="J191" s="2" t="s">
        <v>608</v>
      </c>
      <c r="K191" s="5" t="s">
        <v>611</v>
      </c>
    </row>
    <row r="192" spans="1:11" hidden="1" x14ac:dyDescent="0.25">
      <c r="A192" s="2" t="s">
        <v>319</v>
      </c>
      <c r="B192" s="2" t="s">
        <v>320</v>
      </c>
      <c r="C192" s="2" t="s">
        <v>322</v>
      </c>
      <c r="D192" s="2" t="s">
        <v>599</v>
      </c>
      <c r="E192" s="2" t="s">
        <v>604</v>
      </c>
      <c r="F192" s="2">
        <v>5</v>
      </c>
      <c r="G192" s="2">
        <v>14</v>
      </c>
      <c r="H192" s="2" t="s">
        <v>632</v>
      </c>
      <c r="I192" s="2" t="s">
        <v>623</v>
      </c>
      <c r="J192" s="2" t="s">
        <v>608</v>
      </c>
      <c r="K192" s="5" t="s">
        <v>611</v>
      </c>
    </row>
    <row r="193" spans="1:11" hidden="1" x14ac:dyDescent="0.25">
      <c r="A193" s="2" t="s">
        <v>319</v>
      </c>
      <c r="B193" s="2" t="s">
        <v>323</v>
      </c>
      <c r="C193" s="2" t="s">
        <v>324</v>
      </c>
      <c r="D193" s="2" t="s">
        <v>599</v>
      </c>
      <c r="E193" s="2" t="s">
        <v>604</v>
      </c>
      <c r="F193" s="2">
        <v>5</v>
      </c>
      <c r="G193" s="2">
        <v>14</v>
      </c>
      <c r="H193" s="2" t="s">
        <v>632</v>
      </c>
      <c r="I193" s="2" t="s">
        <v>623</v>
      </c>
      <c r="J193" s="2" t="s">
        <v>608</v>
      </c>
      <c r="K193" s="5" t="s">
        <v>612</v>
      </c>
    </row>
    <row r="194" spans="1:11" hidden="1" x14ac:dyDescent="0.25">
      <c r="A194" s="2" t="s">
        <v>319</v>
      </c>
      <c r="B194" s="2" t="s">
        <v>323</v>
      </c>
      <c r="C194" s="2" t="s">
        <v>325</v>
      </c>
      <c r="D194" s="2" t="s">
        <v>599</v>
      </c>
      <c r="E194" s="2" t="s">
        <v>604</v>
      </c>
      <c r="F194" s="2">
        <v>5</v>
      </c>
      <c r="G194" s="2">
        <v>14</v>
      </c>
      <c r="H194" s="2" t="s">
        <v>632</v>
      </c>
      <c r="I194" s="2" t="s">
        <v>623</v>
      </c>
      <c r="J194" s="2" t="s">
        <v>608</v>
      </c>
      <c r="K194" s="5" t="s">
        <v>612</v>
      </c>
    </row>
    <row r="195" spans="1:11" hidden="1" x14ac:dyDescent="0.25">
      <c r="A195" s="2" t="s">
        <v>319</v>
      </c>
      <c r="B195" s="2" t="s">
        <v>323</v>
      </c>
      <c r="C195" s="2" t="s">
        <v>326</v>
      </c>
      <c r="D195" s="2" t="s">
        <v>599</v>
      </c>
      <c r="E195" s="2" t="s">
        <v>604</v>
      </c>
      <c r="F195" s="2">
        <v>5</v>
      </c>
      <c r="G195" s="2">
        <v>14</v>
      </c>
      <c r="H195" s="2" t="s">
        <v>632</v>
      </c>
      <c r="I195" s="2" t="s">
        <v>623</v>
      </c>
      <c r="J195" s="2" t="s">
        <v>608</v>
      </c>
      <c r="K195" s="5" t="s">
        <v>612</v>
      </c>
    </row>
    <row r="196" spans="1:11" hidden="1" x14ac:dyDescent="0.25">
      <c r="A196" s="2" t="s">
        <v>319</v>
      </c>
      <c r="B196" s="2" t="s">
        <v>323</v>
      </c>
      <c r="C196" s="2" t="s">
        <v>327</v>
      </c>
      <c r="D196" s="2" t="s">
        <v>599</v>
      </c>
      <c r="E196" s="2" t="s">
        <v>604</v>
      </c>
      <c r="F196" s="2">
        <v>5</v>
      </c>
      <c r="G196" s="2">
        <v>14</v>
      </c>
      <c r="H196" s="2" t="s">
        <v>632</v>
      </c>
      <c r="I196" s="2" t="s">
        <v>623</v>
      </c>
      <c r="J196" s="2" t="s">
        <v>608</v>
      </c>
      <c r="K196" s="5" t="s">
        <v>612</v>
      </c>
    </row>
    <row r="197" spans="1:11" hidden="1" x14ac:dyDescent="0.25">
      <c r="A197" s="2" t="s">
        <v>319</v>
      </c>
      <c r="B197" s="2" t="s">
        <v>323</v>
      </c>
      <c r="C197" s="2" t="s">
        <v>328</v>
      </c>
      <c r="D197" s="2" t="s">
        <v>599</v>
      </c>
      <c r="E197" s="2" t="s">
        <v>604</v>
      </c>
      <c r="F197" s="2">
        <v>5</v>
      </c>
      <c r="G197" s="2">
        <v>14</v>
      </c>
      <c r="H197" s="2" t="s">
        <v>632</v>
      </c>
      <c r="I197" s="2" t="s">
        <v>623</v>
      </c>
      <c r="J197" s="2" t="s">
        <v>608</v>
      </c>
      <c r="K197" s="5" t="s">
        <v>612</v>
      </c>
    </row>
    <row r="198" spans="1:11" hidden="1" x14ac:dyDescent="0.25">
      <c r="A198" s="2" t="s">
        <v>319</v>
      </c>
      <c r="B198" s="2" t="s">
        <v>323</v>
      </c>
      <c r="C198" s="2" t="s">
        <v>329</v>
      </c>
      <c r="D198" s="2" t="s">
        <v>599</v>
      </c>
      <c r="E198" s="2" t="s">
        <v>604</v>
      </c>
      <c r="F198" s="2">
        <v>5</v>
      </c>
      <c r="G198" s="2">
        <v>14</v>
      </c>
      <c r="H198" s="2" t="s">
        <v>632</v>
      </c>
      <c r="I198" s="2" t="s">
        <v>623</v>
      </c>
      <c r="J198" s="2" t="s">
        <v>608</v>
      </c>
      <c r="K198" s="5" t="s">
        <v>612</v>
      </c>
    </row>
    <row r="199" spans="1:11" hidden="1" x14ac:dyDescent="0.25">
      <c r="A199" s="2" t="s">
        <v>319</v>
      </c>
      <c r="B199" s="2" t="s">
        <v>323</v>
      </c>
      <c r="C199" s="2" t="s">
        <v>330</v>
      </c>
      <c r="D199" s="2" t="s">
        <v>599</v>
      </c>
      <c r="E199" s="2" t="s">
        <v>604</v>
      </c>
      <c r="F199" s="2">
        <v>5</v>
      </c>
      <c r="G199" s="2">
        <v>14</v>
      </c>
      <c r="H199" s="2" t="s">
        <v>632</v>
      </c>
      <c r="I199" s="2" t="s">
        <v>623</v>
      </c>
      <c r="J199" s="2" t="s">
        <v>608</v>
      </c>
      <c r="K199" s="5" t="s">
        <v>612</v>
      </c>
    </row>
    <row r="200" spans="1:11" hidden="1" x14ac:dyDescent="0.25">
      <c r="A200" s="2" t="s">
        <v>331</v>
      </c>
      <c r="B200" s="2" t="s">
        <v>332</v>
      </c>
      <c r="C200" s="2" t="s">
        <v>333</v>
      </c>
      <c r="K200" s="5"/>
    </row>
    <row r="201" spans="1:11" hidden="1" x14ac:dyDescent="0.25">
      <c r="A201" s="2" t="s">
        <v>334</v>
      </c>
      <c r="B201" s="2" t="s">
        <v>335</v>
      </c>
      <c r="C201" s="2" t="s">
        <v>336</v>
      </c>
      <c r="D201" s="2" t="s">
        <v>599</v>
      </c>
      <c r="E201" s="2" t="s">
        <v>604</v>
      </c>
      <c r="F201" s="2">
        <v>5</v>
      </c>
      <c r="G201" s="2">
        <v>30</v>
      </c>
      <c r="H201" s="2" t="s">
        <v>633</v>
      </c>
      <c r="I201" s="2" t="s">
        <v>623</v>
      </c>
      <c r="J201" s="2" t="s">
        <v>607</v>
      </c>
      <c r="K201" s="5" t="s">
        <v>612</v>
      </c>
    </row>
    <row r="202" spans="1:11" hidden="1" x14ac:dyDescent="0.25">
      <c r="A202" s="2" t="s">
        <v>337</v>
      </c>
      <c r="B202" s="2" t="s">
        <v>294</v>
      </c>
      <c r="C202" s="2" t="s">
        <v>338</v>
      </c>
      <c r="K202" s="5"/>
    </row>
    <row r="203" spans="1:11" hidden="1" x14ac:dyDescent="0.25">
      <c r="A203" s="2" t="s">
        <v>339</v>
      </c>
      <c r="B203" s="2" t="s">
        <v>340</v>
      </c>
      <c r="C203" s="2" t="s">
        <v>341</v>
      </c>
      <c r="D203" s="2" t="s">
        <v>599</v>
      </c>
      <c r="E203" s="2" t="s">
        <v>604</v>
      </c>
      <c r="F203" s="2">
        <v>5</v>
      </c>
      <c r="G203" s="2">
        <v>15</v>
      </c>
      <c r="H203" s="2" t="s">
        <v>634</v>
      </c>
      <c r="I203" s="2" t="s">
        <v>623</v>
      </c>
      <c r="J203" s="2" t="s">
        <v>606</v>
      </c>
      <c r="K203" s="5" t="s">
        <v>611</v>
      </c>
    </row>
    <row r="204" spans="1:11" hidden="1" x14ac:dyDescent="0.25">
      <c r="A204" s="2" t="s">
        <v>339</v>
      </c>
      <c r="B204" s="2" t="s">
        <v>340</v>
      </c>
      <c r="C204" s="2" t="s">
        <v>342</v>
      </c>
      <c r="D204" s="2" t="s">
        <v>599</v>
      </c>
      <c r="E204" s="2" t="s">
        <v>604</v>
      </c>
      <c r="F204" s="2">
        <v>5</v>
      </c>
      <c r="G204" s="2">
        <v>15</v>
      </c>
      <c r="H204" s="2" t="s">
        <v>634</v>
      </c>
      <c r="I204" s="2" t="s">
        <v>623</v>
      </c>
      <c r="J204" s="2" t="s">
        <v>606</v>
      </c>
      <c r="K204" s="5" t="s">
        <v>611</v>
      </c>
    </row>
    <row r="205" spans="1:11" hidden="1" x14ac:dyDescent="0.25">
      <c r="A205" s="2" t="s">
        <v>339</v>
      </c>
      <c r="B205" s="2" t="s">
        <v>340</v>
      </c>
      <c r="C205" s="2" t="s">
        <v>343</v>
      </c>
      <c r="D205" s="2" t="s">
        <v>599</v>
      </c>
      <c r="E205" s="2" t="s">
        <v>604</v>
      </c>
      <c r="F205" s="2">
        <v>5</v>
      </c>
      <c r="G205" s="2">
        <v>14</v>
      </c>
      <c r="H205" s="2" t="s">
        <v>634</v>
      </c>
      <c r="I205" s="2" t="s">
        <v>623</v>
      </c>
      <c r="J205" s="2" t="s">
        <v>606</v>
      </c>
      <c r="K205" s="5" t="s">
        <v>611</v>
      </c>
    </row>
    <row r="206" spans="1:11" hidden="1" x14ac:dyDescent="0.25">
      <c r="A206" s="2" t="s">
        <v>344</v>
      </c>
      <c r="B206" s="2" t="s">
        <v>345</v>
      </c>
      <c r="C206" s="2" t="s">
        <v>346</v>
      </c>
      <c r="D206" s="2" t="s">
        <v>600</v>
      </c>
      <c r="I206" s="2" t="s">
        <v>623</v>
      </c>
      <c r="J206" s="2" t="s">
        <v>607</v>
      </c>
      <c r="K206" s="5">
        <v>25</v>
      </c>
    </row>
    <row r="207" spans="1:11" hidden="1" x14ac:dyDescent="0.25">
      <c r="A207" s="2" t="s">
        <v>344</v>
      </c>
      <c r="B207" s="2" t="s">
        <v>345</v>
      </c>
      <c r="C207" s="2" t="s">
        <v>347</v>
      </c>
      <c r="D207" s="2" t="s">
        <v>600</v>
      </c>
      <c r="I207" s="2" t="s">
        <v>623</v>
      </c>
      <c r="J207" s="2" t="s">
        <v>607</v>
      </c>
      <c r="K207" s="5">
        <v>25</v>
      </c>
    </row>
    <row r="208" spans="1:11" hidden="1" x14ac:dyDescent="0.25">
      <c r="A208" s="2" t="s">
        <v>348</v>
      </c>
      <c r="B208" s="2" t="s">
        <v>349</v>
      </c>
      <c r="C208" s="2" t="s">
        <v>350</v>
      </c>
      <c r="D208" s="2" t="s">
        <v>599</v>
      </c>
      <c r="E208" s="2" t="s">
        <v>604</v>
      </c>
      <c r="F208" s="2">
        <v>5</v>
      </c>
      <c r="G208" s="2">
        <v>31</v>
      </c>
      <c r="H208" s="2" t="s">
        <v>620</v>
      </c>
      <c r="I208" s="2" t="s">
        <v>628</v>
      </c>
      <c r="J208" s="2" t="s">
        <v>606</v>
      </c>
      <c r="K208" s="5">
        <v>25</v>
      </c>
    </row>
    <row r="209" spans="1:11" hidden="1" x14ac:dyDescent="0.25">
      <c r="A209" s="2" t="s">
        <v>348</v>
      </c>
      <c r="B209" s="2" t="s">
        <v>351</v>
      </c>
      <c r="C209" s="2" t="s">
        <v>352</v>
      </c>
      <c r="D209" s="2" t="s">
        <v>599</v>
      </c>
      <c r="E209" s="2" t="s">
        <v>604</v>
      </c>
      <c r="F209" s="2">
        <v>5</v>
      </c>
      <c r="G209" s="2">
        <v>31</v>
      </c>
      <c r="H209" s="2" t="s">
        <v>620</v>
      </c>
      <c r="I209" s="2" t="s">
        <v>628</v>
      </c>
      <c r="J209" s="2" t="s">
        <v>606</v>
      </c>
      <c r="K209" s="5">
        <v>25</v>
      </c>
    </row>
    <row r="210" spans="1:11" hidden="1" x14ac:dyDescent="0.25">
      <c r="A210" s="2" t="s">
        <v>353</v>
      </c>
      <c r="B210" s="2" t="s">
        <v>354</v>
      </c>
      <c r="C210" s="2" t="s">
        <v>355</v>
      </c>
      <c r="D210" s="2" t="s">
        <v>599</v>
      </c>
      <c r="E210" s="2" t="s">
        <v>604</v>
      </c>
      <c r="F210" s="2">
        <v>5</v>
      </c>
      <c r="G210" s="2">
        <v>14</v>
      </c>
      <c r="I210" s="2" t="s">
        <v>623</v>
      </c>
      <c r="J210" s="2" t="s">
        <v>608</v>
      </c>
      <c r="K210" s="5">
        <v>20</v>
      </c>
    </row>
    <row r="211" spans="1:11" hidden="1" x14ac:dyDescent="0.25">
      <c r="A211" s="2" t="s">
        <v>356</v>
      </c>
      <c r="B211" s="2" t="s">
        <v>357</v>
      </c>
      <c r="C211" s="2" t="s">
        <v>358</v>
      </c>
      <c r="D211" s="2" t="s">
        <v>599</v>
      </c>
      <c r="E211" s="2" t="s">
        <v>604</v>
      </c>
      <c r="F211" s="2">
        <v>5</v>
      </c>
      <c r="G211" s="2">
        <v>14</v>
      </c>
      <c r="I211" s="2" t="s">
        <v>623</v>
      </c>
      <c r="J211" s="2" t="s">
        <v>608</v>
      </c>
      <c r="K211" s="5">
        <v>20</v>
      </c>
    </row>
    <row r="212" spans="1:11" hidden="1" x14ac:dyDescent="0.25">
      <c r="A212" s="2" t="s">
        <v>359</v>
      </c>
      <c r="B212" s="2" t="s">
        <v>360</v>
      </c>
      <c r="C212" s="2" t="s">
        <v>361</v>
      </c>
      <c r="D212" s="2" t="s">
        <v>600</v>
      </c>
      <c r="I212" s="2" t="s">
        <v>623</v>
      </c>
      <c r="J212" s="2" t="s">
        <v>606</v>
      </c>
      <c r="K212" s="5" t="s">
        <v>611</v>
      </c>
    </row>
    <row r="213" spans="1:11" hidden="1" x14ac:dyDescent="0.25">
      <c r="A213" s="2" t="s">
        <v>359</v>
      </c>
      <c r="B213" s="2" t="s">
        <v>360</v>
      </c>
      <c r="C213" s="2" t="s">
        <v>362</v>
      </c>
      <c r="D213" s="2" t="s">
        <v>600</v>
      </c>
      <c r="I213" s="2" t="s">
        <v>623</v>
      </c>
      <c r="J213" s="2" t="s">
        <v>606</v>
      </c>
      <c r="K213" s="5" t="s">
        <v>611</v>
      </c>
    </row>
    <row r="214" spans="1:11" hidden="1" x14ac:dyDescent="0.25">
      <c r="A214" s="2" t="s">
        <v>359</v>
      </c>
      <c r="B214" s="2" t="s">
        <v>360</v>
      </c>
      <c r="C214" s="2" t="s">
        <v>363</v>
      </c>
      <c r="D214" s="2" t="s">
        <v>600</v>
      </c>
      <c r="I214" s="2" t="s">
        <v>623</v>
      </c>
      <c r="J214" s="2" t="s">
        <v>606</v>
      </c>
      <c r="K214" s="5" t="s">
        <v>611</v>
      </c>
    </row>
    <row r="215" spans="1:11" hidden="1" x14ac:dyDescent="0.25">
      <c r="A215" s="2" t="s">
        <v>359</v>
      </c>
      <c r="B215" s="2" t="s">
        <v>360</v>
      </c>
      <c r="C215" s="2" t="s">
        <v>364</v>
      </c>
      <c r="D215" s="2" t="s">
        <v>600</v>
      </c>
      <c r="I215" s="2" t="s">
        <v>623</v>
      </c>
      <c r="J215" s="2" t="s">
        <v>606</v>
      </c>
      <c r="K215" s="5" t="s">
        <v>611</v>
      </c>
    </row>
    <row r="216" spans="1:11" hidden="1" x14ac:dyDescent="0.25">
      <c r="A216" s="2" t="s">
        <v>359</v>
      </c>
      <c r="B216" s="2" t="s">
        <v>360</v>
      </c>
      <c r="C216" s="2" t="s">
        <v>365</v>
      </c>
      <c r="D216" s="2" t="s">
        <v>600</v>
      </c>
      <c r="I216" s="2" t="s">
        <v>623</v>
      </c>
      <c r="J216" s="2" t="s">
        <v>606</v>
      </c>
      <c r="K216" s="5" t="s">
        <v>611</v>
      </c>
    </row>
    <row r="217" spans="1:11" hidden="1" x14ac:dyDescent="0.25">
      <c r="A217" s="2" t="s">
        <v>366</v>
      </c>
      <c r="B217" s="2" t="s">
        <v>351</v>
      </c>
      <c r="C217" s="2" t="s">
        <v>367</v>
      </c>
      <c r="G217" s="3"/>
      <c r="K217" s="5"/>
    </row>
    <row r="218" spans="1:11" hidden="1" x14ac:dyDescent="0.25">
      <c r="A218" s="2" t="s">
        <v>368</v>
      </c>
      <c r="B218" s="2" t="s">
        <v>369</v>
      </c>
      <c r="C218" s="2" t="s">
        <v>370</v>
      </c>
      <c r="K218" s="5"/>
    </row>
    <row r="219" spans="1:11" hidden="1" x14ac:dyDescent="0.25">
      <c r="A219" s="2" t="s">
        <v>368</v>
      </c>
      <c r="B219" s="2" t="s">
        <v>369</v>
      </c>
      <c r="C219" s="2" t="s">
        <v>371</v>
      </c>
      <c r="K219" s="5"/>
    </row>
    <row r="220" spans="1:11" hidden="1" x14ac:dyDescent="0.25">
      <c r="A220" s="2" t="s">
        <v>372</v>
      </c>
      <c r="B220" s="2" t="s">
        <v>373</v>
      </c>
      <c r="C220" s="2" t="s">
        <v>374</v>
      </c>
      <c r="D220" s="2" t="s">
        <v>600</v>
      </c>
      <c r="I220" s="2" t="s">
        <v>623</v>
      </c>
      <c r="J220" s="2" t="s">
        <v>608</v>
      </c>
      <c r="K220" s="5" t="s">
        <v>611</v>
      </c>
    </row>
    <row r="221" spans="1:11" hidden="1" x14ac:dyDescent="0.25">
      <c r="A221" s="2" t="s">
        <v>375</v>
      </c>
      <c r="B221" s="2" t="s">
        <v>376</v>
      </c>
      <c r="C221" s="2" t="s">
        <v>377</v>
      </c>
      <c r="D221" s="2" t="s">
        <v>599</v>
      </c>
      <c r="E221" s="2" t="s">
        <v>604</v>
      </c>
      <c r="F221" s="2">
        <v>5</v>
      </c>
      <c r="G221" s="2">
        <v>30</v>
      </c>
      <c r="H221" s="2" t="s">
        <v>635</v>
      </c>
      <c r="I221" s="2" t="s">
        <v>623</v>
      </c>
      <c r="J221" s="2" t="s">
        <v>606</v>
      </c>
      <c r="K221" s="5">
        <v>15</v>
      </c>
    </row>
    <row r="222" spans="1:11" hidden="1" x14ac:dyDescent="0.25">
      <c r="A222" s="2" t="s">
        <v>375</v>
      </c>
      <c r="B222" s="2" t="s">
        <v>378</v>
      </c>
      <c r="C222" s="2" t="s">
        <v>379</v>
      </c>
      <c r="D222" s="2" t="s">
        <v>599</v>
      </c>
      <c r="E222" s="2" t="s">
        <v>604</v>
      </c>
      <c r="F222" s="2">
        <v>5</v>
      </c>
      <c r="G222" s="2">
        <v>30</v>
      </c>
      <c r="H222" s="2" t="s">
        <v>635</v>
      </c>
      <c r="I222" s="2" t="s">
        <v>623</v>
      </c>
      <c r="J222" s="2" t="s">
        <v>606</v>
      </c>
      <c r="K222" s="5">
        <v>15</v>
      </c>
    </row>
    <row r="223" spans="1:11" hidden="1" x14ac:dyDescent="0.25">
      <c r="A223" s="2" t="s">
        <v>375</v>
      </c>
      <c r="B223" s="2" t="s">
        <v>378</v>
      </c>
      <c r="C223" s="2" t="s">
        <v>380</v>
      </c>
      <c r="D223" s="2" t="s">
        <v>599</v>
      </c>
      <c r="E223" s="2" t="s">
        <v>604</v>
      </c>
      <c r="F223" s="2">
        <v>5</v>
      </c>
      <c r="G223" s="2">
        <v>30</v>
      </c>
      <c r="H223" s="2" t="s">
        <v>635</v>
      </c>
      <c r="I223" s="2" t="s">
        <v>623</v>
      </c>
      <c r="J223" s="2" t="s">
        <v>606</v>
      </c>
      <c r="K223" s="5">
        <v>15</v>
      </c>
    </row>
    <row r="224" spans="1:11" hidden="1" x14ac:dyDescent="0.25">
      <c r="A224" s="2" t="s">
        <v>375</v>
      </c>
      <c r="B224" s="2" t="s">
        <v>378</v>
      </c>
      <c r="C224" s="2" t="s">
        <v>381</v>
      </c>
      <c r="D224" s="2" t="s">
        <v>599</v>
      </c>
      <c r="E224" s="2" t="s">
        <v>604</v>
      </c>
      <c r="F224" s="2">
        <v>5</v>
      </c>
      <c r="G224" s="2">
        <v>30</v>
      </c>
      <c r="H224" s="2" t="s">
        <v>635</v>
      </c>
      <c r="I224" s="2" t="s">
        <v>623</v>
      </c>
      <c r="J224" s="2" t="s">
        <v>606</v>
      </c>
      <c r="K224" s="5">
        <v>15</v>
      </c>
    </row>
    <row r="225" spans="1:11" hidden="1" x14ac:dyDescent="0.25">
      <c r="A225" s="2" t="s">
        <v>375</v>
      </c>
      <c r="B225" s="2" t="s">
        <v>382</v>
      </c>
      <c r="C225" s="2" t="s">
        <v>383</v>
      </c>
      <c r="D225" s="2" t="s">
        <v>599</v>
      </c>
      <c r="E225" s="2" t="s">
        <v>604</v>
      </c>
      <c r="F225" s="2">
        <v>5</v>
      </c>
      <c r="G225" s="2">
        <v>30</v>
      </c>
      <c r="H225" s="2" t="s">
        <v>635</v>
      </c>
      <c r="I225" s="2" t="s">
        <v>623</v>
      </c>
      <c r="J225" s="2" t="s">
        <v>606</v>
      </c>
      <c r="K225" s="5">
        <v>15</v>
      </c>
    </row>
    <row r="226" spans="1:11" x14ac:dyDescent="0.25">
      <c r="A226" s="2" t="s">
        <v>384</v>
      </c>
      <c r="B226" s="2" t="s">
        <v>385</v>
      </c>
      <c r="C226" s="2" t="s">
        <v>386</v>
      </c>
      <c r="D226" s="2" t="s">
        <v>600</v>
      </c>
      <c r="I226" s="2" t="s">
        <v>621</v>
      </c>
      <c r="J226" s="2" t="s">
        <v>606</v>
      </c>
      <c r="K226" s="5" t="s">
        <v>612</v>
      </c>
    </row>
    <row r="227" spans="1:11" x14ac:dyDescent="0.25">
      <c r="A227" s="2" t="s">
        <v>384</v>
      </c>
      <c r="B227" s="63" t="s">
        <v>722</v>
      </c>
      <c r="C227" s="2" t="s">
        <v>387</v>
      </c>
      <c r="D227" s="2" t="s">
        <v>599</v>
      </c>
      <c r="E227" s="2" t="s">
        <v>604</v>
      </c>
      <c r="F227" s="2">
        <v>5</v>
      </c>
      <c r="G227" s="2">
        <v>45</v>
      </c>
      <c r="I227" s="2" t="s">
        <v>623</v>
      </c>
      <c r="J227" s="2" t="s">
        <v>606</v>
      </c>
      <c r="K227" s="5" t="s">
        <v>612</v>
      </c>
    </row>
    <row r="228" spans="1:11" x14ac:dyDescent="0.25">
      <c r="A228" s="2" t="s">
        <v>384</v>
      </c>
      <c r="B228" s="2" t="s">
        <v>388</v>
      </c>
      <c r="C228" s="2" t="s">
        <v>389</v>
      </c>
      <c r="D228" s="2" t="s">
        <v>600</v>
      </c>
      <c r="I228" s="2" t="s">
        <v>621</v>
      </c>
      <c r="J228" s="2" t="s">
        <v>606</v>
      </c>
      <c r="K228" s="5" t="s">
        <v>612</v>
      </c>
    </row>
    <row r="229" spans="1:11" x14ac:dyDescent="0.25">
      <c r="A229" s="2" t="s">
        <v>384</v>
      </c>
      <c r="B229" s="2" t="s">
        <v>388</v>
      </c>
      <c r="C229" s="2" t="s">
        <v>390</v>
      </c>
      <c r="D229" s="2" t="s">
        <v>600</v>
      </c>
      <c r="I229" s="2" t="s">
        <v>621</v>
      </c>
      <c r="J229" s="2" t="s">
        <v>606</v>
      </c>
      <c r="K229" s="5" t="s">
        <v>612</v>
      </c>
    </row>
    <row r="230" spans="1:11" hidden="1" x14ac:dyDescent="0.25">
      <c r="A230" s="2" t="s">
        <v>391</v>
      </c>
      <c r="B230" s="2" t="s">
        <v>392</v>
      </c>
      <c r="C230" s="2" t="s">
        <v>393</v>
      </c>
      <c r="D230" s="2" t="s">
        <v>600</v>
      </c>
      <c r="I230" s="2" t="s">
        <v>623</v>
      </c>
      <c r="J230" s="2" t="s">
        <v>606</v>
      </c>
      <c r="K230" s="5" t="s">
        <v>611</v>
      </c>
    </row>
    <row r="231" spans="1:11" hidden="1" x14ac:dyDescent="0.25">
      <c r="A231" s="2" t="s">
        <v>394</v>
      </c>
      <c r="B231" s="2" t="s">
        <v>395</v>
      </c>
      <c r="C231" s="2" t="s">
        <v>396</v>
      </c>
      <c r="D231" s="2" t="s">
        <v>600</v>
      </c>
      <c r="I231" s="2" t="s">
        <v>623</v>
      </c>
      <c r="J231" s="2" t="s">
        <v>607</v>
      </c>
      <c r="K231" s="5">
        <v>25</v>
      </c>
    </row>
    <row r="232" spans="1:11" hidden="1" x14ac:dyDescent="0.25">
      <c r="A232" s="2" t="s">
        <v>394</v>
      </c>
      <c r="B232" s="2" t="s">
        <v>395</v>
      </c>
      <c r="C232" s="2" t="s">
        <v>397</v>
      </c>
      <c r="D232" s="2" t="s">
        <v>600</v>
      </c>
      <c r="I232" s="2" t="s">
        <v>623</v>
      </c>
      <c r="J232" s="2" t="s">
        <v>607</v>
      </c>
      <c r="K232" s="5">
        <v>25</v>
      </c>
    </row>
    <row r="233" spans="1:11" hidden="1" x14ac:dyDescent="0.25">
      <c r="A233" s="2" t="s">
        <v>398</v>
      </c>
      <c r="B233" s="2" t="s">
        <v>399</v>
      </c>
      <c r="C233" s="2" t="s">
        <v>400</v>
      </c>
      <c r="D233" s="2" t="s">
        <v>599</v>
      </c>
      <c r="E233" s="2" t="s">
        <v>604</v>
      </c>
      <c r="F233" s="2">
        <v>5</v>
      </c>
      <c r="G233" s="2">
        <v>14</v>
      </c>
      <c r="I233" s="2" t="s">
        <v>623</v>
      </c>
      <c r="J233" s="2" t="s">
        <v>607</v>
      </c>
      <c r="K233" s="5" t="s">
        <v>612</v>
      </c>
    </row>
    <row r="234" spans="1:11" hidden="1" x14ac:dyDescent="0.25">
      <c r="A234" s="2" t="s">
        <v>401</v>
      </c>
      <c r="B234" s="2" t="s">
        <v>402</v>
      </c>
      <c r="C234" s="2" t="s">
        <v>403</v>
      </c>
      <c r="D234" s="2" t="s">
        <v>600</v>
      </c>
      <c r="I234" s="2" t="s">
        <v>628</v>
      </c>
      <c r="J234" s="2" t="s">
        <v>606</v>
      </c>
      <c r="K234" s="5" t="s">
        <v>611</v>
      </c>
    </row>
    <row r="235" spans="1:11" hidden="1" x14ac:dyDescent="0.25">
      <c r="A235" s="2" t="s">
        <v>401</v>
      </c>
      <c r="B235" s="2" t="s">
        <v>404</v>
      </c>
      <c r="C235" s="2" t="s">
        <v>405</v>
      </c>
      <c r="D235" s="2" t="s">
        <v>600</v>
      </c>
      <c r="I235" s="2" t="s">
        <v>628</v>
      </c>
      <c r="J235" s="2" t="s">
        <v>606</v>
      </c>
      <c r="K235" s="5" t="s">
        <v>611</v>
      </c>
    </row>
    <row r="236" spans="1:11" hidden="1" x14ac:dyDescent="0.25">
      <c r="A236" s="2" t="s">
        <v>401</v>
      </c>
      <c r="B236" s="2" t="s">
        <v>404</v>
      </c>
      <c r="C236" s="2" t="s">
        <v>406</v>
      </c>
      <c r="D236" s="2" t="s">
        <v>600</v>
      </c>
      <c r="I236" s="2" t="s">
        <v>628</v>
      </c>
      <c r="J236" s="2" t="s">
        <v>606</v>
      </c>
      <c r="K236" s="5" t="s">
        <v>611</v>
      </c>
    </row>
    <row r="237" spans="1:11" hidden="1" x14ac:dyDescent="0.25">
      <c r="A237" s="2" t="s">
        <v>401</v>
      </c>
      <c r="B237" s="2" t="s">
        <v>404</v>
      </c>
      <c r="C237" s="2" t="s">
        <v>407</v>
      </c>
      <c r="D237" s="2" t="s">
        <v>600</v>
      </c>
      <c r="I237" s="2" t="s">
        <v>628</v>
      </c>
      <c r="J237" s="2" t="s">
        <v>606</v>
      </c>
      <c r="K237" s="5" t="s">
        <v>611</v>
      </c>
    </row>
    <row r="238" spans="1:11" hidden="1" x14ac:dyDescent="0.25">
      <c r="A238" s="2" t="s">
        <v>401</v>
      </c>
      <c r="B238" s="2" t="s">
        <v>404</v>
      </c>
      <c r="C238" s="2" t="s">
        <v>408</v>
      </c>
      <c r="D238" s="2" t="s">
        <v>600</v>
      </c>
      <c r="I238" s="2" t="s">
        <v>628</v>
      </c>
      <c r="J238" s="2" t="s">
        <v>606</v>
      </c>
      <c r="K238" s="5" t="s">
        <v>611</v>
      </c>
    </row>
    <row r="239" spans="1:11" hidden="1" x14ac:dyDescent="0.25">
      <c r="A239" s="2" t="s">
        <v>401</v>
      </c>
      <c r="B239" s="2" t="s">
        <v>404</v>
      </c>
      <c r="C239" s="2" t="s">
        <v>409</v>
      </c>
      <c r="D239" s="2" t="s">
        <v>600</v>
      </c>
      <c r="I239" s="2" t="s">
        <v>628</v>
      </c>
      <c r="J239" s="2" t="s">
        <v>606</v>
      </c>
      <c r="K239" s="5" t="s">
        <v>611</v>
      </c>
    </row>
    <row r="240" spans="1:11" hidden="1" x14ac:dyDescent="0.25">
      <c r="A240" s="2" t="s">
        <v>401</v>
      </c>
      <c r="B240" s="2" t="s">
        <v>404</v>
      </c>
      <c r="C240" s="2" t="s">
        <v>410</v>
      </c>
      <c r="D240" s="2" t="s">
        <v>600</v>
      </c>
      <c r="I240" s="2" t="s">
        <v>628</v>
      </c>
      <c r="J240" s="2" t="s">
        <v>606</v>
      </c>
      <c r="K240" s="5" t="s">
        <v>611</v>
      </c>
    </row>
    <row r="241" spans="1:11" hidden="1" x14ac:dyDescent="0.25">
      <c r="A241" s="2" t="s">
        <v>401</v>
      </c>
      <c r="B241" s="2" t="s">
        <v>404</v>
      </c>
      <c r="C241" s="2" t="s">
        <v>411</v>
      </c>
      <c r="D241" s="2" t="s">
        <v>600</v>
      </c>
      <c r="I241" s="2" t="s">
        <v>628</v>
      </c>
      <c r="J241" s="2" t="s">
        <v>606</v>
      </c>
      <c r="K241" s="5" t="s">
        <v>611</v>
      </c>
    </row>
    <row r="242" spans="1:11" hidden="1" x14ac:dyDescent="0.25">
      <c r="A242" s="2" t="s">
        <v>401</v>
      </c>
      <c r="B242" s="2" t="s">
        <v>404</v>
      </c>
      <c r="C242" s="2" t="s">
        <v>412</v>
      </c>
      <c r="D242" s="2" t="s">
        <v>600</v>
      </c>
      <c r="I242" s="2" t="s">
        <v>628</v>
      </c>
      <c r="J242" s="2" t="s">
        <v>606</v>
      </c>
      <c r="K242" s="5" t="s">
        <v>611</v>
      </c>
    </row>
    <row r="243" spans="1:11" hidden="1" x14ac:dyDescent="0.25">
      <c r="A243" s="2" t="s">
        <v>401</v>
      </c>
      <c r="B243" s="2" t="s">
        <v>404</v>
      </c>
      <c r="C243" s="2" t="s">
        <v>413</v>
      </c>
      <c r="D243" s="2" t="s">
        <v>600</v>
      </c>
      <c r="I243" s="2" t="s">
        <v>628</v>
      </c>
      <c r="J243" s="2" t="s">
        <v>606</v>
      </c>
      <c r="K243" s="5" t="s">
        <v>611</v>
      </c>
    </row>
    <row r="244" spans="1:11" hidden="1" x14ac:dyDescent="0.25">
      <c r="A244" s="2" t="s">
        <v>414</v>
      </c>
      <c r="B244" s="2" t="s">
        <v>311</v>
      </c>
      <c r="C244" s="2" t="s">
        <v>415</v>
      </c>
      <c r="D244" s="2" t="s">
        <v>600</v>
      </c>
      <c r="I244" s="2" t="s">
        <v>621</v>
      </c>
      <c r="J244" s="2" t="s">
        <v>606</v>
      </c>
      <c r="K244" s="5" t="s">
        <v>611</v>
      </c>
    </row>
    <row r="245" spans="1:11" hidden="1" x14ac:dyDescent="0.25">
      <c r="A245" s="2" t="s">
        <v>414</v>
      </c>
      <c r="B245" s="2" t="s">
        <v>311</v>
      </c>
      <c r="C245" s="2" t="s">
        <v>416</v>
      </c>
      <c r="D245" s="2" t="s">
        <v>600</v>
      </c>
      <c r="I245" s="2" t="s">
        <v>621</v>
      </c>
      <c r="J245" s="2" t="s">
        <v>606</v>
      </c>
      <c r="K245" s="5" t="s">
        <v>611</v>
      </c>
    </row>
    <row r="246" spans="1:11" hidden="1" x14ac:dyDescent="0.25">
      <c r="A246" s="2" t="s">
        <v>414</v>
      </c>
      <c r="B246" s="2" t="s">
        <v>311</v>
      </c>
      <c r="C246" s="2" t="s">
        <v>417</v>
      </c>
      <c r="D246" s="2" t="s">
        <v>600</v>
      </c>
      <c r="I246" s="2" t="s">
        <v>621</v>
      </c>
      <c r="J246" s="2" t="s">
        <v>606</v>
      </c>
      <c r="K246" s="5" t="s">
        <v>611</v>
      </c>
    </row>
    <row r="247" spans="1:11" hidden="1" x14ac:dyDescent="0.25">
      <c r="A247" s="2" t="s">
        <v>414</v>
      </c>
      <c r="B247" s="2" t="s">
        <v>311</v>
      </c>
      <c r="C247" s="2" t="s">
        <v>418</v>
      </c>
      <c r="D247" s="2" t="s">
        <v>600</v>
      </c>
      <c r="I247" s="2" t="s">
        <v>621</v>
      </c>
      <c r="J247" s="2" t="s">
        <v>606</v>
      </c>
      <c r="K247" s="5" t="s">
        <v>611</v>
      </c>
    </row>
    <row r="248" spans="1:11" hidden="1" x14ac:dyDescent="0.25">
      <c r="A248" s="2" t="s">
        <v>414</v>
      </c>
      <c r="B248" s="2" t="s">
        <v>311</v>
      </c>
      <c r="C248" s="2" t="s">
        <v>419</v>
      </c>
      <c r="D248" s="2" t="s">
        <v>600</v>
      </c>
      <c r="I248" s="2" t="s">
        <v>621</v>
      </c>
      <c r="J248" s="2" t="s">
        <v>606</v>
      </c>
      <c r="K248" s="5" t="s">
        <v>611</v>
      </c>
    </row>
    <row r="249" spans="1:11" hidden="1" x14ac:dyDescent="0.25">
      <c r="A249" s="2" t="s">
        <v>414</v>
      </c>
      <c r="B249" s="2" t="s">
        <v>311</v>
      </c>
      <c r="C249" s="2" t="s">
        <v>420</v>
      </c>
      <c r="D249" s="2" t="s">
        <v>600</v>
      </c>
      <c r="I249" s="2" t="s">
        <v>621</v>
      </c>
      <c r="J249" s="2" t="s">
        <v>606</v>
      </c>
      <c r="K249" s="5" t="s">
        <v>611</v>
      </c>
    </row>
    <row r="250" spans="1:11" hidden="1" x14ac:dyDescent="0.25">
      <c r="A250" s="2" t="s">
        <v>414</v>
      </c>
      <c r="B250" s="2" t="s">
        <v>421</v>
      </c>
      <c r="C250" s="2" t="s">
        <v>422</v>
      </c>
      <c r="D250" s="2" t="s">
        <v>600</v>
      </c>
      <c r="I250" s="2" t="s">
        <v>621</v>
      </c>
      <c r="J250" s="2" t="s">
        <v>606</v>
      </c>
      <c r="K250" s="5" t="s">
        <v>611</v>
      </c>
    </row>
    <row r="251" spans="1:11" hidden="1" x14ac:dyDescent="0.25">
      <c r="A251" s="2" t="s">
        <v>423</v>
      </c>
      <c r="B251" s="2" t="s">
        <v>424</v>
      </c>
      <c r="C251" s="2" t="s">
        <v>425</v>
      </c>
      <c r="D251" s="2" t="s">
        <v>599</v>
      </c>
      <c r="E251" s="2" t="s">
        <v>604</v>
      </c>
      <c r="F251" s="2">
        <v>5</v>
      </c>
      <c r="G251" s="2">
        <v>45</v>
      </c>
      <c r="H251" s="2" t="s">
        <v>636</v>
      </c>
      <c r="I251" s="2" t="s">
        <v>621</v>
      </c>
      <c r="J251" s="2" t="s">
        <v>610</v>
      </c>
      <c r="K251" s="5" t="s">
        <v>611</v>
      </c>
    </row>
    <row r="252" spans="1:11" hidden="1" x14ac:dyDescent="0.25">
      <c r="A252" s="2" t="s">
        <v>423</v>
      </c>
      <c r="B252" s="2" t="s">
        <v>424</v>
      </c>
      <c r="C252" s="2" t="s">
        <v>426</v>
      </c>
      <c r="D252" s="2" t="s">
        <v>599</v>
      </c>
      <c r="E252" s="2" t="s">
        <v>604</v>
      </c>
      <c r="F252" s="2">
        <v>5</v>
      </c>
      <c r="G252" s="2">
        <v>45</v>
      </c>
      <c r="H252" s="2" t="s">
        <v>636</v>
      </c>
      <c r="I252" s="2" t="s">
        <v>624</v>
      </c>
      <c r="J252" s="2" t="s">
        <v>606</v>
      </c>
      <c r="K252" s="5" t="s">
        <v>611</v>
      </c>
    </row>
    <row r="253" spans="1:11" hidden="1" x14ac:dyDescent="0.25">
      <c r="A253" s="2" t="s">
        <v>423</v>
      </c>
      <c r="B253" s="2" t="s">
        <v>427</v>
      </c>
      <c r="C253" s="2" t="s">
        <v>428</v>
      </c>
      <c r="D253" s="2" t="s">
        <v>599</v>
      </c>
      <c r="E253" s="2" t="s">
        <v>604</v>
      </c>
      <c r="F253" s="2">
        <v>5</v>
      </c>
      <c r="G253" s="2">
        <v>45</v>
      </c>
      <c r="H253" s="2" t="s">
        <v>636</v>
      </c>
      <c r="I253" s="2" t="s">
        <v>621</v>
      </c>
      <c r="J253" s="2" t="s">
        <v>606</v>
      </c>
      <c r="K253" s="5" t="s">
        <v>611</v>
      </c>
    </row>
    <row r="254" spans="1:11" hidden="1" x14ac:dyDescent="0.25">
      <c r="A254" s="2" t="s">
        <v>423</v>
      </c>
      <c r="B254" s="2" t="s">
        <v>427</v>
      </c>
      <c r="C254" s="2" t="s">
        <v>429</v>
      </c>
      <c r="D254" s="2" t="s">
        <v>599</v>
      </c>
      <c r="E254" s="2" t="s">
        <v>604</v>
      </c>
      <c r="F254" s="2">
        <v>5</v>
      </c>
      <c r="G254" s="2">
        <v>45</v>
      </c>
      <c r="H254" s="2" t="s">
        <v>636</v>
      </c>
      <c r="I254" s="2" t="s">
        <v>621</v>
      </c>
      <c r="J254" s="2" t="s">
        <v>606</v>
      </c>
      <c r="K254" s="5" t="s">
        <v>611</v>
      </c>
    </row>
    <row r="255" spans="1:11" hidden="1" x14ac:dyDescent="0.25">
      <c r="A255" s="2" t="s">
        <v>423</v>
      </c>
      <c r="B255" s="2" t="s">
        <v>427</v>
      </c>
      <c r="C255" s="2" t="s">
        <v>430</v>
      </c>
      <c r="D255" s="2" t="s">
        <v>599</v>
      </c>
      <c r="E255" s="2" t="s">
        <v>604</v>
      </c>
      <c r="F255" s="2">
        <v>5</v>
      </c>
      <c r="G255" s="2">
        <v>45</v>
      </c>
      <c r="H255" s="2" t="s">
        <v>636</v>
      </c>
      <c r="I255" s="2" t="s">
        <v>621</v>
      </c>
      <c r="J255" s="2" t="s">
        <v>606</v>
      </c>
      <c r="K255" s="5" t="s">
        <v>611</v>
      </c>
    </row>
    <row r="256" spans="1:11" hidden="1" x14ac:dyDescent="0.25">
      <c r="A256" s="2" t="s">
        <v>423</v>
      </c>
      <c r="B256" s="2" t="s">
        <v>427</v>
      </c>
      <c r="C256" s="2" t="s">
        <v>431</v>
      </c>
      <c r="D256" s="2" t="s">
        <v>599</v>
      </c>
      <c r="E256" s="2" t="s">
        <v>604</v>
      </c>
      <c r="F256" s="2">
        <v>5</v>
      </c>
      <c r="G256" s="2">
        <v>45</v>
      </c>
      <c r="H256" s="2" t="s">
        <v>636</v>
      </c>
      <c r="I256" s="2" t="s">
        <v>621</v>
      </c>
      <c r="J256" s="2" t="s">
        <v>606</v>
      </c>
      <c r="K256" s="5" t="s">
        <v>611</v>
      </c>
    </row>
    <row r="257" spans="1:11" hidden="1" x14ac:dyDescent="0.25">
      <c r="A257" s="2" t="s">
        <v>423</v>
      </c>
      <c r="B257" s="2" t="s">
        <v>427</v>
      </c>
      <c r="C257" s="2" t="s">
        <v>432</v>
      </c>
      <c r="D257" s="2" t="s">
        <v>599</v>
      </c>
      <c r="E257" s="2" t="s">
        <v>604</v>
      </c>
      <c r="F257" s="2">
        <v>5</v>
      </c>
      <c r="G257" s="2">
        <v>45</v>
      </c>
      <c r="H257" s="2" t="s">
        <v>636</v>
      </c>
      <c r="I257" s="2" t="s">
        <v>621</v>
      </c>
      <c r="J257" s="2" t="s">
        <v>606</v>
      </c>
      <c r="K257" s="5" t="s">
        <v>611</v>
      </c>
    </row>
    <row r="258" spans="1:11" hidden="1" x14ac:dyDescent="0.25">
      <c r="A258" s="2" t="s">
        <v>433</v>
      </c>
      <c r="B258" s="2" t="s">
        <v>434</v>
      </c>
      <c r="C258" s="2" t="s">
        <v>435</v>
      </c>
      <c r="K258" s="5"/>
    </row>
    <row r="259" spans="1:11" hidden="1" x14ac:dyDescent="0.25">
      <c r="A259" s="2" t="s">
        <v>433</v>
      </c>
      <c r="B259" s="2" t="s">
        <v>436</v>
      </c>
      <c r="C259" s="2" t="s">
        <v>437</v>
      </c>
      <c r="D259" s="2" t="s">
        <v>599</v>
      </c>
      <c r="E259" s="2" t="s">
        <v>604</v>
      </c>
      <c r="F259" s="2">
        <v>5</v>
      </c>
      <c r="G259" s="2">
        <v>60</v>
      </c>
      <c r="H259" s="2" t="s">
        <v>637</v>
      </c>
      <c r="I259" s="2" t="s">
        <v>623</v>
      </c>
      <c r="J259" s="2" t="s">
        <v>607</v>
      </c>
      <c r="K259" s="5" t="s">
        <v>611</v>
      </c>
    </row>
    <row r="260" spans="1:11" hidden="1" x14ac:dyDescent="0.25">
      <c r="A260" s="2" t="s">
        <v>433</v>
      </c>
      <c r="B260" s="2" t="s">
        <v>438</v>
      </c>
      <c r="C260" s="2" t="s">
        <v>439</v>
      </c>
      <c r="D260" s="2" t="s">
        <v>599</v>
      </c>
      <c r="E260" s="2" t="s">
        <v>604</v>
      </c>
      <c r="F260" s="2">
        <v>5</v>
      </c>
      <c r="G260" s="2">
        <v>60</v>
      </c>
      <c r="H260" s="2" t="s">
        <v>637</v>
      </c>
      <c r="I260" s="2" t="s">
        <v>623</v>
      </c>
      <c r="J260" s="2" t="s">
        <v>607</v>
      </c>
      <c r="K260" s="5" t="s">
        <v>611</v>
      </c>
    </row>
    <row r="261" spans="1:11" hidden="1" x14ac:dyDescent="0.25">
      <c r="A261" s="2" t="s">
        <v>433</v>
      </c>
      <c r="B261" s="2" t="s">
        <v>438</v>
      </c>
      <c r="C261" s="2" t="s">
        <v>440</v>
      </c>
      <c r="D261" s="2" t="s">
        <v>599</v>
      </c>
      <c r="E261" s="2" t="s">
        <v>604</v>
      </c>
      <c r="F261" s="2">
        <v>5</v>
      </c>
      <c r="G261" s="2">
        <v>31</v>
      </c>
      <c r="I261" s="2" t="s">
        <v>623</v>
      </c>
      <c r="J261" s="2" t="s">
        <v>607</v>
      </c>
      <c r="K261" s="5" t="s">
        <v>611</v>
      </c>
    </row>
    <row r="262" spans="1:11" hidden="1" x14ac:dyDescent="0.25">
      <c r="A262" s="2" t="s">
        <v>441</v>
      </c>
      <c r="B262" s="2" t="s">
        <v>442</v>
      </c>
      <c r="C262" s="2" t="s">
        <v>443</v>
      </c>
      <c r="K262" s="5"/>
    </row>
    <row r="263" spans="1:11" hidden="1" x14ac:dyDescent="0.25">
      <c r="A263" s="2" t="s">
        <v>441</v>
      </c>
      <c r="B263" s="2" t="s">
        <v>442</v>
      </c>
      <c r="C263" s="2" t="s">
        <v>444</v>
      </c>
      <c r="D263" s="2" t="s">
        <v>599</v>
      </c>
      <c r="E263" s="2" t="s">
        <v>604</v>
      </c>
      <c r="F263" s="2">
        <v>5</v>
      </c>
      <c r="G263" s="2">
        <v>30</v>
      </c>
      <c r="I263" s="2" t="s">
        <v>623</v>
      </c>
      <c r="J263" s="2" t="s">
        <v>606</v>
      </c>
      <c r="K263" s="5" t="s">
        <v>611</v>
      </c>
    </row>
    <row r="264" spans="1:11" hidden="1" x14ac:dyDescent="0.25">
      <c r="A264" s="2" t="s">
        <v>441</v>
      </c>
      <c r="B264" s="2" t="s">
        <v>442</v>
      </c>
      <c r="C264" s="2" t="s">
        <v>445</v>
      </c>
      <c r="D264" s="2" t="s">
        <v>599</v>
      </c>
      <c r="E264" s="2" t="s">
        <v>604</v>
      </c>
      <c r="F264" s="2">
        <v>5</v>
      </c>
      <c r="G264" s="2">
        <v>30</v>
      </c>
      <c r="I264" s="2" t="s">
        <v>623</v>
      </c>
      <c r="J264" s="2" t="s">
        <v>606</v>
      </c>
      <c r="K264" s="5" t="s">
        <v>611</v>
      </c>
    </row>
    <row r="265" spans="1:11" hidden="1" x14ac:dyDescent="0.25">
      <c r="A265" s="2" t="s">
        <v>441</v>
      </c>
      <c r="B265" s="2" t="s">
        <v>446</v>
      </c>
      <c r="C265" s="2" t="s">
        <v>447</v>
      </c>
      <c r="D265" s="2" t="s">
        <v>599</v>
      </c>
      <c r="E265" s="2" t="s">
        <v>604</v>
      </c>
      <c r="F265" s="2">
        <v>5</v>
      </c>
      <c r="G265" s="2">
        <v>30</v>
      </c>
      <c r="I265" s="2" t="s">
        <v>623</v>
      </c>
      <c r="J265" s="2" t="s">
        <v>606</v>
      </c>
      <c r="K265" s="5">
        <v>25</v>
      </c>
    </row>
    <row r="266" spans="1:11" hidden="1" x14ac:dyDescent="0.25">
      <c r="A266" s="2" t="s">
        <v>441</v>
      </c>
      <c r="B266" s="2" t="s">
        <v>218</v>
      </c>
      <c r="C266" s="2" t="s">
        <v>448</v>
      </c>
      <c r="D266" s="2" t="s">
        <v>599</v>
      </c>
      <c r="E266" s="2" t="s">
        <v>604</v>
      </c>
      <c r="F266" s="2">
        <v>5</v>
      </c>
      <c r="G266" s="2">
        <v>30</v>
      </c>
      <c r="I266" s="2" t="s">
        <v>623</v>
      </c>
      <c r="J266" s="2" t="s">
        <v>606</v>
      </c>
      <c r="K266" s="5">
        <v>25</v>
      </c>
    </row>
    <row r="267" spans="1:11" hidden="1" x14ac:dyDescent="0.25">
      <c r="A267" s="2" t="s">
        <v>441</v>
      </c>
      <c r="B267" s="2" t="s">
        <v>449</v>
      </c>
      <c r="C267" s="2" t="s">
        <v>450</v>
      </c>
      <c r="K267" s="5"/>
    </row>
    <row r="268" spans="1:11" hidden="1" x14ac:dyDescent="0.25">
      <c r="A268" s="2" t="s">
        <v>441</v>
      </c>
      <c r="B268" s="2" t="s">
        <v>451</v>
      </c>
      <c r="C268" s="2" t="s">
        <v>452</v>
      </c>
      <c r="D268" s="2" t="s">
        <v>599</v>
      </c>
      <c r="E268" s="2" t="s">
        <v>604</v>
      </c>
      <c r="F268" s="2">
        <v>5</v>
      </c>
      <c r="G268" s="2">
        <v>30</v>
      </c>
      <c r="I268" s="2" t="s">
        <v>623</v>
      </c>
      <c r="J268" s="2" t="s">
        <v>606</v>
      </c>
      <c r="K268" s="5">
        <v>25</v>
      </c>
    </row>
    <row r="269" spans="1:11" hidden="1" x14ac:dyDescent="0.25">
      <c r="A269" s="2" t="s">
        <v>441</v>
      </c>
      <c r="B269" s="2" t="s">
        <v>453</v>
      </c>
      <c r="C269" s="2" t="s">
        <v>454</v>
      </c>
      <c r="D269" s="2" t="s">
        <v>599</v>
      </c>
      <c r="E269" s="2" t="s">
        <v>604</v>
      </c>
      <c r="F269" s="2">
        <v>5</v>
      </c>
      <c r="G269" s="2">
        <v>30</v>
      </c>
      <c r="I269" s="2" t="s">
        <v>623</v>
      </c>
      <c r="J269" s="2" t="s">
        <v>606</v>
      </c>
      <c r="K269" s="5">
        <v>20</v>
      </c>
    </row>
    <row r="270" spans="1:11" hidden="1" x14ac:dyDescent="0.25">
      <c r="A270" s="2" t="s">
        <v>441</v>
      </c>
      <c r="B270" s="2" t="s">
        <v>453</v>
      </c>
      <c r="C270" s="2" t="s">
        <v>455</v>
      </c>
      <c r="D270" s="2" t="s">
        <v>599</v>
      </c>
      <c r="E270" s="2" t="s">
        <v>604</v>
      </c>
      <c r="F270" s="2">
        <v>5</v>
      </c>
      <c r="G270" s="2">
        <v>30</v>
      </c>
      <c r="I270" s="2" t="s">
        <v>623</v>
      </c>
      <c r="J270" s="2" t="s">
        <v>606</v>
      </c>
      <c r="K270" s="5">
        <v>20</v>
      </c>
    </row>
    <row r="271" spans="1:11" hidden="1" x14ac:dyDescent="0.25">
      <c r="A271" s="2" t="s">
        <v>441</v>
      </c>
      <c r="B271" s="2" t="s">
        <v>453</v>
      </c>
      <c r="C271" s="2" t="s">
        <v>456</v>
      </c>
      <c r="D271" s="2" t="s">
        <v>599</v>
      </c>
      <c r="E271" s="2" t="s">
        <v>604</v>
      </c>
      <c r="F271" s="2">
        <v>5</v>
      </c>
      <c r="G271" s="2">
        <v>30</v>
      </c>
      <c r="I271" s="2" t="s">
        <v>623</v>
      </c>
      <c r="J271" s="2" t="s">
        <v>606</v>
      </c>
      <c r="K271" s="5">
        <v>20</v>
      </c>
    </row>
    <row r="272" spans="1:11" hidden="1" x14ac:dyDescent="0.25">
      <c r="A272" s="2" t="s">
        <v>441</v>
      </c>
      <c r="B272" s="2" t="s">
        <v>453</v>
      </c>
      <c r="C272" s="2" t="s">
        <v>457</v>
      </c>
      <c r="D272" s="2" t="s">
        <v>599</v>
      </c>
      <c r="E272" s="2" t="s">
        <v>604</v>
      </c>
      <c r="F272" s="2">
        <v>5</v>
      </c>
      <c r="G272" s="2">
        <v>30</v>
      </c>
      <c r="I272" s="2" t="s">
        <v>623</v>
      </c>
      <c r="J272" s="2" t="s">
        <v>606</v>
      </c>
      <c r="K272" s="5">
        <v>20</v>
      </c>
    </row>
    <row r="273" spans="1:11" hidden="1" x14ac:dyDescent="0.25">
      <c r="A273" s="2" t="s">
        <v>441</v>
      </c>
      <c r="B273" s="2" t="s">
        <v>453</v>
      </c>
      <c r="C273" s="2" t="s">
        <v>458</v>
      </c>
      <c r="D273" s="2" t="s">
        <v>599</v>
      </c>
      <c r="E273" s="2" t="s">
        <v>604</v>
      </c>
      <c r="F273" s="2">
        <v>5</v>
      </c>
      <c r="G273" s="2">
        <v>30</v>
      </c>
      <c r="I273" s="2" t="s">
        <v>623</v>
      </c>
      <c r="J273" s="2" t="s">
        <v>606</v>
      </c>
      <c r="K273" s="5">
        <v>20</v>
      </c>
    </row>
    <row r="274" spans="1:11" hidden="1" x14ac:dyDescent="0.25">
      <c r="A274" s="2" t="s">
        <v>441</v>
      </c>
      <c r="B274" s="2" t="s">
        <v>453</v>
      </c>
      <c r="C274" s="2" t="s">
        <v>459</v>
      </c>
      <c r="D274" s="2" t="s">
        <v>599</v>
      </c>
      <c r="E274" s="2" t="s">
        <v>604</v>
      </c>
      <c r="F274" s="2">
        <v>5</v>
      </c>
      <c r="G274" s="2">
        <v>30</v>
      </c>
      <c r="I274" s="2" t="s">
        <v>623</v>
      </c>
      <c r="J274" s="2" t="s">
        <v>606</v>
      </c>
      <c r="K274" s="5">
        <v>20</v>
      </c>
    </row>
    <row r="275" spans="1:11" hidden="1" x14ac:dyDescent="0.25">
      <c r="A275" s="2" t="s">
        <v>441</v>
      </c>
      <c r="B275" s="2" t="s">
        <v>453</v>
      </c>
      <c r="C275" s="2" t="s">
        <v>460</v>
      </c>
      <c r="D275" s="2" t="s">
        <v>599</v>
      </c>
      <c r="E275" s="2" t="s">
        <v>604</v>
      </c>
      <c r="F275" s="2">
        <v>5</v>
      </c>
      <c r="G275" s="2">
        <v>30</v>
      </c>
      <c r="I275" s="2" t="s">
        <v>623</v>
      </c>
      <c r="J275" s="2" t="s">
        <v>606</v>
      </c>
      <c r="K275" s="5">
        <v>20</v>
      </c>
    </row>
    <row r="276" spans="1:11" hidden="1" x14ac:dyDescent="0.25">
      <c r="A276" s="2" t="s">
        <v>441</v>
      </c>
      <c r="B276" s="2" t="s">
        <v>461</v>
      </c>
      <c r="C276" s="2" t="s">
        <v>462</v>
      </c>
      <c r="D276" s="2" t="s">
        <v>599</v>
      </c>
      <c r="E276" s="2" t="s">
        <v>604</v>
      </c>
      <c r="F276" s="2">
        <v>5</v>
      </c>
      <c r="G276" s="2">
        <v>30</v>
      </c>
      <c r="I276" s="2" t="s">
        <v>623</v>
      </c>
      <c r="J276" s="2" t="s">
        <v>606</v>
      </c>
      <c r="K276" s="5" t="s">
        <v>612</v>
      </c>
    </row>
    <row r="277" spans="1:11" hidden="1" x14ac:dyDescent="0.25">
      <c r="A277" s="2" t="s">
        <v>441</v>
      </c>
      <c r="B277" s="2" t="s">
        <v>461</v>
      </c>
      <c r="C277" s="2" t="s">
        <v>463</v>
      </c>
      <c r="D277" s="2" t="s">
        <v>599</v>
      </c>
      <c r="E277" s="2" t="s">
        <v>604</v>
      </c>
      <c r="F277" s="2">
        <v>5</v>
      </c>
      <c r="G277" s="2">
        <v>30</v>
      </c>
      <c r="I277" s="2" t="s">
        <v>623</v>
      </c>
      <c r="J277" s="2" t="s">
        <v>606</v>
      </c>
      <c r="K277" s="5" t="s">
        <v>612</v>
      </c>
    </row>
    <row r="278" spans="1:11" hidden="1" x14ac:dyDescent="0.25">
      <c r="A278" s="2" t="s">
        <v>441</v>
      </c>
      <c r="B278" s="2" t="s">
        <v>461</v>
      </c>
      <c r="C278" s="2" t="s">
        <v>464</v>
      </c>
      <c r="D278" s="2" t="s">
        <v>599</v>
      </c>
      <c r="E278" s="2" t="s">
        <v>604</v>
      </c>
      <c r="F278" s="2">
        <v>5</v>
      </c>
      <c r="G278" s="2">
        <v>30</v>
      </c>
      <c r="I278" s="2" t="s">
        <v>623</v>
      </c>
      <c r="J278" s="2" t="s">
        <v>606</v>
      </c>
      <c r="K278" s="5" t="s">
        <v>612</v>
      </c>
    </row>
    <row r="279" spans="1:11" hidden="1" x14ac:dyDescent="0.25">
      <c r="A279" s="2" t="s">
        <v>441</v>
      </c>
      <c r="B279" s="2" t="s">
        <v>461</v>
      </c>
      <c r="C279" s="2" t="s">
        <v>465</v>
      </c>
      <c r="D279" s="2" t="s">
        <v>599</v>
      </c>
      <c r="E279" s="2" t="s">
        <v>604</v>
      </c>
      <c r="F279" s="2">
        <v>5</v>
      </c>
      <c r="G279" s="2">
        <v>30</v>
      </c>
      <c r="I279" s="2" t="s">
        <v>623</v>
      </c>
      <c r="J279" s="2" t="s">
        <v>606</v>
      </c>
      <c r="K279" s="5" t="s">
        <v>612</v>
      </c>
    </row>
    <row r="280" spans="1:11" hidden="1" x14ac:dyDescent="0.25">
      <c r="A280" s="2" t="s">
        <v>441</v>
      </c>
      <c r="B280" s="2" t="s">
        <v>461</v>
      </c>
      <c r="C280" s="2" t="s">
        <v>466</v>
      </c>
      <c r="D280" s="2" t="s">
        <v>599</v>
      </c>
      <c r="E280" s="2" t="s">
        <v>604</v>
      </c>
      <c r="F280" s="2">
        <v>5</v>
      </c>
      <c r="G280" s="2">
        <v>30</v>
      </c>
      <c r="I280" s="2" t="s">
        <v>623</v>
      </c>
      <c r="J280" s="2" t="s">
        <v>606</v>
      </c>
      <c r="K280" s="5" t="s">
        <v>612</v>
      </c>
    </row>
    <row r="281" spans="1:11" hidden="1" x14ac:dyDescent="0.25">
      <c r="A281" s="2" t="s">
        <v>441</v>
      </c>
      <c r="B281" s="2" t="s">
        <v>461</v>
      </c>
      <c r="C281" s="2" t="s">
        <v>467</v>
      </c>
      <c r="D281" s="2" t="s">
        <v>599</v>
      </c>
      <c r="E281" s="2" t="s">
        <v>604</v>
      </c>
      <c r="F281" s="2">
        <v>5</v>
      </c>
      <c r="G281" s="2">
        <v>30</v>
      </c>
      <c r="I281" s="2" t="s">
        <v>623</v>
      </c>
      <c r="J281" s="2" t="s">
        <v>606</v>
      </c>
      <c r="K281" s="5" t="s">
        <v>612</v>
      </c>
    </row>
    <row r="282" spans="1:11" hidden="1" x14ac:dyDescent="0.25">
      <c r="A282" s="2" t="s">
        <v>441</v>
      </c>
      <c r="B282" s="2" t="s">
        <v>461</v>
      </c>
      <c r="C282" s="2" t="s">
        <v>468</v>
      </c>
      <c r="D282" s="2" t="s">
        <v>599</v>
      </c>
      <c r="E282" s="2" t="s">
        <v>604</v>
      </c>
      <c r="F282" s="2">
        <v>5</v>
      </c>
      <c r="G282" s="2">
        <v>30</v>
      </c>
      <c r="I282" s="2" t="s">
        <v>623</v>
      </c>
      <c r="J282" s="2" t="s">
        <v>606</v>
      </c>
      <c r="K282" s="5" t="s">
        <v>612</v>
      </c>
    </row>
    <row r="283" spans="1:11" hidden="1" x14ac:dyDescent="0.25">
      <c r="A283" s="2" t="s">
        <v>441</v>
      </c>
      <c r="B283" s="2" t="s">
        <v>461</v>
      </c>
      <c r="C283" s="2" t="s">
        <v>469</v>
      </c>
      <c r="D283" s="2" t="s">
        <v>599</v>
      </c>
      <c r="E283" s="2" t="s">
        <v>604</v>
      </c>
      <c r="F283" s="2">
        <v>5</v>
      </c>
      <c r="G283" s="2">
        <v>30</v>
      </c>
      <c r="I283" s="2" t="s">
        <v>623</v>
      </c>
      <c r="J283" s="2" t="s">
        <v>606</v>
      </c>
      <c r="K283" s="5" t="s">
        <v>612</v>
      </c>
    </row>
    <row r="284" spans="1:11" hidden="1" x14ac:dyDescent="0.25">
      <c r="A284" s="2" t="s">
        <v>470</v>
      </c>
      <c r="B284" s="2" t="s">
        <v>471</v>
      </c>
      <c r="C284" s="2" t="s">
        <v>472</v>
      </c>
      <c r="D284" s="2" t="s">
        <v>599</v>
      </c>
      <c r="E284" s="2" t="s">
        <v>604</v>
      </c>
      <c r="F284" s="2">
        <v>5</v>
      </c>
      <c r="G284" s="2">
        <v>27</v>
      </c>
      <c r="I284" s="2" t="s">
        <v>623</v>
      </c>
      <c r="J284" s="2" t="s">
        <v>606</v>
      </c>
      <c r="K284" s="5" t="s">
        <v>612</v>
      </c>
    </row>
    <row r="285" spans="1:11" hidden="1" x14ac:dyDescent="0.25">
      <c r="A285" s="2" t="s">
        <v>470</v>
      </c>
      <c r="B285" s="2" t="s">
        <v>471</v>
      </c>
      <c r="C285" s="2" t="s">
        <v>473</v>
      </c>
      <c r="D285" s="2" t="s">
        <v>599</v>
      </c>
      <c r="E285" s="2" t="s">
        <v>604</v>
      </c>
      <c r="F285" s="2">
        <v>5</v>
      </c>
      <c r="G285" s="2">
        <v>21</v>
      </c>
      <c r="I285" s="2" t="s">
        <v>623</v>
      </c>
      <c r="J285" s="2" t="s">
        <v>606</v>
      </c>
      <c r="K285" s="5" t="s">
        <v>612</v>
      </c>
    </row>
    <row r="286" spans="1:11" hidden="1" x14ac:dyDescent="0.25">
      <c r="A286" s="2" t="s">
        <v>470</v>
      </c>
      <c r="B286" s="2" t="s">
        <v>471</v>
      </c>
      <c r="C286" s="2" t="s">
        <v>474</v>
      </c>
      <c r="D286" s="2" t="s">
        <v>599</v>
      </c>
      <c r="E286" s="2" t="s">
        <v>604</v>
      </c>
      <c r="F286" s="2">
        <v>5</v>
      </c>
      <c r="G286" s="2">
        <v>21</v>
      </c>
      <c r="I286" s="2" t="s">
        <v>623</v>
      </c>
      <c r="J286" s="2" t="s">
        <v>606</v>
      </c>
      <c r="K286" s="5" t="s">
        <v>612</v>
      </c>
    </row>
    <row r="287" spans="1:11" hidden="1" x14ac:dyDescent="0.25">
      <c r="A287" s="2" t="s">
        <v>470</v>
      </c>
      <c r="B287" s="2" t="s">
        <v>471</v>
      </c>
      <c r="C287" s="2" t="s">
        <v>475</v>
      </c>
      <c r="D287" s="2" t="s">
        <v>599</v>
      </c>
      <c r="E287" s="2" t="s">
        <v>604</v>
      </c>
      <c r="F287" s="2">
        <v>5</v>
      </c>
      <c r="G287" s="2">
        <v>21</v>
      </c>
      <c r="I287" s="2" t="s">
        <v>623</v>
      </c>
      <c r="J287" s="2" t="s">
        <v>606</v>
      </c>
      <c r="K287" s="5" t="s">
        <v>612</v>
      </c>
    </row>
    <row r="288" spans="1:11" hidden="1" x14ac:dyDescent="0.25">
      <c r="A288" s="2" t="s">
        <v>476</v>
      </c>
      <c r="B288" s="2" t="s">
        <v>477</v>
      </c>
      <c r="C288" s="2" t="s">
        <v>478</v>
      </c>
      <c r="D288" s="2" t="s">
        <v>599</v>
      </c>
      <c r="E288" s="2" t="s">
        <v>604</v>
      </c>
      <c r="F288" s="2">
        <v>5</v>
      </c>
      <c r="G288" s="2">
        <v>60</v>
      </c>
      <c r="H288" s="2" t="s">
        <v>634</v>
      </c>
      <c r="I288" s="2" t="s">
        <v>623</v>
      </c>
      <c r="J288" s="2" t="s">
        <v>607</v>
      </c>
      <c r="K288" s="5">
        <v>25</v>
      </c>
    </row>
    <row r="289" spans="1:11" hidden="1" x14ac:dyDescent="0.25">
      <c r="A289" s="2" t="s">
        <v>476</v>
      </c>
      <c r="B289" s="2" t="s">
        <v>477</v>
      </c>
      <c r="C289" s="2" t="s">
        <v>479</v>
      </c>
      <c r="D289" s="2" t="s">
        <v>599</v>
      </c>
      <c r="E289" s="2" t="s">
        <v>604</v>
      </c>
      <c r="F289" s="2">
        <v>5</v>
      </c>
      <c r="G289" s="2">
        <v>60</v>
      </c>
      <c r="H289" s="2" t="s">
        <v>634</v>
      </c>
      <c r="I289" s="2" t="s">
        <v>623</v>
      </c>
      <c r="J289" s="2" t="s">
        <v>607</v>
      </c>
      <c r="K289" s="5">
        <v>25</v>
      </c>
    </row>
    <row r="290" spans="1:11" hidden="1" x14ac:dyDescent="0.25">
      <c r="A290" s="2" t="s">
        <v>476</v>
      </c>
      <c r="B290" s="2" t="s">
        <v>477</v>
      </c>
      <c r="C290" s="2" t="s">
        <v>480</v>
      </c>
      <c r="D290" s="2" t="s">
        <v>599</v>
      </c>
      <c r="E290" s="2" t="s">
        <v>604</v>
      </c>
      <c r="F290" s="2">
        <v>5</v>
      </c>
      <c r="G290" s="2">
        <v>60</v>
      </c>
      <c r="H290" s="2" t="s">
        <v>634</v>
      </c>
      <c r="I290" s="2" t="s">
        <v>623</v>
      </c>
      <c r="J290" s="2" t="s">
        <v>607</v>
      </c>
      <c r="K290" s="5">
        <v>25</v>
      </c>
    </row>
    <row r="291" spans="1:11" hidden="1" x14ac:dyDescent="0.25">
      <c r="A291" s="2" t="s">
        <v>481</v>
      </c>
      <c r="B291" s="2" t="s">
        <v>482</v>
      </c>
      <c r="C291" s="2" t="s">
        <v>483</v>
      </c>
      <c r="D291" s="2" t="s">
        <v>599</v>
      </c>
      <c r="E291" s="2" t="s">
        <v>604</v>
      </c>
      <c r="F291" s="2">
        <v>5</v>
      </c>
      <c r="G291" s="2">
        <v>32</v>
      </c>
      <c r="I291" s="2" t="s">
        <v>628</v>
      </c>
      <c r="J291" s="2" t="s">
        <v>606</v>
      </c>
      <c r="K291" s="5">
        <v>25</v>
      </c>
    </row>
    <row r="292" spans="1:11" hidden="1" x14ac:dyDescent="0.25">
      <c r="A292" s="2" t="s">
        <v>481</v>
      </c>
      <c r="B292" s="2" t="s">
        <v>484</v>
      </c>
      <c r="C292" s="2" t="s">
        <v>485</v>
      </c>
      <c r="D292" s="2" t="s">
        <v>599</v>
      </c>
      <c r="E292" s="2" t="s">
        <v>604</v>
      </c>
      <c r="F292" s="2">
        <v>5</v>
      </c>
      <c r="G292" s="2">
        <v>32</v>
      </c>
      <c r="I292" s="2" t="s">
        <v>628</v>
      </c>
      <c r="J292" s="2" t="s">
        <v>606</v>
      </c>
      <c r="K292" s="5">
        <v>25</v>
      </c>
    </row>
    <row r="293" spans="1:11" hidden="1" x14ac:dyDescent="0.25">
      <c r="A293" s="2" t="s">
        <v>481</v>
      </c>
      <c r="B293" s="2" t="s">
        <v>484</v>
      </c>
      <c r="C293" s="2" t="s">
        <v>486</v>
      </c>
      <c r="D293" s="2" t="s">
        <v>599</v>
      </c>
      <c r="E293" s="2" t="s">
        <v>604</v>
      </c>
      <c r="F293" s="2">
        <v>5</v>
      </c>
      <c r="G293" s="2">
        <v>32</v>
      </c>
      <c r="I293" s="2" t="s">
        <v>628</v>
      </c>
      <c r="J293" s="2" t="s">
        <v>606</v>
      </c>
      <c r="K293" s="5">
        <v>25</v>
      </c>
    </row>
    <row r="294" spans="1:11" hidden="1" x14ac:dyDescent="0.25">
      <c r="A294" s="2" t="s">
        <v>481</v>
      </c>
      <c r="B294" s="2" t="s">
        <v>484</v>
      </c>
      <c r="C294" s="2" t="s">
        <v>487</v>
      </c>
      <c r="D294" s="2" t="s">
        <v>599</v>
      </c>
      <c r="E294" s="2" t="s">
        <v>604</v>
      </c>
      <c r="F294" s="2">
        <v>5</v>
      </c>
      <c r="G294" s="2">
        <v>32</v>
      </c>
      <c r="I294" s="2" t="s">
        <v>628</v>
      </c>
      <c r="J294" s="2" t="s">
        <v>606</v>
      </c>
      <c r="K294" s="5">
        <v>25</v>
      </c>
    </row>
    <row r="295" spans="1:11" hidden="1" x14ac:dyDescent="0.25">
      <c r="A295" s="2" t="s">
        <v>481</v>
      </c>
      <c r="B295" s="2" t="s">
        <v>488</v>
      </c>
      <c r="C295" s="2" t="s">
        <v>489</v>
      </c>
      <c r="D295" s="2" t="s">
        <v>599</v>
      </c>
      <c r="E295" s="2" t="s">
        <v>604</v>
      </c>
      <c r="F295" s="2">
        <v>5</v>
      </c>
      <c r="G295" s="2">
        <v>32</v>
      </c>
      <c r="I295" s="2" t="s">
        <v>628</v>
      </c>
      <c r="J295" s="2" t="s">
        <v>606</v>
      </c>
      <c r="K295" s="5">
        <v>25</v>
      </c>
    </row>
    <row r="296" spans="1:11" hidden="1" x14ac:dyDescent="0.25">
      <c r="A296" s="2" t="s">
        <v>490</v>
      </c>
      <c r="B296" s="2" t="s">
        <v>385</v>
      </c>
      <c r="C296" s="2" t="s">
        <v>491</v>
      </c>
      <c r="D296" s="2" t="s">
        <v>599</v>
      </c>
      <c r="E296" s="2" t="s">
        <v>604</v>
      </c>
      <c r="F296" s="2">
        <v>5</v>
      </c>
      <c r="G296" s="2">
        <v>7</v>
      </c>
      <c r="I296" s="2" t="s">
        <v>623</v>
      </c>
      <c r="J296" s="2" t="s">
        <v>607</v>
      </c>
      <c r="K296" s="5" t="s">
        <v>611</v>
      </c>
    </row>
    <row r="297" spans="1:11" hidden="1" x14ac:dyDescent="0.25">
      <c r="A297" s="2" t="s">
        <v>490</v>
      </c>
      <c r="B297" s="2" t="s">
        <v>385</v>
      </c>
      <c r="C297" s="2" t="s">
        <v>492</v>
      </c>
      <c r="D297" s="2" t="s">
        <v>599</v>
      </c>
      <c r="E297" s="2" t="s">
        <v>604</v>
      </c>
      <c r="F297" s="2">
        <v>5</v>
      </c>
      <c r="G297" s="2">
        <v>7</v>
      </c>
      <c r="I297" s="2" t="s">
        <v>623</v>
      </c>
      <c r="J297" s="2" t="s">
        <v>607</v>
      </c>
      <c r="K297" s="5" t="s">
        <v>611</v>
      </c>
    </row>
    <row r="298" spans="1:11" hidden="1" x14ac:dyDescent="0.25">
      <c r="A298" s="2" t="s">
        <v>490</v>
      </c>
      <c r="B298" s="2" t="s">
        <v>236</v>
      </c>
      <c r="C298" s="2" t="s">
        <v>493</v>
      </c>
      <c r="D298" s="2" t="s">
        <v>599</v>
      </c>
      <c r="E298" s="2" t="s">
        <v>604</v>
      </c>
      <c r="F298" s="2">
        <v>5</v>
      </c>
      <c r="G298" s="2">
        <v>7</v>
      </c>
      <c r="I298" s="2" t="s">
        <v>623</v>
      </c>
      <c r="J298" s="2" t="s">
        <v>607</v>
      </c>
      <c r="K298" s="5" t="s">
        <v>611</v>
      </c>
    </row>
    <row r="299" spans="1:11" hidden="1" x14ac:dyDescent="0.25">
      <c r="A299" s="2" t="s">
        <v>490</v>
      </c>
      <c r="B299" s="2" t="s">
        <v>236</v>
      </c>
      <c r="C299" s="2" t="s">
        <v>494</v>
      </c>
      <c r="D299" s="2" t="s">
        <v>599</v>
      </c>
      <c r="E299" s="2" t="s">
        <v>604</v>
      </c>
      <c r="F299" s="2">
        <v>5</v>
      </c>
      <c r="G299" s="2">
        <v>7</v>
      </c>
      <c r="I299" s="2" t="s">
        <v>623</v>
      </c>
      <c r="J299" s="2" t="s">
        <v>607</v>
      </c>
      <c r="K299" s="5" t="s">
        <v>611</v>
      </c>
    </row>
    <row r="300" spans="1:11" hidden="1" x14ac:dyDescent="0.25">
      <c r="A300" s="2" t="s">
        <v>490</v>
      </c>
      <c r="B300" s="2" t="s">
        <v>236</v>
      </c>
      <c r="C300" s="2" t="s">
        <v>495</v>
      </c>
      <c r="D300" s="2" t="s">
        <v>599</v>
      </c>
      <c r="E300" s="2" t="s">
        <v>604</v>
      </c>
      <c r="F300" s="2">
        <v>5</v>
      </c>
      <c r="G300" s="2">
        <v>7</v>
      </c>
      <c r="I300" s="2" t="s">
        <v>623</v>
      </c>
      <c r="J300" s="2" t="s">
        <v>607</v>
      </c>
      <c r="K300" s="5" t="s">
        <v>611</v>
      </c>
    </row>
    <row r="301" spans="1:11" hidden="1" x14ac:dyDescent="0.25">
      <c r="A301" s="2" t="s">
        <v>496</v>
      </c>
      <c r="B301" s="2" t="s">
        <v>4</v>
      </c>
      <c r="C301" s="2" t="s">
        <v>497</v>
      </c>
      <c r="D301" s="2" t="s">
        <v>599</v>
      </c>
      <c r="E301" s="2" t="s">
        <v>604</v>
      </c>
      <c r="F301" s="2">
        <v>5</v>
      </c>
      <c r="G301" s="2">
        <v>14</v>
      </c>
      <c r="H301" s="2" t="s">
        <v>638</v>
      </c>
      <c r="I301" s="2" t="s">
        <v>623</v>
      </c>
      <c r="J301" s="2" t="s">
        <v>606</v>
      </c>
      <c r="K301" s="5">
        <v>25</v>
      </c>
    </row>
    <row r="302" spans="1:11" hidden="1" x14ac:dyDescent="0.25">
      <c r="A302" s="2" t="s">
        <v>496</v>
      </c>
      <c r="B302" s="2" t="s">
        <v>4</v>
      </c>
      <c r="C302" s="2" t="s">
        <v>498</v>
      </c>
      <c r="D302" s="2" t="s">
        <v>599</v>
      </c>
      <c r="E302" s="2" t="s">
        <v>604</v>
      </c>
      <c r="F302" s="2">
        <v>5</v>
      </c>
      <c r="G302" s="2">
        <v>14</v>
      </c>
      <c r="H302" s="2" t="s">
        <v>638</v>
      </c>
      <c r="I302" s="2" t="s">
        <v>623</v>
      </c>
      <c r="J302" s="2" t="s">
        <v>606</v>
      </c>
      <c r="K302" s="5">
        <v>25</v>
      </c>
    </row>
    <row r="303" spans="1:11" hidden="1" x14ac:dyDescent="0.25">
      <c r="A303" s="2" t="s">
        <v>499</v>
      </c>
      <c r="B303" s="2" t="s">
        <v>500</v>
      </c>
      <c r="C303" s="2" t="s">
        <v>501</v>
      </c>
      <c r="D303" s="2" t="s">
        <v>599</v>
      </c>
      <c r="E303" s="2" t="s">
        <v>604</v>
      </c>
      <c r="F303" s="2">
        <v>5</v>
      </c>
      <c r="G303" s="2">
        <v>15</v>
      </c>
      <c r="I303" s="2" t="s">
        <v>623</v>
      </c>
      <c r="J303" s="2" t="s">
        <v>607</v>
      </c>
      <c r="K303" s="5">
        <v>25</v>
      </c>
    </row>
    <row r="304" spans="1:11" hidden="1" x14ac:dyDescent="0.25">
      <c r="A304" s="2" t="s">
        <v>499</v>
      </c>
      <c r="B304" s="2" t="s">
        <v>500</v>
      </c>
      <c r="C304" s="2" t="s">
        <v>502</v>
      </c>
      <c r="D304" s="2" t="s">
        <v>599</v>
      </c>
      <c r="E304" s="2" t="s">
        <v>604</v>
      </c>
      <c r="F304" s="2">
        <v>5</v>
      </c>
      <c r="G304" s="2">
        <v>15</v>
      </c>
      <c r="I304" s="2" t="s">
        <v>623</v>
      </c>
      <c r="J304" s="2" t="s">
        <v>607</v>
      </c>
      <c r="K304" s="5">
        <v>25</v>
      </c>
    </row>
    <row r="305" spans="1:11" hidden="1" x14ac:dyDescent="0.25">
      <c r="A305" s="2" t="s">
        <v>499</v>
      </c>
      <c r="B305" s="2" t="s">
        <v>503</v>
      </c>
      <c r="C305" s="2" t="s">
        <v>504</v>
      </c>
      <c r="D305" s="2" t="s">
        <v>599</v>
      </c>
      <c r="E305" s="2" t="s">
        <v>604</v>
      </c>
      <c r="F305" s="2">
        <v>5</v>
      </c>
      <c r="G305" s="2">
        <v>15</v>
      </c>
      <c r="I305" s="2" t="s">
        <v>623</v>
      </c>
      <c r="J305" s="2" t="s">
        <v>607</v>
      </c>
      <c r="K305" s="5">
        <v>25</v>
      </c>
    </row>
    <row r="306" spans="1:11" hidden="1" x14ac:dyDescent="0.25">
      <c r="A306" s="2" t="s">
        <v>499</v>
      </c>
      <c r="B306" s="2" t="s">
        <v>503</v>
      </c>
      <c r="C306" s="2" t="s">
        <v>505</v>
      </c>
      <c r="D306" s="2" t="s">
        <v>599</v>
      </c>
      <c r="E306" s="2" t="s">
        <v>604</v>
      </c>
      <c r="F306" s="2">
        <v>5</v>
      </c>
      <c r="G306" s="2">
        <v>15</v>
      </c>
      <c r="I306" s="2" t="s">
        <v>623</v>
      </c>
      <c r="J306" s="2" t="s">
        <v>607</v>
      </c>
      <c r="K306" s="5">
        <v>25</v>
      </c>
    </row>
    <row r="307" spans="1:11" hidden="1" x14ac:dyDescent="0.25">
      <c r="A307" s="2" t="s">
        <v>499</v>
      </c>
      <c r="B307" s="2" t="s">
        <v>503</v>
      </c>
      <c r="C307" s="2" t="s">
        <v>506</v>
      </c>
      <c r="D307" s="2" t="s">
        <v>599</v>
      </c>
      <c r="E307" s="2" t="s">
        <v>604</v>
      </c>
      <c r="F307" s="2">
        <v>5</v>
      </c>
      <c r="G307" s="2">
        <v>15</v>
      </c>
      <c r="I307" s="2" t="s">
        <v>623</v>
      </c>
      <c r="J307" s="2" t="s">
        <v>607</v>
      </c>
      <c r="K307" s="5">
        <v>25</v>
      </c>
    </row>
    <row r="308" spans="1:11" hidden="1" x14ac:dyDescent="0.25">
      <c r="A308" s="2" t="s">
        <v>499</v>
      </c>
      <c r="B308" s="2" t="s">
        <v>503</v>
      </c>
      <c r="C308" s="2" t="s">
        <v>507</v>
      </c>
      <c r="D308" s="2" t="s">
        <v>599</v>
      </c>
      <c r="E308" s="2" t="s">
        <v>604</v>
      </c>
      <c r="F308" s="2">
        <v>5</v>
      </c>
      <c r="G308" s="2">
        <v>15</v>
      </c>
      <c r="I308" s="2" t="s">
        <v>623</v>
      </c>
      <c r="J308" s="2" t="s">
        <v>607</v>
      </c>
      <c r="K308" s="5">
        <v>25</v>
      </c>
    </row>
    <row r="309" spans="1:11" hidden="1" x14ac:dyDescent="0.25">
      <c r="A309" s="2" t="s">
        <v>508</v>
      </c>
      <c r="B309" s="2" t="s">
        <v>509</v>
      </c>
      <c r="C309" s="2" t="s">
        <v>510</v>
      </c>
      <c r="D309" s="2" t="s">
        <v>599</v>
      </c>
      <c r="E309" s="2" t="s">
        <v>604</v>
      </c>
      <c r="F309" s="2">
        <v>5</v>
      </c>
      <c r="G309" s="2">
        <v>31</v>
      </c>
      <c r="H309" s="2" t="s">
        <v>625</v>
      </c>
      <c r="I309" s="2" t="s">
        <v>623</v>
      </c>
      <c r="J309" s="2" t="s">
        <v>606</v>
      </c>
      <c r="K309" s="5">
        <v>25</v>
      </c>
    </row>
    <row r="310" spans="1:11" hidden="1" x14ac:dyDescent="0.25">
      <c r="A310" s="2" t="s">
        <v>511</v>
      </c>
      <c r="B310" s="2" t="s">
        <v>244</v>
      </c>
      <c r="C310" s="2" t="s">
        <v>512</v>
      </c>
      <c r="K310" s="5"/>
    </row>
    <row r="311" spans="1:11" hidden="1" x14ac:dyDescent="0.25">
      <c r="A311" s="2" t="s">
        <v>513</v>
      </c>
      <c r="B311" s="2" t="s">
        <v>514</v>
      </c>
      <c r="C311" s="2" t="s">
        <v>515</v>
      </c>
      <c r="K311" s="5"/>
    </row>
    <row r="312" spans="1:11" hidden="1" x14ac:dyDescent="0.25">
      <c r="A312" s="2" t="s">
        <v>513</v>
      </c>
      <c r="B312" s="2" t="s">
        <v>165</v>
      </c>
      <c r="C312" s="2" t="s">
        <v>516</v>
      </c>
      <c r="D312" s="2" t="s">
        <v>599</v>
      </c>
      <c r="E312" s="2" t="s">
        <v>604</v>
      </c>
      <c r="F312" s="2">
        <v>5</v>
      </c>
      <c r="G312" s="2">
        <v>30</v>
      </c>
      <c r="I312" s="2" t="s">
        <v>623</v>
      </c>
      <c r="J312" s="2" t="s">
        <v>607</v>
      </c>
      <c r="K312" s="5">
        <v>25</v>
      </c>
    </row>
    <row r="313" spans="1:11" hidden="1" x14ac:dyDescent="0.25">
      <c r="A313" s="2" t="s">
        <v>513</v>
      </c>
      <c r="B313" s="2" t="s">
        <v>165</v>
      </c>
      <c r="C313" s="2" t="s">
        <v>517</v>
      </c>
      <c r="D313" s="2" t="s">
        <v>599</v>
      </c>
      <c r="E313" s="2" t="s">
        <v>604</v>
      </c>
      <c r="F313" s="2">
        <v>5</v>
      </c>
      <c r="G313" s="2">
        <v>30</v>
      </c>
      <c r="I313" s="2" t="s">
        <v>623</v>
      </c>
      <c r="J313" s="2" t="s">
        <v>607</v>
      </c>
      <c r="K313" s="5">
        <v>25</v>
      </c>
    </row>
    <row r="314" spans="1:11" hidden="1" x14ac:dyDescent="0.25">
      <c r="A314" s="2" t="s">
        <v>513</v>
      </c>
      <c r="B314" s="2" t="s">
        <v>518</v>
      </c>
      <c r="C314" s="2" t="s">
        <v>519</v>
      </c>
      <c r="D314" s="2" t="s">
        <v>599</v>
      </c>
      <c r="E314" s="2" t="s">
        <v>604</v>
      </c>
      <c r="F314" s="2">
        <v>5</v>
      </c>
      <c r="G314" s="2">
        <v>7</v>
      </c>
      <c r="I314" s="2" t="s">
        <v>623</v>
      </c>
      <c r="J314" s="2" t="s">
        <v>607</v>
      </c>
      <c r="K314" s="5">
        <v>25</v>
      </c>
    </row>
    <row r="315" spans="1:11" hidden="1" x14ac:dyDescent="0.25">
      <c r="A315" s="2" t="s">
        <v>520</v>
      </c>
      <c r="B315" s="2" t="s">
        <v>521</v>
      </c>
      <c r="C315" s="2" t="s">
        <v>522</v>
      </c>
      <c r="D315" s="2" t="s">
        <v>599</v>
      </c>
      <c r="E315" s="2" t="s">
        <v>604</v>
      </c>
      <c r="F315" s="2">
        <v>5</v>
      </c>
      <c r="G315" s="2">
        <v>23</v>
      </c>
      <c r="I315" s="2" t="s">
        <v>623</v>
      </c>
      <c r="J315" s="2" t="s">
        <v>606</v>
      </c>
      <c r="K315" s="5">
        <v>25</v>
      </c>
    </row>
    <row r="316" spans="1:11" hidden="1" x14ac:dyDescent="0.25">
      <c r="A316" s="2" t="s">
        <v>520</v>
      </c>
      <c r="B316" s="2" t="s">
        <v>521</v>
      </c>
      <c r="C316" s="2" t="s">
        <v>523</v>
      </c>
      <c r="D316" s="2" t="s">
        <v>599</v>
      </c>
      <c r="E316" s="2" t="s">
        <v>604</v>
      </c>
      <c r="F316" s="2">
        <v>5</v>
      </c>
      <c r="G316" s="2">
        <v>23</v>
      </c>
      <c r="I316" s="2" t="s">
        <v>623</v>
      </c>
      <c r="J316" s="2" t="s">
        <v>606</v>
      </c>
      <c r="K316" s="5">
        <v>25</v>
      </c>
    </row>
    <row r="317" spans="1:11" hidden="1" x14ac:dyDescent="0.25">
      <c r="A317" s="2" t="s">
        <v>524</v>
      </c>
      <c r="B317" s="2" t="s">
        <v>4</v>
      </c>
      <c r="C317" s="2" t="s">
        <v>525</v>
      </c>
      <c r="D317" s="2" t="s">
        <v>599</v>
      </c>
      <c r="E317" s="2" t="s">
        <v>604</v>
      </c>
      <c r="F317" s="2">
        <v>5</v>
      </c>
      <c r="G317" s="2">
        <v>60</v>
      </c>
      <c r="I317" s="2" t="s">
        <v>623</v>
      </c>
      <c r="J317" s="2" t="s">
        <v>608</v>
      </c>
      <c r="K317" s="5" t="s">
        <v>612</v>
      </c>
    </row>
    <row r="318" spans="1:11" hidden="1" x14ac:dyDescent="0.25">
      <c r="A318" s="2" t="s">
        <v>524</v>
      </c>
      <c r="B318" s="2" t="s">
        <v>4</v>
      </c>
      <c r="C318" s="2" t="s">
        <v>526</v>
      </c>
      <c r="D318" s="2" t="s">
        <v>599</v>
      </c>
      <c r="E318" s="2" t="s">
        <v>604</v>
      </c>
      <c r="F318" s="2">
        <v>5</v>
      </c>
      <c r="G318" s="2">
        <v>60</v>
      </c>
      <c r="I318" s="2" t="s">
        <v>623</v>
      </c>
      <c r="J318" s="2" t="s">
        <v>608</v>
      </c>
      <c r="K318" s="5" t="s">
        <v>612</v>
      </c>
    </row>
    <row r="319" spans="1:11" hidden="1" x14ac:dyDescent="0.25">
      <c r="A319" s="2" t="s">
        <v>527</v>
      </c>
      <c r="B319" s="2" t="s">
        <v>528</v>
      </c>
      <c r="C319" s="2" t="s">
        <v>529</v>
      </c>
      <c r="K319" s="5"/>
    </row>
    <row r="320" spans="1:11" hidden="1" x14ac:dyDescent="0.25">
      <c r="A320" s="2" t="s">
        <v>530</v>
      </c>
      <c r="B320" s="2" t="s">
        <v>218</v>
      </c>
      <c r="C320" s="2" t="s">
        <v>531</v>
      </c>
      <c r="K320" s="5"/>
    </row>
    <row r="321" spans="1:11" hidden="1" x14ac:dyDescent="0.25">
      <c r="A321" s="2" t="s">
        <v>532</v>
      </c>
      <c r="B321" s="2" t="s">
        <v>288</v>
      </c>
      <c r="C321" s="2" t="s">
        <v>533</v>
      </c>
      <c r="D321" s="2" t="s">
        <v>599</v>
      </c>
      <c r="E321" s="2" t="s">
        <v>604</v>
      </c>
      <c r="F321" s="2">
        <v>5</v>
      </c>
      <c r="G321" s="2">
        <v>24</v>
      </c>
      <c r="I321" s="2" t="s">
        <v>621</v>
      </c>
      <c r="J321" s="2" t="s">
        <v>607</v>
      </c>
      <c r="K321" s="5">
        <v>25</v>
      </c>
    </row>
    <row r="322" spans="1:11" hidden="1" x14ac:dyDescent="0.25">
      <c r="A322" s="2" t="s">
        <v>532</v>
      </c>
      <c r="B322" s="2" t="s">
        <v>288</v>
      </c>
      <c r="C322" s="2" t="s">
        <v>534</v>
      </c>
      <c r="D322" s="2" t="s">
        <v>599</v>
      </c>
      <c r="E322" s="2" t="s">
        <v>604</v>
      </c>
      <c r="F322" s="2">
        <v>5</v>
      </c>
      <c r="G322" s="2">
        <v>24</v>
      </c>
      <c r="I322" s="2" t="s">
        <v>621</v>
      </c>
      <c r="J322" s="2" t="s">
        <v>607</v>
      </c>
      <c r="K322" s="5">
        <v>25</v>
      </c>
    </row>
    <row r="323" spans="1:11" hidden="1" x14ac:dyDescent="0.25">
      <c r="A323" s="2" t="s">
        <v>532</v>
      </c>
      <c r="B323" s="2" t="s">
        <v>288</v>
      </c>
      <c r="C323" s="2" t="s">
        <v>535</v>
      </c>
      <c r="D323" s="2" t="s">
        <v>599</v>
      </c>
      <c r="E323" s="2" t="s">
        <v>604</v>
      </c>
      <c r="F323" s="2">
        <v>5</v>
      </c>
      <c r="G323" s="2">
        <v>24</v>
      </c>
      <c r="I323" s="2" t="s">
        <v>621</v>
      </c>
      <c r="J323" s="2" t="s">
        <v>607</v>
      </c>
      <c r="K323" s="5">
        <v>25</v>
      </c>
    </row>
    <row r="324" spans="1:11" hidden="1" x14ac:dyDescent="0.25">
      <c r="A324" s="2" t="s">
        <v>532</v>
      </c>
      <c r="B324" s="2" t="s">
        <v>288</v>
      </c>
      <c r="C324" s="2" t="s">
        <v>536</v>
      </c>
      <c r="D324" s="2" t="s">
        <v>599</v>
      </c>
      <c r="E324" s="2" t="s">
        <v>604</v>
      </c>
      <c r="F324" s="2">
        <v>5</v>
      </c>
      <c r="G324" s="2">
        <v>24</v>
      </c>
      <c r="I324" s="2" t="s">
        <v>621</v>
      </c>
      <c r="J324" s="2" t="s">
        <v>607</v>
      </c>
      <c r="K324" s="5">
        <v>25</v>
      </c>
    </row>
    <row r="325" spans="1:11" hidden="1" x14ac:dyDescent="0.25">
      <c r="A325" s="2" t="s">
        <v>532</v>
      </c>
      <c r="B325" s="2" t="s">
        <v>288</v>
      </c>
      <c r="C325" s="2" t="s">
        <v>537</v>
      </c>
      <c r="D325" s="2" t="s">
        <v>599</v>
      </c>
      <c r="E325" s="2" t="s">
        <v>604</v>
      </c>
      <c r="F325" s="2">
        <v>5</v>
      </c>
      <c r="G325" s="2">
        <v>24</v>
      </c>
      <c r="I325" s="2" t="s">
        <v>621</v>
      </c>
      <c r="J325" s="2" t="s">
        <v>607</v>
      </c>
      <c r="K325" s="5">
        <v>25</v>
      </c>
    </row>
    <row r="326" spans="1:11" hidden="1" x14ac:dyDescent="0.25">
      <c r="A326" s="2" t="s">
        <v>532</v>
      </c>
      <c r="B326" s="2" t="s">
        <v>288</v>
      </c>
      <c r="C326" s="2" t="s">
        <v>538</v>
      </c>
      <c r="D326" s="2" t="s">
        <v>599</v>
      </c>
      <c r="E326" s="2" t="s">
        <v>604</v>
      </c>
      <c r="F326" s="2">
        <v>5</v>
      </c>
      <c r="G326" s="2">
        <v>24</v>
      </c>
      <c r="I326" s="2" t="s">
        <v>621</v>
      </c>
      <c r="J326" s="2" t="s">
        <v>607</v>
      </c>
      <c r="K326" s="5">
        <v>25</v>
      </c>
    </row>
    <row r="327" spans="1:11" hidden="1" x14ac:dyDescent="0.25">
      <c r="A327" s="2" t="s">
        <v>532</v>
      </c>
      <c r="B327" s="2" t="s">
        <v>288</v>
      </c>
      <c r="C327" s="2" t="s">
        <v>539</v>
      </c>
      <c r="D327" s="2" t="s">
        <v>599</v>
      </c>
      <c r="E327" s="2" t="s">
        <v>604</v>
      </c>
      <c r="F327" s="2">
        <v>5</v>
      </c>
      <c r="G327" s="2">
        <v>24</v>
      </c>
      <c r="I327" s="2" t="s">
        <v>621</v>
      </c>
      <c r="J327" s="2" t="s">
        <v>607</v>
      </c>
      <c r="K327" s="5">
        <v>25</v>
      </c>
    </row>
    <row r="328" spans="1:11" hidden="1" x14ac:dyDescent="0.25">
      <c r="A328" s="2" t="s">
        <v>532</v>
      </c>
      <c r="B328" s="2" t="s">
        <v>288</v>
      </c>
      <c r="C328" s="2" t="s">
        <v>540</v>
      </c>
      <c r="D328" s="2" t="s">
        <v>599</v>
      </c>
      <c r="E328" s="2" t="s">
        <v>604</v>
      </c>
      <c r="F328" s="2">
        <v>5</v>
      </c>
      <c r="G328" s="2">
        <v>24</v>
      </c>
      <c r="I328" s="2" t="s">
        <v>621</v>
      </c>
      <c r="J328" s="2" t="s">
        <v>607</v>
      </c>
      <c r="K328" s="5">
        <v>25</v>
      </c>
    </row>
    <row r="329" spans="1:11" hidden="1" x14ac:dyDescent="0.25">
      <c r="A329" s="2" t="s">
        <v>532</v>
      </c>
      <c r="B329" s="2" t="s">
        <v>288</v>
      </c>
      <c r="C329" s="2" t="s">
        <v>541</v>
      </c>
      <c r="D329" s="2" t="s">
        <v>599</v>
      </c>
      <c r="E329" s="2" t="s">
        <v>604</v>
      </c>
      <c r="F329" s="2">
        <v>5</v>
      </c>
      <c r="G329" s="2">
        <v>24</v>
      </c>
      <c r="I329" s="2" t="s">
        <v>621</v>
      </c>
      <c r="J329" s="2" t="s">
        <v>607</v>
      </c>
      <c r="K329" s="5">
        <v>25</v>
      </c>
    </row>
    <row r="330" spans="1:11" hidden="1" x14ac:dyDescent="0.25">
      <c r="A330" s="2" t="s">
        <v>532</v>
      </c>
      <c r="B330" s="2" t="s">
        <v>288</v>
      </c>
      <c r="C330" s="2" t="s">
        <v>542</v>
      </c>
      <c r="D330" s="2" t="s">
        <v>599</v>
      </c>
      <c r="E330" s="2" t="s">
        <v>604</v>
      </c>
      <c r="F330" s="2">
        <v>5</v>
      </c>
      <c r="G330" s="2">
        <v>24</v>
      </c>
      <c r="I330" s="2" t="s">
        <v>621</v>
      </c>
      <c r="J330" s="2" t="s">
        <v>607</v>
      </c>
      <c r="K330" s="5">
        <v>25</v>
      </c>
    </row>
    <row r="331" spans="1:11" hidden="1" x14ac:dyDescent="0.25">
      <c r="A331" s="2" t="s">
        <v>532</v>
      </c>
      <c r="B331" s="2" t="s">
        <v>288</v>
      </c>
      <c r="C331" s="2" t="s">
        <v>543</v>
      </c>
      <c r="D331" s="2" t="s">
        <v>599</v>
      </c>
      <c r="E331" s="2" t="s">
        <v>604</v>
      </c>
      <c r="F331" s="2">
        <v>5</v>
      </c>
      <c r="G331" s="2">
        <v>24</v>
      </c>
      <c r="I331" s="2" t="s">
        <v>621</v>
      </c>
      <c r="J331" s="2" t="s">
        <v>607</v>
      </c>
      <c r="K331" s="5">
        <v>25</v>
      </c>
    </row>
    <row r="332" spans="1:11" hidden="1" x14ac:dyDescent="0.25">
      <c r="A332" s="2" t="s">
        <v>532</v>
      </c>
      <c r="B332" s="2" t="s">
        <v>544</v>
      </c>
      <c r="C332" s="2" t="s">
        <v>545</v>
      </c>
      <c r="D332" s="2" t="s">
        <v>599</v>
      </c>
      <c r="E332" s="2" t="s">
        <v>604</v>
      </c>
      <c r="F332" s="2">
        <v>5</v>
      </c>
      <c r="G332" s="2">
        <v>24</v>
      </c>
      <c r="I332" s="2" t="s">
        <v>621</v>
      </c>
      <c r="J332" s="2" t="s">
        <v>607</v>
      </c>
      <c r="K332" s="5">
        <v>25</v>
      </c>
    </row>
    <row r="333" spans="1:11" hidden="1" x14ac:dyDescent="0.25">
      <c r="A333" s="2" t="s">
        <v>532</v>
      </c>
      <c r="B333" s="2" t="s">
        <v>544</v>
      </c>
      <c r="C333" s="2" t="s">
        <v>546</v>
      </c>
      <c r="D333" s="2" t="s">
        <v>599</v>
      </c>
      <c r="E333" s="2" t="s">
        <v>604</v>
      </c>
      <c r="F333" s="2">
        <v>5</v>
      </c>
      <c r="G333" s="2">
        <v>24</v>
      </c>
      <c r="I333" s="2" t="s">
        <v>621</v>
      </c>
      <c r="J333" s="2" t="s">
        <v>607</v>
      </c>
      <c r="K333" s="5">
        <v>25</v>
      </c>
    </row>
    <row r="334" spans="1:11" hidden="1" x14ac:dyDescent="0.25">
      <c r="A334" s="2" t="s">
        <v>532</v>
      </c>
      <c r="B334" s="2" t="s">
        <v>544</v>
      </c>
      <c r="C334" s="2" t="s">
        <v>547</v>
      </c>
      <c r="D334" s="2" t="s">
        <v>599</v>
      </c>
      <c r="E334" s="2" t="s">
        <v>604</v>
      </c>
      <c r="F334" s="2">
        <v>5</v>
      </c>
      <c r="G334" s="2">
        <v>24</v>
      </c>
      <c r="I334" s="2" t="s">
        <v>621</v>
      </c>
      <c r="J334" s="2" t="s">
        <v>607</v>
      </c>
      <c r="K334" s="5">
        <v>25</v>
      </c>
    </row>
    <row r="335" spans="1:11" hidden="1" x14ac:dyDescent="0.25">
      <c r="A335" s="2" t="s">
        <v>532</v>
      </c>
      <c r="B335" s="2" t="s">
        <v>544</v>
      </c>
      <c r="C335" s="2" t="s">
        <v>548</v>
      </c>
      <c r="D335" s="2" t="s">
        <v>599</v>
      </c>
      <c r="E335" s="2" t="s">
        <v>604</v>
      </c>
      <c r="F335" s="2">
        <v>5</v>
      </c>
      <c r="G335" s="2">
        <v>24</v>
      </c>
      <c r="I335" s="2" t="s">
        <v>621</v>
      </c>
      <c r="J335" s="2" t="s">
        <v>607</v>
      </c>
      <c r="K335" s="5">
        <v>25</v>
      </c>
    </row>
    <row r="336" spans="1:11" hidden="1" x14ac:dyDescent="0.25">
      <c r="A336" s="2" t="s">
        <v>532</v>
      </c>
      <c r="B336" s="2" t="s">
        <v>544</v>
      </c>
      <c r="C336" s="2" t="s">
        <v>549</v>
      </c>
      <c r="D336" s="2" t="s">
        <v>599</v>
      </c>
      <c r="E336" s="2" t="s">
        <v>604</v>
      </c>
      <c r="F336" s="2">
        <v>5</v>
      </c>
      <c r="G336" s="2">
        <v>24</v>
      </c>
      <c r="I336" s="2" t="s">
        <v>621</v>
      </c>
      <c r="J336" s="2" t="s">
        <v>607</v>
      </c>
      <c r="K336" s="5">
        <v>25</v>
      </c>
    </row>
    <row r="337" spans="1:11" hidden="1" x14ac:dyDescent="0.25">
      <c r="A337" s="2" t="s">
        <v>532</v>
      </c>
      <c r="B337" s="2" t="s">
        <v>544</v>
      </c>
      <c r="C337" s="2" t="s">
        <v>550</v>
      </c>
      <c r="D337" s="2" t="s">
        <v>599</v>
      </c>
      <c r="E337" s="2" t="s">
        <v>604</v>
      </c>
      <c r="F337" s="2">
        <v>5</v>
      </c>
      <c r="G337" s="2">
        <v>24</v>
      </c>
      <c r="I337" s="2" t="s">
        <v>621</v>
      </c>
      <c r="J337" s="2" t="s">
        <v>607</v>
      </c>
      <c r="K337" s="5">
        <v>25</v>
      </c>
    </row>
    <row r="338" spans="1:11" hidden="1" x14ac:dyDescent="0.25">
      <c r="A338" s="2" t="s">
        <v>532</v>
      </c>
      <c r="B338" s="2" t="s">
        <v>544</v>
      </c>
      <c r="C338" s="2" t="s">
        <v>551</v>
      </c>
      <c r="D338" s="2" t="s">
        <v>599</v>
      </c>
      <c r="E338" s="2" t="s">
        <v>604</v>
      </c>
      <c r="F338" s="2">
        <v>5</v>
      </c>
      <c r="G338" s="2">
        <v>24</v>
      </c>
      <c r="I338" s="2" t="s">
        <v>621</v>
      </c>
      <c r="J338" s="2" t="s">
        <v>607</v>
      </c>
      <c r="K338" s="5">
        <v>25</v>
      </c>
    </row>
    <row r="339" spans="1:11" hidden="1" x14ac:dyDescent="0.25">
      <c r="A339" s="2" t="s">
        <v>532</v>
      </c>
      <c r="B339" s="2" t="s">
        <v>544</v>
      </c>
      <c r="C339" s="2" t="s">
        <v>552</v>
      </c>
      <c r="D339" s="2" t="s">
        <v>599</v>
      </c>
      <c r="E339" s="2" t="s">
        <v>604</v>
      </c>
      <c r="F339" s="2">
        <v>5</v>
      </c>
      <c r="G339" s="2">
        <v>24</v>
      </c>
      <c r="I339" s="2" t="s">
        <v>621</v>
      </c>
      <c r="J339" s="2" t="s">
        <v>607</v>
      </c>
      <c r="K339" s="5">
        <v>25</v>
      </c>
    </row>
    <row r="340" spans="1:11" hidden="1" x14ac:dyDescent="0.25">
      <c r="A340" s="2" t="s">
        <v>532</v>
      </c>
      <c r="B340" s="2" t="s">
        <v>544</v>
      </c>
      <c r="C340" s="2" t="s">
        <v>553</v>
      </c>
      <c r="D340" s="2" t="s">
        <v>599</v>
      </c>
      <c r="E340" s="2" t="s">
        <v>604</v>
      </c>
      <c r="F340" s="2">
        <v>5</v>
      </c>
      <c r="G340" s="2">
        <v>24</v>
      </c>
      <c r="I340" s="2" t="s">
        <v>621</v>
      </c>
      <c r="J340" s="2" t="s">
        <v>607</v>
      </c>
      <c r="K340" s="5">
        <v>25</v>
      </c>
    </row>
    <row r="341" spans="1:11" hidden="1" x14ac:dyDescent="0.25">
      <c r="A341" s="2" t="s">
        <v>554</v>
      </c>
      <c r="B341" s="2" t="s">
        <v>555</v>
      </c>
      <c r="C341" s="2" t="s">
        <v>556</v>
      </c>
      <c r="D341" s="2" t="s">
        <v>599</v>
      </c>
      <c r="E341" s="2" t="s">
        <v>604</v>
      </c>
      <c r="F341" s="2">
        <v>5</v>
      </c>
      <c r="G341" s="2">
        <v>32</v>
      </c>
      <c r="H341" s="2" t="s">
        <v>617</v>
      </c>
      <c r="I341" s="2" t="s">
        <v>623</v>
      </c>
      <c r="J341" s="2" t="s">
        <v>606</v>
      </c>
      <c r="K341" s="5" t="s">
        <v>611</v>
      </c>
    </row>
    <row r="342" spans="1:11" hidden="1" x14ac:dyDescent="0.25">
      <c r="A342" s="2" t="s">
        <v>557</v>
      </c>
      <c r="B342" s="2" t="s">
        <v>288</v>
      </c>
      <c r="C342" s="2" t="s">
        <v>558</v>
      </c>
      <c r="D342" s="2" t="s">
        <v>599</v>
      </c>
      <c r="E342" s="2" t="s">
        <v>605</v>
      </c>
      <c r="F342" s="2">
        <v>5</v>
      </c>
      <c r="G342" s="2">
        <v>50</v>
      </c>
      <c r="I342" s="2" t="s">
        <v>623</v>
      </c>
      <c r="J342" s="2" t="s">
        <v>607</v>
      </c>
      <c r="K342" s="5" t="s">
        <v>612</v>
      </c>
    </row>
    <row r="343" spans="1:11" hidden="1" x14ac:dyDescent="0.25">
      <c r="A343" s="2" t="s">
        <v>557</v>
      </c>
      <c r="B343" s="2" t="s">
        <v>288</v>
      </c>
      <c r="C343" s="2" t="s">
        <v>559</v>
      </c>
      <c r="D343" s="2" t="s">
        <v>599</v>
      </c>
      <c r="E343" s="2" t="s">
        <v>605</v>
      </c>
      <c r="F343" s="2">
        <v>5</v>
      </c>
      <c r="G343" s="2">
        <v>50</v>
      </c>
      <c r="I343" s="2" t="s">
        <v>623</v>
      </c>
      <c r="J343" s="2" t="s">
        <v>607</v>
      </c>
      <c r="K343" s="5" t="s">
        <v>612</v>
      </c>
    </row>
    <row r="344" spans="1:11" hidden="1" x14ac:dyDescent="0.25">
      <c r="A344" s="2" t="s">
        <v>557</v>
      </c>
      <c r="B344" s="2" t="s">
        <v>560</v>
      </c>
      <c r="C344" s="2" t="s">
        <v>561</v>
      </c>
      <c r="K344" s="5"/>
    </row>
    <row r="345" spans="1:11" hidden="1" x14ac:dyDescent="0.25">
      <c r="A345" s="2" t="s">
        <v>557</v>
      </c>
      <c r="B345" s="2" t="s">
        <v>562</v>
      </c>
      <c r="C345" s="2" t="s">
        <v>563</v>
      </c>
      <c r="K345" s="5"/>
    </row>
    <row r="346" spans="1:11" hidden="1" x14ac:dyDescent="0.25">
      <c r="A346" s="2" t="s">
        <v>557</v>
      </c>
      <c r="B346" s="2" t="s">
        <v>562</v>
      </c>
      <c r="C346" s="2" t="s">
        <v>564</v>
      </c>
      <c r="K346" s="5"/>
    </row>
    <row r="347" spans="1:11" hidden="1" x14ac:dyDescent="0.25">
      <c r="A347" s="2" t="s">
        <v>557</v>
      </c>
      <c r="B347" s="2" t="s">
        <v>562</v>
      </c>
      <c r="C347" s="2" t="s">
        <v>565</v>
      </c>
      <c r="K347" s="5"/>
    </row>
    <row r="348" spans="1:11" hidden="1" x14ac:dyDescent="0.25">
      <c r="A348" s="2" t="s">
        <v>557</v>
      </c>
      <c r="B348" s="2" t="s">
        <v>566</v>
      </c>
      <c r="C348" s="2" t="s">
        <v>567</v>
      </c>
      <c r="K348" s="5"/>
    </row>
    <row r="349" spans="1:11" hidden="1" x14ac:dyDescent="0.25">
      <c r="A349" s="2" t="s">
        <v>568</v>
      </c>
      <c r="B349" s="2" t="s">
        <v>569</v>
      </c>
      <c r="C349" s="2" t="s">
        <v>570</v>
      </c>
      <c r="D349" s="2" t="s">
        <v>599</v>
      </c>
      <c r="E349" s="2" t="s">
        <v>604</v>
      </c>
      <c r="F349" s="2">
        <v>5</v>
      </c>
      <c r="G349" s="2">
        <v>14</v>
      </c>
      <c r="I349" s="2" t="s">
        <v>623</v>
      </c>
      <c r="J349" s="2" t="s">
        <v>608</v>
      </c>
      <c r="K349" s="5" t="s">
        <v>612</v>
      </c>
    </row>
    <row r="350" spans="1:11" hidden="1" x14ac:dyDescent="0.25">
      <c r="A350" s="2" t="s">
        <v>568</v>
      </c>
      <c r="B350" s="2" t="s">
        <v>569</v>
      </c>
      <c r="C350" s="2" t="s">
        <v>571</v>
      </c>
      <c r="D350" s="2" t="s">
        <v>599</v>
      </c>
      <c r="E350" s="2" t="s">
        <v>604</v>
      </c>
      <c r="F350" s="2">
        <v>5</v>
      </c>
      <c r="G350" s="2">
        <v>14</v>
      </c>
      <c r="I350" s="2" t="s">
        <v>623</v>
      </c>
      <c r="J350" s="2" t="s">
        <v>608</v>
      </c>
      <c r="K350" s="5" t="s">
        <v>612</v>
      </c>
    </row>
    <row r="351" spans="1:11" hidden="1" x14ac:dyDescent="0.25">
      <c r="A351" s="2" t="s">
        <v>568</v>
      </c>
      <c r="B351" s="2" t="s">
        <v>569</v>
      </c>
      <c r="C351" s="2" t="s">
        <v>572</v>
      </c>
      <c r="D351" s="2" t="s">
        <v>599</v>
      </c>
      <c r="E351" s="2" t="s">
        <v>604</v>
      </c>
      <c r="F351" s="2">
        <v>5</v>
      </c>
      <c r="G351" s="2">
        <v>14</v>
      </c>
      <c r="I351" s="2" t="s">
        <v>623</v>
      </c>
      <c r="J351" s="2" t="s">
        <v>608</v>
      </c>
      <c r="K351" s="5" t="s">
        <v>612</v>
      </c>
    </row>
    <row r="352" spans="1:11" hidden="1" x14ac:dyDescent="0.25">
      <c r="A352" s="2" t="s">
        <v>573</v>
      </c>
      <c r="B352" s="2" t="s">
        <v>574</v>
      </c>
      <c r="C352" s="2" t="s">
        <v>575</v>
      </c>
      <c r="D352" s="2" t="s">
        <v>599</v>
      </c>
      <c r="E352" s="2" t="s">
        <v>604</v>
      </c>
      <c r="F352" s="2">
        <v>5</v>
      </c>
      <c r="G352" s="2">
        <v>60</v>
      </c>
      <c r="H352" s="2" t="s">
        <v>622</v>
      </c>
      <c r="I352" s="2" t="s">
        <v>623</v>
      </c>
      <c r="J352" s="2" t="s">
        <v>606</v>
      </c>
      <c r="K352" s="5" t="s">
        <v>612</v>
      </c>
    </row>
    <row r="353" spans="1:11" hidden="1" x14ac:dyDescent="0.25">
      <c r="A353" s="2" t="s">
        <v>576</v>
      </c>
      <c r="B353" s="2" t="s">
        <v>577</v>
      </c>
      <c r="C353" s="2" t="s">
        <v>578</v>
      </c>
      <c r="D353" s="2" t="s">
        <v>599</v>
      </c>
      <c r="E353" s="2" t="s">
        <v>604</v>
      </c>
      <c r="F353" s="2">
        <v>5</v>
      </c>
      <c r="G353" s="2">
        <v>32</v>
      </c>
      <c r="I353" s="2" t="s">
        <v>621</v>
      </c>
      <c r="J353" s="2" t="s">
        <v>606</v>
      </c>
      <c r="K353" s="5" t="s">
        <v>612</v>
      </c>
    </row>
    <row r="354" spans="1:11" hidden="1" x14ac:dyDescent="0.25">
      <c r="A354" s="2" t="s">
        <v>576</v>
      </c>
      <c r="B354" s="2" t="s">
        <v>577</v>
      </c>
      <c r="C354" s="2" t="s">
        <v>579</v>
      </c>
      <c r="D354" s="2" t="s">
        <v>600</v>
      </c>
      <c r="I354" s="2" t="s">
        <v>621</v>
      </c>
      <c r="J354" s="2" t="s">
        <v>606</v>
      </c>
      <c r="K354" s="5" t="s">
        <v>612</v>
      </c>
    </row>
  </sheetData>
  <autoFilter ref="A1:K354" xr:uid="{00000000-0009-0000-0000-000002000000}">
    <filterColumn colId="0">
      <filters>
        <filter val="Rhynchospora"/>
      </filters>
    </filterColumn>
  </autoFilter>
  <phoneticPr fontId="8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54"/>
  <sheetViews>
    <sheetView topLeftCell="E1" workbookViewId="0">
      <selection activeCell="P6" sqref="P6"/>
    </sheetView>
  </sheetViews>
  <sheetFormatPr defaultRowHeight="15" x14ac:dyDescent="0.25"/>
  <cols>
    <col min="1" max="1" width="12.7109375" customWidth="1"/>
    <col min="2" max="2" width="13.85546875" customWidth="1"/>
    <col min="3" max="3" width="11.5703125" customWidth="1"/>
    <col min="4" max="4" width="11.5703125" style="21" customWidth="1"/>
    <col min="5" max="5" width="10.85546875" customWidth="1"/>
    <col min="6" max="6" width="7.140625" style="2" customWidth="1"/>
    <col min="7" max="7" width="9.28515625" style="22" customWidth="1"/>
    <col min="8" max="8" width="10.7109375" customWidth="1"/>
    <col min="9" max="9" width="9.5703125" customWidth="1"/>
    <col min="10" max="10" width="8.28515625" customWidth="1"/>
    <col min="11" max="11" width="10" customWidth="1"/>
    <col min="12" max="12" width="10.140625" customWidth="1"/>
    <col min="13" max="13" width="9.5703125" customWidth="1"/>
    <col min="14" max="14" width="10" customWidth="1"/>
    <col min="15" max="15" width="10.5703125" customWidth="1"/>
    <col min="16" max="16" width="9.140625" style="27" customWidth="1"/>
    <col min="17" max="17" width="8.5703125" style="27" customWidth="1"/>
    <col min="18" max="18" width="8" style="27" customWidth="1"/>
    <col min="19" max="19" width="8.7109375" style="19" customWidth="1"/>
    <col min="20" max="20" width="8.7109375" style="2" customWidth="1"/>
    <col min="21" max="21" width="15" customWidth="1"/>
  </cols>
  <sheetData>
    <row r="1" spans="1:21" s="13" customFormat="1" ht="75" x14ac:dyDescent="0.25">
      <c r="A1" s="11" t="s">
        <v>0</v>
      </c>
      <c r="B1" s="11" t="s">
        <v>1</v>
      </c>
      <c r="C1" s="11" t="s">
        <v>2</v>
      </c>
      <c r="D1" s="29" t="s">
        <v>660</v>
      </c>
      <c r="E1" s="11" t="s">
        <v>661</v>
      </c>
      <c r="F1" s="15" t="s">
        <v>647</v>
      </c>
      <c r="G1" s="15" t="s">
        <v>662</v>
      </c>
      <c r="H1" s="11" t="s">
        <v>663</v>
      </c>
      <c r="I1" s="11" t="s">
        <v>678</v>
      </c>
      <c r="J1" s="11" t="s">
        <v>664</v>
      </c>
      <c r="K1" s="11" t="s">
        <v>665</v>
      </c>
      <c r="L1" s="11" t="s">
        <v>666</v>
      </c>
      <c r="M1" s="11" t="s">
        <v>667</v>
      </c>
      <c r="N1" s="11" t="s">
        <v>668</v>
      </c>
      <c r="O1" s="11" t="s">
        <v>669</v>
      </c>
      <c r="P1" s="30" t="s">
        <v>679</v>
      </c>
      <c r="Q1" s="30" t="s">
        <v>670</v>
      </c>
      <c r="R1" s="30" t="s">
        <v>671</v>
      </c>
      <c r="S1" s="31" t="s">
        <v>672</v>
      </c>
      <c r="T1" s="15" t="s">
        <v>673</v>
      </c>
      <c r="U1" s="11" t="s">
        <v>674</v>
      </c>
    </row>
    <row r="2" spans="1:21" x14ac:dyDescent="0.25">
      <c r="A2" t="s">
        <v>3</v>
      </c>
      <c r="B2" t="s">
        <v>4</v>
      </c>
      <c r="C2" t="s">
        <v>5</v>
      </c>
      <c r="D2" s="21">
        <v>42642</v>
      </c>
      <c r="F2" s="2">
        <v>0</v>
      </c>
      <c r="G2" s="22" t="s">
        <v>581</v>
      </c>
      <c r="H2" s="22" t="s">
        <v>581</v>
      </c>
      <c r="I2" s="22" t="s">
        <v>581</v>
      </c>
      <c r="J2" s="22" t="s">
        <v>581</v>
      </c>
      <c r="K2" s="22" t="s">
        <v>581</v>
      </c>
      <c r="L2" s="22" t="s">
        <v>581</v>
      </c>
      <c r="M2" s="22" t="s">
        <v>581</v>
      </c>
      <c r="N2" s="22" t="s">
        <v>581</v>
      </c>
      <c r="O2" s="22" t="s">
        <v>581</v>
      </c>
      <c r="P2" s="23" t="s">
        <v>581</v>
      </c>
      <c r="Q2" s="23" t="s">
        <v>581</v>
      </c>
      <c r="R2" s="23" t="s">
        <v>581</v>
      </c>
      <c r="S2" s="24" t="s">
        <v>581</v>
      </c>
      <c r="T2" s="2" t="s">
        <v>581</v>
      </c>
      <c r="U2" s="22" t="s">
        <v>675</v>
      </c>
    </row>
    <row r="3" spans="1:21" x14ac:dyDescent="0.25">
      <c r="A3" t="s">
        <v>3</v>
      </c>
      <c r="B3" t="s">
        <v>4</v>
      </c>
      <c r="C3" t="s">
        <v>6</v>
      </c>
      <c r="D3" s="21">
        <v>43013</v>
      </c>
      <c r="F3" s="2">
        <v>0</v>
      </c>
      <c r="G3" s="22" t="s">
        <v>581</v>
      </c>
      <c r="H3" s="22" t="s">
        <v>581</v>
      </c>
      <c r="I3" s="22" t="s">
        <v>581</v>
      </c>
      <c r="J3" s="22" t="s">
        <v>581</v>
      </c>
      <c r="K3" s="22" t="s">
        <v>581</v>
      </c>
      <c r="L3" s="22" t="s">
        <v>581</v>
      </c>
      <c r="M3" s="22" t="s">
        <v>581</v>
      </c>
      <c r="N3" s="22" t="s">
        <v>581</v>
      </c>
      <c r="O3" s="22" t="s">
        <v>581</v>
      </c>
      <c r="P3" s="23" t="s">
        <v>581</v>
      </c>
      <c r="Q3" s="23" t="s">
        <v>581</v>
      </c>
      <c r="R3" s="23" t="s">
        <v>581</v>
      </c>
      <c r="S3" s="24" t="s">
        <v>581</v>
      </c>
      <c r="T3" s="2" t="s">
        <v>581</v>
      </c>
      <c r="U3" t="s">
        <v>675</v>
      </c>
    </row>
    <row r="4" spans="1:21" x14ac:dyDescent="0.25">
      <c r="A4" t="s">
        <v>7</v>
      </c>
      <c r="B4" t="s">
        <v>8</v>
      </c>
      <c r="C4" t="s">
        <v>9</v>
      </c>
      <c r="D4" s="21">
        <v>42268</v>
      </c>
      <c r="F4" s="2">
        <v>110</v>
      </c>
      <c r="G4" s="25">
        <v>44306</v>
      </c>
      <c r="H4" s="26">
        <v>44356</v>
      </c>
      <c r="I4" s="26" t="s">
        <v>599</v>
      </c>
      <c r="J4" s="26" t="s">
        <v>676</v>
      </c>
      <c r="K4" s="26" t="s">
        <v>581</v>
      </c>
      <c r="L4" s="22" t="s">
        <v>581</v>
      </c>
      <c r="M4" s="22" t="s">
        <v>581</v>
      </c>
      <c r="N4" s="26">
        <v>44356</v>
      </c>
      <c r="O4" s="26">
        <v>44357</v>
      </c>
      <c r="P4" s="27">
        <v>25</v>
      </c>
      <c r="Q4" s="27">
        <v>22</v>
      </c>
      <c r="R4" s="27">
        <v>3</v>
      </c>
      <c r="S4" s="19">
        <v>22</v>
      </c>
      <c r="T4" s="2">
        <v>2</v>
      </c>
    </row>
    <row r="5" spans="1:21" x14ac:dyDescent="0.25">
      <c r="A5" t="s">
        <v>7</v>
      </c>
      <c r="B5" t="s">
        <v>8</v>
      </c>
      <c r="C5" t="s">
        <v>10</v>
      </c>
      <c r="D5" s="21">
        <v>42298</v>
      </c>
      <c r="F5" s="2">
        <v>100</v>
      </c>
      <c r="G5" s="25">
        <v>44306</v>
      </c>
      <c r="H5" s="26">
        <v>44356</v>
      </c>
      <c r="I5" s="26" t="s">
        <v>599</v>
      </c>
      <c r="J5" s="26" t="s">
        <v>676</v>
      </c>
      <c r="K5" s="26" t="s">
        <v>581</v>
      </c>
      <c r="L5" s="22" t="s">
        <v>581</v>
      </c>
      <c r="M5" s="22" t="s">
        <v>581</v>
      </c>
      <c r="N5" s="26">
        <v>44356</v>
      </c>
      <c r="O5" s="26">
        <v>44357</v>
      </c>
      <c r="P5" s="27">
        <v>16</v>
      </c>
      <c r="Q5" s="27">
        <v>13</v>
      </c>
      <c r="R5" s="27">
        <v>3</v>
      </c>
      <c r="S5" s="19">
        <v>13</v>
      </c>
      <c r="T5" s="2">
        <v>0</v>
      </c>
    </row>
    <row r="6" spans="1:21" x14ac:dyDescent="0.25">
      <c r="A6" t="s">
        <v>11</v>
      </c>
      <c r="B6" t="s">
        <v>12</v>
      </c>
      <c r="C6" t="s">
        <v>13</v>
      </c>
      <c r="D6" s="21">
        <v>42295</v>
      </c>
      <c r="F6" s="2">
        <v>100</v>
      </c>
      <c r="G6" s="25">
        <v>44307</v>
      </c>
      <c r="H6" s="26">
        <v>44356</v>
      </c>
      <c r="I6" s="26" t="s">
        <v>599</v>
      </c>
      <c r="J6" s="26" t="s">
        <v>676</v>
      </c>
      <c r="K6" s="26" t="s">
        <v>581</v>
      </c>
      <c r="L6" s="22" t="s">
        <v>581</v>
      </c>
      <c r="M6" s="22" t="s">
        <v>581</v>
      </c>
      <c r="N6" s="26">
        <v>44356</v>
      </c>
      <c r="O6" s="26">
        <v>44357</v>
      </c>
      <c r="P6" s="27">
        <v>2</v>
      </c>
      <c r="Q6" s="27">
        <v>0</v>
      </c>
      <c r="R6" s="27">
        <v>2</v>
      </c>
      <c r="S6" s="19">
        <v>0</v>
      </c>
      <c r="T6" s="2">
        <v>0</v>
      </c>
    </row>
    <row r="7" spans="1:21" x14ac:dyDescent="0.25">
      <c r="A7" t="s">
        <v>14</v>
      </c>
      <c r="B7" t="s">
        <v>15</v>
      </c>
      <c r="C7" t="s">
        <v>16</v>
      </c>
      <c r="D7" s="21">
        <v>42646</v>
      </c>
      <c r="F7" s="2">
        <v>100</v>
      </c>
      <c r="G7" s="25">
        <v>44375</v>
      </c>
      <c r="H7" s="26">
        <v>44396</v>
      </c>
      <c r="I7" s="26" t="s">
        <v>600</v>
      </c>
      <c r="J7" s="26" t="s">
        <v>581</v>
      </c>
      <c r="K7" s="26" t="s">
        <v>581</v>
      </c>
      <c r="L7" s="22" t="s">
        <v>581</v>
      </c>
      <c r="M7" s="22" t="s">
        <v>581</v>
      </c>
      <c r="N7" t="s">
        <v>581</v>
      </c>
      <c r="O7" t="s">
        <v>581</v>
      </c>
      <c r="P7" s="27" t="s">
        <v>581</v>
      </c>
      <c r="Q7" s="27" t="s">
        <v>581</v>
      </c>
      <c r="R7" s="27" t="s">
        <v>581</v>
      </c>
      <c r="S7" s="19">
        <v>0</v>
      </c>
      <c r="T7" s="2">
        <v>0</v>
      </c>
    </row>
    <row r="8" spans="1:21" x14ac:dyDescent="0.25">
      <c r="A8" t="s">
        <v>17</v>
      </c>
      <c r="B8" t="s">
        <v>18</v>
      </c>
      <c r="C8" t="s">
        <v>19</v>
      </c>
      <c r="D8" s="21">
        <v>42297</v>
      </c>
      <c r="F8" s="2">
        <v>100</v>
      </c>
      <c r="G8" s="25">
        <v>44309</v>
      </c>
      <c r="H8" s="26">
        <v>44342</v>
      </c>
      <c r="I8" s="26" t="s">
        <v>599</v>
      </c>
      <c r="J8" s="26" t="s">
        <v>676</v>
      </c>
      <c r="K8" s="26" t="s">
        <v>581</v>
      </c>
      <c r="L8" s="22" t="s">
        <v>581</v>
      </c>
      <c r="M8" s="22" t="s">
        <v>581</v>
      </c>
      <c r="N8" s="26">
        <v>44342</v>
      </c>
      <c r="O8" s="26">
        <v>44344</v>
      </c>
      <c r="P8" s="27">
        <v>60</v>
      </c>
      <c r="Q8" s="27">
        <v>37</v>
      </c>
      <c r="R8" s="27">
        <v>23</v>
      </c>
      <c r="S8" s="19">
        <v>37</v>
      </c>
      <c r="T8" s="2">
        <v>0</v>
      </c>
    </row>
    <row r="9" spans="1:21" x14ac:dyDescent="0.25">
      <c r="A9" t="s">
        <v>17</v>
      </c>
      <c r="B9" t="s">
        <v>18</v>
      </c>
      <c r="C9" t="s">
        <v>20</v>
      </c>
      <c r="D9" s="21">
        <v>42991</v>
      </c>
      <c r="F9" s="2">
        <v>104</v>
      </c>
      <c r="G9" s="25">
        <v>44291</v>
      </c>
      <c r="H9" s="26">
        <v>44327</v>
      </c>
      <c r="I9" s="26" t="s">
        <v>599</v>
      </c>
      <c r="J9" s="26" t="s">
        <v>676</v>
      </c>
      <c r="K9" s="26" t="s">
        <v>581</v>
      </c>
      <c r="L9" s="22" t="s">
        <v>581</v>
      </c>
      <c r="M9" s="22" t="s">
        <v>581</v>
      </c>
      <c r="N9" s="26">
        <v>44327</v>
      </c>
      <c r="O9" s="26">
        <v>44328</v>
      </c>
      <c r="P9" s="27">
        <v>19</v>
      </c>
      <c r="Q9" s="27">
        <v>15</v>
      </c>
      <c r="R9" s="27">
        <v>4</v>
      </c>
      <c r="S9" s="19">
        <v>15</v>
      </c>
      <c r="T9" s="2">
        <v>0</v>
      </c>
    </row>
    <row r="10" spans="1:21" x14ac:dyDescent="0.25">
      <c r="A10" t="s">
        <v>17</v>
      </c>
      <c r="B10" t="s">
        <v>18</v>
      </c>
      <c r="C10" t="s">
        <v>21</v>
      </c>
      <c r="D10" s="21">
        <v>43032</v>
      </c>
      <c r="F10" s="2">
        <v>100</v>
      </c>
      <c r="G10" s="25">
        <v>44309</v>
      </c>
      <c r="H10" s="26">
        <v>44342</v>
      </c>
      <c r="I10" s="26" t="s">
        <v>599</v>
      </c>
      <c r="J10" s="26" t="s">
        <v>676</v>
      </c>
      <c r="K10" s="26" t="s">
        <v>581</v>
      </c>
      <c r="L10" s="22" t="s">
        <v>581</v>
      </c>
      <c r="M10" s="22" t="s">
        <v>581</v>
      </c>
      <c r="N10" s="26">
        <v>44342</v>
      </c>
      <c r="O10" s="26">
        <v>44344</v>
      </c>
      <c r="P10" s="27">
        <v>4</v>
      </c>
      <c r="Q10" s="27">
        <v>1</v>
      </c>
      <c r="R10" s="27">
        <v>3</v>
      </c>
      <c r="S10" s="19">
        <v>1</v>
      </c>
      <c r="T10" s="2">
        <v>0</v>
      </c>
    </row>
    <row r="11" spans="1:21" x14ac:dyDescent="0.25">
      <c r="A11" t="s">
        <v>22</v>
      </c>
      <c r="B11" t="s">
        <v>23</v>
      </c>
      <c r="C11" t="s">
        <v>24</v>
      </c>
      <c r="D11" s="21">
        <v>43026</v>
      </c>
      <c r="F11" s="2">
        <v>100</v>
      </c>
      <c r="G11" s="25">
        <v>44306</v>
      </c>
      <c r="H11" s="26">
        <v>44349</v>
      </c>
      <c r="I11" s="26" t="s">
        <v>599</v>
      </c>
      <c r="J11" s="26" t="s">
        <v>676</v>
      </c>
      <c r="K11" s="26" t="s">
        <v>581</v>
      </c>
      <c r="L11" s="22" t="s">
        <v>581</v>
      </c>
      <c r="M11" s="22" t="s">
        <v>581</v>
      </c>
      <c r="N11" s="26">
        <v>44349</v>
      </c>
      <c r="O11" s="26">
        <v>44350</v>
      </c>
      <c r="P11" s="27">
        <v>55</v>
      </c>
      <c r="Q11" s="27">
        <v>39</v>
      </c>
      <c r="R11" s="27">
        <v>16</v>
      </c>
      <c r="S11" s="19">
        <v>39</v>
      </c>
      <c r="T11" s="2">
        <v>0</v>
      </c>
    </row>
    <row r="12" spans="1:21" x14ac:dyDescent="0.25">
      <c r="A12" t="s">
        <v>22</v>
      </c>
      <c r="B12" t="s">
        <v>23</v>
      </c>
      <c r="C12" t="s">
        <v>25</v>
      </c>
      <c r="D12" s="21">
        <v>43026</v>
      </c>
      <c r="F12" s="2">
        <v>100</v>
      </c>
      <c r="G12" s="25">
        <v>44306</v>
      </c>
      <c r="H12" s="26">
        <v>44349</v>
      </c>
      <c r="I12" s="26" t="s">
        <v>599</v>
      </c>
      <c r="J12" s="26" t="s">
        <v>676</v>
      </c>
      <c r="K12" s="26" t="s">
        <v>581</v>
      </c>
      <c r="L12" s="22" t="s">
        <v>581</v>
      </c>
      <c r="M12" s="22" t="s">
        <v>581</v>
      </c>
      <c r="N12" s="26">
        <v>44349</v>
      </c>
      <c r="O12" s="26">
        <v>44350</v>
      </c>
      <c r="P12" s="27">
        <v>30</v>
      </c>
      <c r="Q12" s="27">
        <v>23</v>
      </c>
      <c r="R12" s="27">
        <v>7</v>
      </c>
      <c r="S12" s="19">
        <v>23</v>
      </c>
      <c r="T12" s="2">
        <v>0</v>
      </c>
    </row>
    <row r="13" spans="1:21" x14ac:dyDescent="0.25">
      <c r="A13" t="s">
        <v>26</v>
      </c>
      <c r="B13" t="s">
        <v>27</v>
      </c>
      <c r="C13" s="2" t="s">
        <v>28</v>
      </c>
      <c r="D13" s="21">
        <v>42299</v>
      </c>
      <c r="F13" s="2">
        <v>120</v>
      </c>
      <c r="G13" s="25">
        <v>44301</v>
      </c>
      <c r="H13" s="26">
        <v>44349</v>
      </c>
      <c r="I13" s="26" t="s">
        <v>599</v>
      </c>
      <c r="J13" s="26" t="s">
        <v>676</v>
      </c>
      <c r="K13" s="26" t="s">
        <v>581</v>
      </c>
      <c r="L13" s="22" t="s">
        <v>581</v>
      </c>
      <c r="M13" s="22" t="s">
        <v>581</v>
      </c>
      <c r="N13" s="26">
        <v>44349</v>
      </c>
      <c r="O13" s="26">
        <v>44350</v>
      </c>
      <c r="P13" s="27">
        <v>37</v>
      </c>
      <c r="Q13" s="27">
        <v>8</v>
      </c>
      <c r="R13" s="27">
        <v>29</v>
      </c>
      <c r="S13" s="19">
        <v>8</v>
      </c>
      <c r="T13" s="2">
        <v>1</v>
      </c>
    </row>
    <row r="14" spans="1:21" x14ac:dyDescent="0.25">
      <c r="A14" t="s">
        <v>29</v>
      </c>
      <c r="B14" t="s">
        <v>30</v>
      </c>
      <c r="C14" t="s">
        <v>31</v>
      </c>
      <c r="D14" s="21">
        <v>43040</v>
      </c>
      <c r="F14" s="2">
        <v>100</v>
      </c>
      <c r="G14" s="25">
        <v>44301</v>
      </c>
      <c r="H14" s="26">
        <v>44349</v>
      </c>
      <c r="I14" s="26" t="s">
        <v>600</v>
      </c>
      <c r="J14" s="26" t="s">
        <v>581</v>
      </c>
      <c r="K14" s="26" t="s">
        <v>581</v>
      </c>
      <c r="L14" s="22" t="s">
        <v>581</v>
      </c>
      <c r="M14" s="22" t="s">
        <v>581</v>
      </c>
      <c r="N14" t="s">
        <v>581</v>
      </c>
      <c r="O14" t="s">
        <v>581</v>
      </c>
      <c r="P14" s="27" t="s">
        <v>581</v>
      </c>
      <c r="Q14" s="27" t="s">
        <v>581</v>
      </c>
      <c r="R14" s="27" t="s">
        <v>581</v>
      </c>
      <c r="S14" s="19">
        <v>0</v>
      </c>
      <c r="T14" s="2">
        <v>0</v>
      </c>
    </row>
    <row r="15" spans="1:21" x14ac:dyDescent="0.25">
      <c r="A15" t="s">
        <v>32</v>
      </c>
      <c r="B15" t="s">
        <v>33</v>
      </c>
      <c r="C15" t="s">
        <v>34</v>
      </c>
      <c r="D15" s="21">
        <v>42642</v>
      </c>
      <c r="F15" s="2">
        <v>110</v>
      </c>
      <c r="G15" s="25">
        <v>44308</v>
      </c>
      <c r="H15" s="26">
        <v>44412</v>
      </c>
      <c r="I15" s="26" t="s">
        <v>599</v>
      </c>
      <c r="J15" s="26" t="s">
        <v>676</v>
      </c>
      <c r="K15" s="26" t="s">
        <v>581</v>
      </c>
      <c r="L15" s="22" t="s">
        <v>581</v>
      </c>
      <c r="M15" s="22" t="s">
        <v>581</v>
      </c>
      <c r="N15" s="26">
        <v>44412</v>
      </c>
      <c r="O15" s="26">
        <v>44413</v>
      </c>
      <c r="P15" s="27">
        <v>66</v>
      </c>
      <c r="Q15" s="27">
        <v>52</v>
      </c>
      <c r="R15" s="27">
        <v>14</v>
      </c>
      <c r="S15" s="19">
        <v>52</v>
      </c>
      <c r="T15" s="2">
        <v>8</v>
      </c>
    </row>
    <row r="16" spans="1:21" x14ac:dyDescent="0.25">
      <c r="A16" t="s">
        <v>32</v>
      </c>
      <c r="B16" t="s">
        <v>33</v>
      </c>
      <c r="C16" t="s">
        <v>35</v>
      </c>
      <c r="D16" s="21">
        <v>42944</v>
      </c>
      <c r="F16" s="2">
        <v>100</v>
      </c>
      <c r="G16" s="25">
        <v>44308</v>
      </c>
      <c r="H16" s="26">
        <v>44412</v>
      </c>
      <c r="I16" s="26" t="s">
        <v>599</v>
      </c>
      <c r="J16" s="26" t="s">
        <v>676</v>
      </c>
      <c r="K16" s="26" t="s">
        <v>581</v>
      </c>
      <c r="L16" s="22" t="s">
        <v>581</v>
      </c>
      <c r="M16" s="22" t="s">
        <v>581</v>
      </c>
      <c r="N16" s="26">
        <v>44412</v>
      </c>
      <c r="O16" s="26">
        <v>44413</v>
      </c>
      <c r="P16" s="27">
        <v>97</v>
      </c>
      <c r="Q16" s="27">
        <v>57</v>
      </c>
      <c r="R16" s="27">
        <v>40</v>
      </c>
      <c r="S16" s="19">
        <v>57</v>
      </c>
      <c r="T16" s="2">
        <v>0</v>
      </c>
    </row>
    <row r="17" spans="1:20" x14ac:dyDescent="0.25">
      <c r="A17" t="s">
        <v>32</v>
      </c>
      <c r="B17" t="s">
        <v>33</v>
      </c>
      <c r="C17" t="s">
        <v>36</v>
      </c>
      <c r="D17" s="21">
        <v>42976</v>
      </c>
      <c r="F17" s="2">
        <v>100</v>
      </c>
      <c r="G17" s="25">
        <v>44308</v>
      </c>
      <c r="H17" s="26">
        <v>44412</v>
      </c>
      <c r="I17" s="26" t="s">
        <v>599</v>
      </c>
      <c r="J17" s="26" t="s">
        <v>676</v>
      </c>
      <c r="K17" s="26" t="s">
        <v>581</v>
      </c>
      <c r="L17" s="22" t="s">
        <v>581</v>
      </c>
      <c r="M17" s="22" t="s">
        <v>581</v>
      </c>
      <c r="N17" s="26">
        <v>44412</v>
      </c>
      <c r="O17" s="26">
        <v>44413</v>
      </c>
      <c r="P17" s="27">
        <v>96</v>
      </c>
      <c r="Q17" s="27">
        <v>45</v>
      </c>
      <c r="R17" s="27">
        <v>51</v>
      </c>
      <c r="S17" s="19">
        <v>45</v>
      </c>
      <c r="T17" s="2">
        <v>0</v>
      </c>
    </row>
    <row r="18" spans="1:20" x14ac:dyDescent="0.25">
      <c r="A18" t="s">
        <v>32</v>
      </c>
      <c r="B18" t="s">
        <v>33</v>
      </c>
      <c r="C18" t="s">
        <v>37</v>
      </c>
      <c r="D18" s="21">
        <v>43021</v>
      </c>
      <c r="F18" s="2">
        <v>100</v>
      </c>
      <c r="G18" s="25">
        <v>44308</v>
      </c>
      <c r="H18" s="26">
        <v>44412</v>
      </c>
      <c r="I18" s="26" t="s">
        <v>599</v>
      </c>
      <c r="J18" s="26" t="s">
        <v>676</v>
      </c>
      <c r="K18" s="26" t="s">
        <v>581</v>
      </c>
      <c r="L18" s="22" t="s">
        <v>581</v>
      </c>
      <c r="M18" s="22" t="s">
        <v>581</v>
      </c>
      <c r="N18" s="26">
        <v>44412</v>
      </c>
      <c r="O18" s="26">
        <v>44413</v>
      </c>
      <c r="P18" s="27">
        <v>57</v>
      </c>
      <c r="Q18" s="27">
        <v>31</v>
      </c>
      <c r="R18" s="27">
        <v>26</v>
      </c>
      <c r="S18" s="19">
        <v>31</v>
      </c>
      <c r="T18" s="2">
        <v>0</v>
      </c>
    </row>
    <row r="19" spans="1:20" x14ac:dyDescent="0.25">
      <c r="A19" t="s">
        <v>32</v>
      </c>
      <c r="B19" t="s">
        <v>33</v>
      </c>
      <c r="C19" t="s">
        <v>38</v>
      </c>
      <c r="D19" s="21">
        <v>43027</v>
      </c>
      <c r="F19" s="2">
        <v>100</v>
      </c>
      <c r="G19" s="25">
        <v>44308</v>
      </c>
      <c r="H19" s="26">
        <v>44412</v>
      </c>
      <c r="I19" s="26" t="s">
        <v>599</v>
      </c>
      <c r="J19" s="26" t="s">
        <v>676</v>
      </c>
      <c r="K19" s="26" t="s">
        <v>581</v>
      </c>
      <c r="L19" s="22" t="s">
        <v>581</v>
      </c>
      <c r="M19" s="22" t="s">
        <v>581</v>
      </c>
      <c r="N19" s="26">
        <v>44412</v>
      </c>
      <c r="O19" s="26">
        <v>44413</v>
      </c>
      <c r="P19" s="27">
        <v>50</v>
      </c>
      <c r="Q19" s="27">
        <v>27</v>
      </c>
      <c r="R19" s="27">
        <v>23</v>
      </c>
      <c r="S19" s="19">
        <v>27</v>
      </c>
      <c r="T19" s="2">
        <v>0</v>
      </c>
    </row>
    <row r="20" spans="1:20" x14ac:dyDescent="0.25">
      <c r="A20" t="s">
        <v>32</v>
      </c>
      <c r="B20" t="s">
        <v>39</v>
      </c>
      <c r="C20" t="s">
        <v>40</v>
      </c>
      <c r="D20" s="21">
        <v>42940</v>
      </c>
      <c r="F20" s="2">
        <v>100</v>
      </c>
      <c r="G20" s="25">
        <v>44308</v>
      </c>
      <c r="H20" s="26">
        <v>44412</v>
      </c>
      <c r="I20" s="26" t="s">
        <v>599</v>
      </c>
      <c r="J20" s="26" t="s">
        <v>676</v>
      </c>
      <c r="K20" s="26" t="s">
        <v>581</v>
      </c>
      <c r="L20" s="22" t="s">
        <v>581</v>
      </c>
      <c r="M20" s="22" t="s">
        <v>581</v>
      </c>
      <c r="N20" s="26">
        <v>44412</v>
      </c>
      <c r="O20" s="26">
        <v>44413</v>
      </c>
      <c r="P20" s="27">
        <v>93</v>
      </c>
      <c r="Q20" s="27">
        <v>28</v>
      </c>
      <c r="R20" s="27">
        <v>65</v>
      </c>
      <c r="S20" s="19">
        <v>28</v>
      </c>
      <c r="T20" s="2">
        <v>0</v>
      </c>
    </row>
    <row r="21" spans="1:20" x14ac:dyDescent="0.25">
      <c r="A21" t="s">
        <v>32</v>
      </c>
      <c r="B21" t="s">
        <v>39</v>
      </c>
      <c r="C21" t="s">
        <v>41</v>
      </c>
      <c r="D21" s="21">
        <v>42954</v>
      </c>
      <c r="F21" s="2">
        <v>100</v>
      </c>
      <c r="G21" s="25">
        <v>44308</v>
      </c>
      <c r="H21" s="26">
        <v>44412</v>
      </c>
      <c r="I21" s="26" t="s">
        <v>599</v>
      </c>
      <c r="J21" s="26" t="s">
        <v>676</v>
      </c>
      <c r="K21" s="26" t="s">
        <v>581</v>
      </c>
      <c r="L21" s="22" t="s">
        <v>581</v>
      </c>
      <c r="M21" s="22" t="s">
        <v>581</v>
      </c>
      <c r="N21" s="26">
        <v>44412</v>
      </c>
      <c r="O21" s="26">
        <v>44413</v>
      </c>
      <c r="P21" s="27">
        <v>38</v>
      </c>
      <c r="Q21" s="27">
        <v>27</v>
      </c>
      <c r="R21" s="27">
        <v>11</v>
      </c>
      <c r="S21" s="19">
        <v>27</v>
      </c>
      <c r="T21" s="2">
        <v>0</v>
      </c>
    </row>
    <row r="22" spans="1:20" x14ac:dyDescent="0.25">
      <c r="A22" t="s">
        <v>32</v>
      </c>
      <c r="B22" t="s">
        <v>39</v>
      </c>
      <c r="C22" t="s">
        <v>42</v>
      </c>
      <c r="D22" s="21">
        <v>42975</v>
      </c>
      <c r="F22" s="2">
        <v>100</v>
      </c>
      <c r="G22" s="25">
        <v>44308</v>
      </c>
      <c r="H22" s="26">
        <v>44412</v>
      </c>
      <c r="I22" s="26" t="s">
        <v>599</v>
      </c>
      <c r="J22" s="26" t="s">
        <v>676</v>
      </c>
      <c r="K22" s="26" t="s">
        <v>581</v>
      </c>
      <c r="L22" s="22" t="s">
        <v>581</v>
      </c>
      <c r="M22" s="22" t="s">
        <v>581</v>
      </c>
      <c r="N22" s="26">
        <v>44412</v>
      </c>
      <c r="O22" s="26">
        <v>44413</v>
      </c>
      <c r="P22" s="27">
        <v>51</v>
      </c>
      <c r="Q22" s="27">
        <v>31</v>
      </c>
      <c r="R22" s="27">
        <v>20</v>
      </c>
      <c r="S22" s="19">
        <v>31</v>
      </c>
      <c r="T22" s="2">
        <v>0</v>
      </c>
    </row>
    <row r="23" spans="1:20" x14ac:dyDescent="0.25">
      <c r="A23" t="s">
        <v>43</v>
      </c>
      <c r="B23" t="s">
        <v>44</v>
      </c>
      <c r="C23" t="s">
        <v>45</v>
      </c>
      <c r="D23" s="21">
        <v>42586</v>
      </c>
      <c r="F23" s="2">
        <v>100</v>
      </c>
      <c r="G23" s="25">
        <v>44307</v>
      </c>
      <c r="H23" s="26">
        <v>44389</v>
      </c>
      <c r="I23" s="26" t="s">
        <v>600</v>
      </c>
      <c r="J23" s="26" t="s">
        <v>581</v>
      </c>
      <c r="K23" s="26" t="s">
        <v>581</v>
      </c>
      <c r="L23" s="22" t="s">
        <v>581</v>
      </c>
      <c r="M23" s="22" t="s">
        <v>581</v>
      </c>
      <c r="N23" t="s">
        <v>581</v>
      </c>
      <c r="O23" t="s">
        <v>581</v>
      </c>
      <c r="P23" s="27" t="s">
        <v>581</v>
      </c>
      <c r="Q23" s="27" t="s">
        <v>581</v>
      </c>
      <c r="R23" s="27" t="s">
        <v>581</v>
      </c>
      <c r="S23" s="19">
        <v>0</v>
      </c>
      <c r="T23" s="2">
        <v>0</v>
      </c>
    </row>
    <row r="24" spans="1:20" x14ac:dyDescent="0.25">
      <c r="A24" t="s">
        <v>43</v>
      </c>
      <c r="B24" t="s">
        <v>44</v>
      </c>
      <c r="C24" t="s">
        <v>46</v>
      </c>
      <c r="D24" s="21">
        <v>42601</v>
      </c>
      <c r="F24" s="2">
        <v>100</v>
      </c>
      <c r="G24" s="25">
        <v>44307</v>
      </c>
      <c r="H24" s="26">
        <v>44389</v>
      </c>
      <c r="I24" s="26" t="s">
        <v>600</v>
      </c>
      <c r="J24" s="26" t="s">
        <v>581</v>
      </c>
      <c r="K24" s="26" t="s">
        <v>581</v>
      </c>
      <c r="L24" s="22" t="s">
        <v>581</v>
      </c>
      <c r="M24" s="22" t="s">
        <v>581</v>
      </c>
      <c r="N24" t="s">
        <v>581</v>
      </c>
      <c r="O24" t="s">
        <v>581</v>
      </c>
      <c r="P24" s="27" t="s">
        <v>581</v>
      </c>
      <c r="Q24" s="27" t="s">
        <v>581</v>
      </c>
      <c r="R24" s="27" t="s">
        <v>581</v>
      </c>
      <c r="S24" s="19">
        <v>0</v>
      </c>
      <c r="T24" s="2">
        <v>0</v>
      </c>
    </row>
    <row r="25" spans="1:20" x14ac:dyDescent="0.25">
      <c r="A25" t="s">
        <v>43</v>
      </c>
      <c r="B25" t="s">
        <v>44</v>
      </c>
      <c r="C25" t="s">
        <v>47</v>
      </c>
      <c r="D25" s="21">
        <v>42948</v>
      </c>
      <c r="F25" s="2">
        <v>100</v>
      </c>
      <c r="G25" s="25">
        <v>44307</v>
      </c>
      <c r="H25" s="26">
        <v>44389</v>
      </c>
      <c r="I25" s="26" t="s">
        <v>600</v>
      </c>
      <c r="J25" s="26" t="s">
        <v>581</v>
      </c>
      <c r="K25" s="26" t="s">
        <v>581</v>
      </c>
      <c r="L25" s="22" t="s">
        <v>581</v>
      </c>
      <c r="M25" s="22" t="s">
        <v>581</v>
      </c>
      <c r="N25" t="s">
        <v>581</v>
      </c>
      <c r="O25" t="s">
        <v>581</v>
      </c>
      <c r="P25" s="27" t="s">
        <v>581</v>
      </c>
      <c r="Q25" s="27" t="s">
        <v>581</v>
      </c>
      <c r="R25" s="27" t="s">
        <v>581</v>
      </c>
      <c r="S25" s="19">
        <v>0</v>
      </c>
      <c r="T25" s="2">
        <v>0</v>
      </c>
    </row>
    <row r="26" spans="1:20" x14ac:dyDescent="0.25">
      <c r="A26" t="s">
        <v>43</v>
      </c>
      <c r="B26" t="s">
        <v>48</v>
      </c>
      <c r="C26" t="s">
        <v>49</v>
      </c>
      <c r="D26" s="21">
        <v>42955</v>
      </c>
      <c r="F26" s="2">
        <v>100</v>
      </c>
      <c r="G26" s="25">
        <v>44307</v>
      </c>
      <c r="H26" s="26">
        <v>44383</v>
      </c>
      <c r="I26" s="26" t="s">
        <v>600</v>
      </c>
      <c r="J26" s="26" t="s">
        <v>581</v>
      </c>
      <c r="K26" s="26" t="s">
        <v>581</v>
      </c>
      <c r="L26" s="22" t="s">
        <v>581</v>
      </c>
      <c r="M26" s="22" t="s">
        <v>581</v>
      </c>
      <c r="N26" t="s">
        <v>581</v>
      </c>
      <c r="O26" t="s">
        <v>581</v>
      </c>
      <c r="P26" s="27" t="s">
        <v>581</v>
      </c>
      <c r="Q26" s="27" t="s">
        <v>581</v>
      </c>
      <c r="R26" s="27" t="s">
        <v>581</v>
      </c>
      <c r="S26" s="19">
        <v>0</v>
      </c>
      <c r="T26" s="2">
        <v>0</v>
      </c>
    </row>
    <row r="27" spans="1:20" x14ac:dyDescent="0.25">
      <c r="A27" t="s">
        <v>43</v>
      </c>
      <c r="B27" t="s">
        <v>50</v>
      </c>
      <c r="C27" t="s">
        <v>51</v>
      </c>
      <c r="D27" s="21">
        <v>42571</v>
      </c>
      <c r="F27" s="2">
        <v>100</v>
      </c>
      <c r="G27" s="25">
        <v>44307</v>
      </c>
      <c r="H27" s="26">
        <v>44383</v>
      </c>
      <c r="I27" s="26" t="s">
        <v>600</v>
      </c>
      <c r="J27" s="26" t="s">
        <v>581</v>
      </c>
      <c r="K27" s="26" t="s">
        <v>581</v>
      </c>
      <c r="L27" s="22" t="s">
        <v>581</v>
      </c>
      <c r="M27" s="22" t="s">
        <v>581</v>
      </c>
      <c r="N27" t="s">
        <v>581</v>
      </c>
      <c r="O27" t="s">
        <v>581</v>
      </c>
      <c r="P27" s="27" t="s">
        <v>581</v>
      </c>
      <c r="Q27" s="27" t="s">
        <v>581</v>
      </c>
      <c r="R27" s="27" t="s">
        <v>581</v>
      </c>
      <c r="S27" s="19">
        <v>0</v>
      </c>
      <c r="T27" s="2">
        <v>0</v>
      </c>
    </row>
    <row r="28" spans="1:20" x14ac:dyDescent="0.25">
      <c r="A28" t="s">
        <v>43</v>
      </c>
      <c r="B28" t="s">
        <v>50</v>
      </c>
      <c r="C28" t="s">
        <v>52</v>
      </c>
      <c r="D28" s="21">
        <v>42934</v>
      </c>
      <c r="F28" s="2">
        <v>100</v>
      </c>
      <c r="G28" s="25">
        <v>44307</v>
      </c>
      <c r="H28" s="26">
        <v>44389</v>
      </c>
      <c r="I28" s="26" t="s">
        <v>600</v>
      </c>
      <c r="J28" s="26" t="s">
        <v>581</v>
      </c>
      <c r="K28" s="26" t="s">
        <v>581</v>
      </c>
      <c r="L28" s="22" t="s">
        <v>581</v>
      </c>
      <c r="M28" s="22" t="s">
        <v>581</v>
      </c>
      <c r="N28" t="s">
        <v>581</v>
      </c>
      <c r="O28" t="s">
        <v>581</v>
      </c>
      <c r="P28" s="27" t="s">
        <v>581</v>
      </c>
      <c r="Q28" s="27" t="s">
        <v>581</v>
      </c>
      <c r="R28" s="27" t="s">
        <v>581</v>
      </c>
      <c r="S28" s="19">
        <v>0</v>
      </c>
      <c r="T28" s="2">
        <v>0</v>
      </c>
    </row>
    <row r="29" spans="1:20" x14ac:dyDescent="0.25">
      <c r="A29" t="s">
        <v>43</v>
      </c>
      <c r="B29" t="s">
        <v>50</v>
      </c>
      <c r="C29" t="s">
        <v>53</v>
      </c>
      <c r="D29" s="21">
        <v>42963</v>
      </c>
      <c r="F29" s="2">
        <v>100</v>
      </c>
      <c r="G29" s="25">
        <v>44307</v>
      </c>
      <c r="H29" s="26">
        <v>44389</v>
      </c>
      <c r="I29" s="26" t="s">
        <v>600</v>
      </c>
      <c r="J29" s="26" t="s">
        <v>581</v>
      </c>
      <c r="K29" s="26" t="s">
        <v>581</v>
      </c>
      <c r="L29" s="22" t="s">
        <v>581</v>
      </c>
      <c r="M29" s="22" t="s">
        <v>581</v>
      </c>
      <c r="N29" t="s">
        <v>581</v>
      </c>
      <c r="O29" t="s">
        <v>581</v>
      </c>
      <c r="P29" s="27" t="s">
        <v>581</v>
      </c>
      <c r="Q29" s="27" t="s">
        <v>581</v>
      </c>
      <c r="R29" s="27" t="s">
        <v>581</v>
      </c>
      <c r="S29" s="19">
        <v>0</v>
      </c>
      <c r="T29" s="2">
        <v>0</v>
      </c>
    </row>
    <row r="30" spans="1:20" x14ac:dyDescent="0.25">
      <c r="A30" t="s">
        <v>43</v>
      </c>
      <c r="B30" t="s">
        <v>50</v>
      </c>
      <c r="C30" t="s">
        <v>54</v>
      </c>
      <c r="D30" s="21">
        <v>42979</v>
      </c>
      <c r="F30" s="2">
        <v>100</v>
      </c>
      <c r="G30" s="25">
        <v>44307</v>
      </c>
      <c r="H30" s="26">
        <v>44389</v>
      </c>
      <c r="I30" s="26" t="s">
        <v>600</v>
      </c>
      <c r="J30" s="26" t="s">
        <v>581</v>
      </c>
      <c r="K30" s="26" t="s">
        <v>581</v>
      </c>
      <c r="L30" s="22" t="s">
        <v>581</v>
      </c>
      <c r="M30" s="22" t="s">
        <v>581</v>
      </c>
      <c r="N30" t="s">
        <v>581</v>
      </c>
      <c r="O30" t="s">
        <v>581</v>
      </c>
      <c r="P30" s="27" t="s">
        <v>581</v>
      </c>
      <c r="Q30" s="27" t="s">
        <v>581</v>
      </c>
      <c r="R30" s="27" t="s">
        <v>581</v>
      </c>
      <c r="S30" s="19">
        <v>0</v>
      </c>
      <c r="T30" s="2">
        <v>0</v>
      </c>
    </row>
    <row r="31" spans="1:20" x14ac:dyDescent="0.25">
      <c r="A31" t="s">
        <v>43</v>
      </c>
      <c r="B31" t="s">
        <v>55</v>
      </c>
      <c r="C31" t="s">
        <v>56</v>
      </c>
      <c r="D31" s="21">
        <v>42976</v>
      </c>
      <c r="F31" s="2">
        <v>100</v>
      </c>
      <c r="G31" s="25">
        <v>44307</v>
      </c>
      <c r="H31" s="26">
        <v>44390</v>
      </c>
      <c r="I31" s="26" t="s">
        <v>599</v>
      </c>
      <c r="J31" s="26" t="s">
        <v>676</v>
      </c>
      <c r="K31" s="26" t="s">
        <v>581</v>
      </c>
      <c r="L31" s="22" t="s">
        <v>581</v>
      </c>
      <c r="M31" s="22" t="s">
        <v>581</v>
      </c>
      <c r="N31" s="26">
        <v>44390</v>
      </c>
      <c r="O31" s="26">
        <v>44391</v>
      </c>
      <c r="P31" s="27">
        <v>98</v>
      </c>
      <c r="Q31" s="27">
        <v>42</v>
      </c>
      <c r="R31" s="27">
        <v>56</v>
      </c>
      <c r="S31" s="19">
        <v>42</v>
      </c>
      <c r="T31" s="2">
        <v>0</v>
      </c>
    </row>
    <row r="32" spans="1:20" x14ac:dyDescent="0.25">
      <c r="A32" t="s">
        <v>43</v>
      </c>
      <c r="B32" t="s">
        <v>57</v>
      </c>
      <c r="C32" t="s">
        <v>58</v>
      </c>
      <c r="D32" s="21">
        <v>42963</v>
      </c>
      <c r="F32" s="2">
        <v>114</v>
      </c>
      <c r="G32" s="25">
        <v>44307</v>
      </c>
      <c r="H32" s="26">
        <v>44390</v>
      </c>
      <c r="I32" s="26" t="s">
        <v>599</v>
      </c>
      <c r="J32" s="26" t="s">
        <v>676</v>
      </c>
      <c r="K32" s="26" t="s">
        <v>581</v>
      </c>
      <c r="L32" s="22" t="s">
        <v>581</v>
      </c>
      <c r="M32" s="22" t="s">
        <v>581</v>
      </c>
      <c r="N32" s="26">
        <v>44390</v>
      </c>
      <c r="O32" s="26">
        <v>44391</v>
      </c>
      <c r="P32" s="27">
        <v>114</v>
      </c>
      <c r="Q32" s="27">
        <v>66</v>
      </c>
      <c r="R32" s="27">
        <v>48</v>
      </c>
      <c r="S32" s="19">
        <v>66</v>
      </c>
      <c r="T32" s="2">
        <v>0</v>
      </c>
    </row>
    <row r="33" spans="1:20" x14ac:dyDescent="0.25">
      <c r="A33" t="s">
        <v>43</v>
      </c>
      <c r="B33" t="s">
        <v>59</v>
      </c>
      <c r="C33" t="s">
        <v>60</v>
      </c>
      <c r="D33" s="21">
        <v>42579</v>
      </c>
      <c r="F33" s="2">
        <v>116</v>
      </c>
      <c r="G33" s="25">
        <v>44340</v>
      </c>
      <c r="H33" s="26">
        <v>44431</v>
      </c>
      <c r="I33" s="26" t="s">
        <v>599</v>
      </c>
      <c r="J33" s="26" t="s">
        <v>676</v>
      </c>
      <c r="K33" s="26" t="s">
        <v>581</v>
      </c>
      <c r="L33" s="22" t="s">
        <v>581</v>
      </c>
      <c r="M33" s="22" t="s">
        <v>581</v>
      </c>
      <c r="N33" s="26">
        <v>44431</v>
      </c>
      <c r="O33" s="26">
        <v>44432</v>
      </c>
      <c r="P33" s="27">
        <v>80</v>
      </c>
      <c r="Q33" s="27">
        <v>60</v>
      </c>
      <c r="R33" s="27">
        <v>20</v>
      </c>
      <c r="S33" s="19">
        <v>60</v>
      </c>
      <c r="T33" s="2">
        <v>0</v>
      </c>
    </row>
    <row r="34" spans="1:20" x14ac:dyDescent="0.25">
      <c r="A34" t="s">
        <v>43</v>
      </c>
      <c r="B34" t="s">
        <v>59</v>
      </c>
      <c r="C34" t="s">
        <v>61</v>
      </c>
      <c r="D34" s="21">
        <v>42579</v>
      </c>
      <c r="F34" s="2">
        <v>110</v>
      </c>
      <c r="G34" s="25">
        <v>44340</v>
      </c>
      <c r="H34" s="26">
        <v>44431</v>
      </c>
      <c r="I34" s="26" t="s">
        <v>599</v>
      </c>
      <c r="J34" s="26" t="s">
        <v>676</v>
      </c>
      <c r="K34" s="26" t="s">
        <v>581</v>
      </c>
      <c r="L34" s="22" t="s">
        <v>581</v>
      </c>
      <c r="M34" s="22" t="s">
        <v>581</v>
      </c>
      <c r="N34" s="26">
        <v>44431</v>
      </c>
      <c r="O34" s="26">
        <v>44432</v>
      </c>
      <c r="P34" s="27">
        <v>76</v>
      </c>
      <c r="Q34" s="27">
        <v>52</v>
      </c>
      <c r="R34" s="27">
        <v>24</v>
      </c>
      <c r="S34" s="19">
        <v>52</v>
      </c>
      <c r="T34" s="2">
        <v>0</v>
      </c>
    </row>
    <row r="35" spans="1:20" x14ac:dyDescent="0.25">
      <c r="A35" t="s">
        <v>43</v>
      </c>
      <c r="B35" t="s">
        <v>59</v>
      </c>
      <c r="C35" t="s">
        <v>62</v>
      </c>
      <c r="D35" s="21">
        <v>42601</v>
      </c>
      <c r="F35" s="2">
        <v>114</v>
      </c>
      <c r="G35" s="25">
        <v>44340</v>
      </c>
      <c r="H35" s="26">
        <v>44431</v>
      </c>
      <c r="I35" s="26" t="s">
        <v>599</v>
      </c>
      <c r="J35" s="26" t="s">
        <v>676</v>
      </c>
      <c r="K35" s="26" t="s">
        <v>581</v>
      </c>
      <c r="L35" s="22" t="s">
        <v>581</v>
      </c>
      <c r="M35" s="22" t="s">
        <v>581</v>
      </c>
      <c r="N35" s="26">
        <v>44431</v>
      </c>
      <c r="O35" s="26">
        <v>44432</v>
      </c>
      <c r="P35" s="27">
        <v>81</v>
      </c>
      <c r="Q35" s="27">
        <v>48</v>
      </c>
      <c r="R35" s="27">
        <v>33</v>
      </c>
      <c r="S35" s="19">
        <v>48</v>
      </c>
      <c r="T35" s="2">
        <v>0</v>
      </c>
    </row>
    <row r="36" spans="1:20" x14ac:dyDescent="0.25">
      <c r="A36" t="s">
        <v>43</v>
      </c>
      <c r="B36" t="s">
        <v>59</v>
      </c>
      <c r="C36" t="s">
        <v>63</v>
      </c>
      <c r="D36" s="21">
        <v>42948</v>
      </c>
      <c r="F36" s="2">
        <v>100</v>
      </c>
      <c r="G36" s="25">
        <v>44340</v>
      </c>
      <c r="H36" s="26">
        <v>44431</v>
      </c>
      <c r="I36" s="26" t="s">
        <v>599</v>
      </c>
      <c r="J36" s="26" t="s">
        <v>676</v>
      </c>
      <c r="K36" s="26" t="s">
        <v>581</v>
      </c>
      <c r="L36" s="22" t="s">
        <v>581</v>
      </c>
      <c r="M36" s="22" t="s">
        <v>581</v>
      </c>
      <c r="N36" s="26">
        <v>44431</v>
      </c>
      <c r="O36" s="26">
        <v>44432</v>
      </c>
      <c r="P36" s="27">
        <v>49</v>
      </c>
      <c r="Q36" s="27">
        <v>34</v>
      </c>
      <c r="R36" s="27">
        <v>15</v>
      </c>
      <c r="S36" s="19">
        <v>34</v>
      </c>
      <c r="T36" s="2">
        <v>0</v>
      </c>
    </row>
    <row r="37" spans="1:20" x14ac:dyDescent="0.25">
      <c r="A37" t="s">
        <v>43</v>
      </c>
      <c r="B37" t="s">
        <v>59</v>
      </c>
      <c r="C37" t="s">
        <v>64</v>
      </c>
      <c r="D37" s="21">
        <v>42963</v>
      </c>
      <c r="F37" s="2">
        <v>100</v>
      </c>
      <c r="G37" s="25">
        <v>44340</v>
      </c>
      <c r="H37" s="26">
        <v>44431</v>
      </c>
      <c r="I37" s="26" t="s">
        <v>599</v>
      </c>
      <c r="J37" s="26" t="s">
        <v>676</v>
      </c>
      <c r="K37" s="26" t="s">
        <v>581</v>
      </c>
      <c r="L37" s="22" t="s">
        <v>581</v>
      </c>
      <c r="M37" s="22" t="s">
        <v>581</v>
      </c>
      <c r="N37" s="26">
        <v>44431</v>
      </c>
      <c r="O37" s="26">
        <v>44432</v>
      </c>
      <c r="P37" s="27">
        <v>33</v>
      </c>
      <c r="Q37" s="27">
        <v>13</v>
      </c>
      <c r="R37" s="36">
        <f>0+20</f>
        <v>20</v>
      </c>
      <c r="S37" s="19">
        <v>13</v>
      </c>
      <c r="T37" s="2">
        <v>0</v>
      </c>
    </row>
    <row r="38" spans="1:20" x14ac:dyDescent="0.25">
      <c r="A38" t="s">
        <v>43</v>
      </c>
      <c r="B38" t="s">
        <v>59</v>
      </c>
      <c r="C38" t="s">
        <v>65</v>
      </c>
      <c r="D38" s="21">
        <v>42964</v>
      </c>
      <c r="F38" s="2">
        <v>100</v>
      </c>
      <c r="G38" s="25">
        <v>44291</v>
      </c>
      <c r="H38" s="26">
        <v>44356</v>
      </c>
      <c r="I38" s="26" t="s">
        <v>599</v>
      </c>
      <c r="J38" s="26" t="s">
        <v>676</v>
      </c>
      <c r="K38" s="26" t="s">
        <v>581</v>
      </c>
      <c r="L38" s="22" t="s">
        <v>581</v>
      </c>
      <c r="M38" s="22" t="s">
        <v>581</v>
      </c>
      <c r="N38" s="26">
        <v>44356</v>
      </c>
      <c r="O38" s="26">
        <v>44357</v>
      </c>
      <c r="P38" s="27">
        <v>30</v>
      </c>
      <c r="Q38" s="27">
        <v>19</v>
      </c>
      <c r="R38" s="27">
        <v>11</v>
      </c>
      <c r="S38" s="19">
        <v>19</v>
      </c>
      <c r="T38" s="2">
        <v>1</v>
      </c>
    </row>
    <row r="39" spans="1:20" x14ac:dyDescent="0.25">
      <c r="A39" t="s">
        <v>43</v>
      </c>
      <c r="B39" t="s">
        <v>59</v>
      </c>
      <c r="C39" t="s">
        <v>66</v>
      </c>
      <c r="D39" s="21">
        <v>42976</v>
      </c>
      <c r="F39" s="2">
        <v>112</v>
      </c>
      <c r="G39" s="25">
        <v>44340</v>
      </c>
      <c r="H39" s="26">
        <v>44431</v>
      </c>
      <c r="I39" s="26" t="s">
        <v>599</v>
      </c>
      <c r="J39" s="26" t="s">
        <v>676</v>
      </c>
      <c r="K39" s="26" t="s">
        <v>581</v>
      </c>
      <c r="L39" s="22" t="s">
        <v>581</v>
      </c>
      <c r="M39" s="22" t="s">
        <v>581</v>
      </c>
      <c r="N39" s="26">
        <v>44431</v>
      </c>
      <c r="O39" s="26">
        <v>44432</v>
      </c>
      <c r="P39" s="27">
        <v>35</v>
      </c>
      <c r="Q39" s="27">
        <v>24</v>
      </c>
      <c r="R39" s="36">
        <f>0+11</f>
        <v>11</v>
      </c>
      <c r="S39" s="19">
        <v>24</v>
      </c>
      <c r="T39" s="2">
        <v>0</v>
      </c>
    </row>
    <row r="40" spans="1:20" x14ac:dyDescent="0.25">
      <c r="A40" t="s">
        <v>43</v>
      </c>
      <c r="B40" t="s">
        <v>67</v>
      </c>
      <c r="C40" t="s">
        <v>68</v>
      </c>
      <c r="D40" s="21">
        <v>42934</v>
      </c>
      <c r="F40" s="2">
        <v>100</v>
      </c>
      <c r="G40" s="25">
        <v>44340</v>
      </c>
      <c r="H40" s="26">
        <v>44431</v>
      </c>
      <c r="I40" s="26" t="s">
        <v>599</v>
      </c>
      <c r="J40" s="26" t="s">
        <v>676</v>
      </c>
      <c r="K40" s="26" t="s">
        <v>581</v>
      </c>
      <c r="L40" s="22" t="s">
        <v>581</v>
      </c>
      <c r="M40" s="22" t="s">
        <v>581</v>
      </c>
      <c r="N40" s="26">
        <v>44431</v>
      </c>
      <c r="O40" s="26">
        <v>44432</v>
      </c>
      <c r="P40" s="27">
        <v>28</v>
      </c>
      <c r="Q40" s="36">
        <f>1+10</f>
        <v>11</v>
      </c>
      <c r="R40" s="27">
        <v>17</v>
      </c>
      <c r="S40" s="19">
        <v>1</v>
      </c>
      <c r="T40" s="2">
        <v>0</v>
      </c>
    </row>
    <row r="41" spans="1:20" x14ac:dyDescent="0.25">
      <c r="A41" t="s">
        <v>43</v>
      </c>
      <c r="B41" t="s">
        <v>67</v>
      </c>
      <c r="C41" t="s">
        <v>69</v>
      </c>
      <c r="D41" s="21">
        <v>42936</v>
      </c>
      <c r="F41" s="2">
        <v>100</v>
      </c>
      <c r="G41" s="25">
        <v>44340</v>
      </c>
      <c r="H41" s="26">
        <v>44431</v>
      </c>
      <c r="I41" s="26" t="s">
        <v>599</v>
      </c>
      <c r="J41" s="26" t="s">
        <v>676</v>
      </c>
      <c r="K41" s="26" t="s">
        <v>581</v>
      </c>
      <c r="L41" s="22" t="s">
        <v>581</v>
      </c>
      <c r="M41" s="22" t="s">
        <v>581</v>
      </c>
      <c r="N41" s="26">
        <v>44431</v>
      </c>
      <c r="O41" s="26">
        <v>44432</v>
      </c>
      <c r="P41" s="27">
        <v>39</v>
      </c>
      <c r="Q41" s="27">
        <v>5</v>
      </c>
      <c r="R41" s="27">
        <v>34</v>
      </c>
      <c r="S41" s="19">
        <v>5</v>
      </c>
      <c r="T41" s="2">
        <v>0</v>
      </c>
    </row>
    <row r="42" spans="1:20" x14ac:dyDescent="0.25">
      <c r="A42" t="s">
        <v>43</v>
      </c>
      <c r="B42" t="s">
        <v>67</v>
      </c>
      <c r="C42" t="s">
        <v>70</v>
      </c>
      <c r="D42" s="21">
        <v>42944</v>
      </c>
      <c r="F42" s="2">
        <v>100</v>
      </c>
      <c r="G42" s="25">
        <v>44291</v>
      </c>
      <c r="H42" s="26">
        <v>44356</v>
      </c>
      <c r="I42" s="26" t="s">
        <v>599</v>
      </c>
      <c r="J42" s="26" t="s">
        <v>676</v>
      </c>
      <c r="K42" s="26" t="s">
        <v>581</v>
      </c>
      <c r="L42" s="22" t="s">
        <v>581</v>
      </c>
      <c r="M42" s="22" t="s">
        <v>581</v>
      </c>
      <c r="N42" s="26">
        <v>44356</v>
      </c>
      <c r="O42" s="26">
        <v>44357</v>
      </c>
      <c r="P42" s="27">
        <v>7</v>
      </c>
      <c r="Q42" s="27">
        <v>6</v>
      </c>
      <c r="R42" s="27">
        <v>1</v>
      </c>
      <c r="S42" s="19">
        <v>6</v>
      </c>
      <c r="T42" s="2">
        <v>5</v>
      </c>
    </row>
    <row r="43" spans="1:20" x14ac:dyDescent="0.25">
      <c r="A43" t="s">
        <v>43</v>
      </c>
      <c r="B43" t="s">
        <v>67</v>
      </c>
      <c r="C43" t="s">
        <v>71</v>
      </c>
      <c r="D43" s="21">
        <v>42979</v>
      </c>
      <c r="F43" s="2">
        <v>108</v>
      </c>
      <c r="G43" s="25">
        <v>44340</v>
      </c>
      <c r="H43" s="26">
        <v>44431</v>
      </c>
      <c r="I43" s="26" t="s">
        <v>599</v>
      </c>
      <c r="J43" s="26" t="s">
        <v>676</v>
      </c>
      <c r="K43" s="26" t="s">
        <v>581</v>
      </c>
      <c r="L43" s="22" t="s">
        <v>581</v>
      </c>
      <c r="M43" s="22" t="s">
        <v>581</v>
      </c>
      <c r="N43" s="26">
        <v>44431</v>
      </c>
      <c r="O43" s="26">
        <v>44432</v>
      </c>
      <c r="P43" s="27">
        <v>23</v>
      </c>
      <c r="Q43" s="27">
        <v>4</v>
      </c>
      <c r="R43" s="27">
        <v>19</v>
      </c>
      <c r="S43" s="19">
        <v>4</v>
      </c>
      <c r="T43" s="2">
        <v>1</v>
      </c>
    </row>
    <row r="44" spans="1:20" x14ac:dyDescent="0.25">
      <c r="A44" t="s">
        <v>43</v>
      </c>
      <c r="B44" t="s">
        <v>72</v>
      </c>
      <c r="C44" t="s">
        <v>73</v>
      </c>
      <c r="D44" s="21">
        <v>42936</v>
      </c>
      <c r="F44" s="2">
        <v>100</v>
      </c>
      <c r="G44" s="25">
        <v>44340</v>
      </c>
      <c r="H44" s="26">
        <v>44431</v>
      </c>
      <c r="I44" s="26" t="s">
        <v>600</v>
      </c>
      <c r="J44" s="26" t="s">
        <v>581</v>
      </c>
      <c r="K44" s="26" t="s">
        <v>581</v>
      </c>
      <c r="L44" s="22" t="s">
        <v>581</v>
      </c>
      <c r="M44" s="22" t="s">
        <v>581</v>
      </c>
      <c r="N44" t="s">
        <v>581</v>
      </c>
      <c r="O44" t="s">
        <v>581</v>
      </c>
      <c r="P44" s="27" t="s">
        <v>581</v>
      </c>
      <c r="Q44" s="27" t="s">
        <v>581</v>
      </c>
      <c r="R44" s="27" t="s">
        <v>581</v>
      </c>
      <c r="S44" s="19">
        <v>0</v>
      </c>
      <c r="T44" s="2">
        <v>0</v>
      </c>
    </row>
    <row r="45" spans="1:20" x14ac:dyDescent="0.25">
      <c r="A45" t="s">
        <v>74</v>
      </c>
      <c r="B45" t="s">
        <v>75</v>
      </c>
      <c r="C45" t="s">
        <v>76</v>
      </c>
      <c r="D45" s="21">
        <v>42296</v>
      </c>
      <c r="F45" s="2">
        <v>100</v>
      </c>
      <c r="G45" s="25">
        <v>44336</v>
      </c>
      <c r="H45" s="26">
        <v>44390</v>
      </c>
      <c r="I45" s="26" t="s">
        <v>599</v>
      </c>
      <c r="J45" s="26" t="s">
        <v>676</v>
      </c>
      <c r="K45" s="26" t="s">
        <v>581</v>
      </c>
      <c r="L45" s="22" t="s">
        <v>581</v>
      </c>
      <c r="M45" s="22" t="s">
        <v>581</v>
      </c>
      <c r="N45" s="26">
        <v>44390</v>
      </c>
      <c r="O45" s="26">
        <v>44391</v>
      </c>
      <c r="P45" s="27">
        <v>100</v>
      </c>
      <c r="Q45" s="27">
        <v>77</v>
      </c>
      <c r="R45" s="27">
        <v>23</v>
      </c>
      <c r="S45" s="19">
        <v>77</v>
      </c>
      <c r="T45" s="2">
        <v>0</v>
      </c>
    </row>
    <row r="46" spans="1:20" x14ac:dyDescent="0.25">
      <c r="A46" t="s">
        <v>77</v>
      </c>
      <c r="B46" t="s">
        <v>78</v>
      </c>
      <c r="C46" t="s">
        <v>79</v>
      </c>
      <c r="D46" s="21">
        <v>42295</v>
      </c>
      <c r="F46" s="2">
        <v>100</v>
      </c>
      <c r="G46" s="25">
        <v>44336</v>
      </c>
      <c r="H46" s="26">
        <v>44348</v>
      </c>
      <c r="I46" s="26" t="s">
        <v>600</v>
      </c>
      <c r="J46" s="26" t="s">
        <v>581</v>
      </c>
      <c r="K46" s="26" t="s">
        <v>581</v>
      </c>
      <c r="L46" s="22" t="s">
        <v>581</v>
      </c>
      <c r="M46" s="22" t="s">
        <v>581</v>
      </c>
      <c r="N46" t="s">
        <v>581</v>
      </c>
      <c r="O46" t="s">
        <v>581</v>
      </c>
      <c r="P46" s="27" t="s">
        <v>581</v>
      </c>
      <c r="Q46" s="27" t="s">
        <v>581</v>
      </c>
      <c r="R46" s="27" t="s">
        <v>581</v>
      </c>
      <c r="S46" s="19">
        <v>0</v>
      </c>
      <c r="T46" s="2">
        <v>0</v>
      </c>
    </row>
    <row r="47" spans="1:20" x14ac:dyDescent="0.25">
      <c r="A47" t="s">
        <v>77</v>
      </c>
      <c r="B47" t="s">
        <v>78</v>
      </c>
      <c r="C47" t="s">
        <v>80</v>
      </c>
      <c r="D47" s="21">
        <v>43055</v>
      </c>
      <c r="F47" s="2">
        <v>112</v>
      </c>
      <c r="G47" s="25">
        <v>44336</v>
      </c>
      <c r="H47" s="26">
        <v>44351</v>
      </c>
      <c r="I47" s="26" t="s">
        <v>600</v>
      </c>
      <c r="J47" s="26" t="s">
        <v>581</v>
      </c>
      <c r="K47" s="26" t="s">
        <v>581</v>
      </c>
      <c r="L47" s="22" t="s">
        <v>581</v>
      </c>
      <c r="M47" s="22" t="s">
        <v>581</v>
      </c>
      <c r="N47" t="s">
        <v>581</v>
      </c>
      <c r="O47" t="s">
        <v>581</v>
      </c>
      <c r="P47" s="27" t="s">
        <v>581</v>
      </c>
      <c r="Q47" s="27" t="s">
        <v>581</v>
      </c>
      <c r="R47" s="27" t="s">
        <v>581</v>
      </c>
      <c r="S47" s="19">
        <v>0</v>
      </c>
      <c r="T47" s="2">
        <v>0</v>
      </c>
    </row>
    <row r="48" spans="1:20" x14ac:dyDescent="0.25">
      <c r="A48" t="s">
        <v>81</v>
      </c>
      <c r="B48" t="s">
        <v>82</v>
      </c>
      <c r="C48" t="s">
        <v>83</v>
      </c>
      <c r="D48" s="21">
        <v>43039</v>
      </c>
      <c r="F48" s="2">
        <v>100</v>
      </c>
      <c r="G48" s="25">
        <v>44336</v>
      </c>
      <c r="H48" s="26">
        <v>44427</v>
      </c>
      <c r="I48" s="26" t="s">
        <v>599</v>
      </c>
      <c r="J48" s="26" t="s">
        <v>676</v>
      </c>
      <c r="K48" s="26" t="s">
        <v>581</v>
      </c>
      <c r="L48" s="22" t="s">
        <v>581</v>
      </c>
      <c r="M48" s="22" t="s">
        <v>581</v>
      </c>
      <c r="N48" s="26">
        <v>44427</v>
      </c>
      <c r="O48" s="26">
        <v>44428</v>
      </c>
      <c r="P48" s="27">
        <v>45</v>
      </c>
      <c r="Q48" s="27">
        <v>5</v>
      </c>
      <c r="R48" s="27">
        <v>40</v>
      </c>
      <c r="S48" s="19">
        <v>5</v>
      </c>
      <c r="T48" s="2">
        <v>0</v>
      </c>
    </row>
    <row r="49" spans="1:20" x14ac:dyDescent="0.25">
      <c r="A49" t="s">
        <v>84</v>
      </c>
      <c r="B49" t="s">
        <v>85</v>
      </c>
      <c r="C49" t="s">
        <v>86</v>
      </c>
      <c r="D49" s="21">
        <v>43039</v>
      </c>
      <c r="F49" s="2">
        <v>96</v>
      </c>
      <c r="G49" s="25">
        <v>44336</v>
      </c>
      <c r="H49" s="26">
        <v>44383</v>
      </c>
      <c r="I49" s="26" t="s">
        <v>599</v>
      </c>
      <c r="J49" s="26" t="s">
        <v>676</v>
      </c>
      <c r="K49" s="26" t="s">
        <v>581</v>
      </c>
      <c r="L49" s="22" t="s">
        <v>581</v>
      </c>
      <c r="M49" s="22" t="s">
        <v>581</v>
      </c>
      <c r="N49" s="26">
        <v>44383</v>
      </c>
      <c r="O49" s="26">
        <v>44384</v>
      </c>
      <c r="P49" s="27">
        <v>77</v>
      </c>
      <c r="Q49" s="27">
        <v>28</v>
      </c>
      <c r="R49" s="27">
        <v>49</v>
      </c>
      <c r="S49" s="19">
        <v>28</v>
      </c>
      <c r="T49" s="2">
        <v>0</v>
      </c>
    </row>
    <row r="50" spans="1:20" x14ac:dyDescent="0.25">
      <c r="A50" t="s">
        <v>84</v>
      </c>
      <c r="B50" t="s">
        <v>85</v>
      </c>
      <c r="C50" t="s">
        <v>87</v>
      </c>
      <c r="D50" s="21">
        <v>43056</v>
      </c>
      <c r="F50" s="2">
        <v>110</v>
      </c>
      <c r="G50" s="25">
        <v>44336</v>
      </c>
      <c r="H50" s="26">
        <v>44383</v>
      </c>
      <c r="I50" s="26" t="s">
        <v>599</v>
      </c>
      <c r="J50" s="26" t="s">
        <v>676</v>
      </c>
      <c r="K50" s="26" t="s">
        <v>581</v>
      </c>
      <c r="L50" s="22" t="s">
        <v>581</v>
      </c>
      <c r="M50" s="22" t="s">
        <v>581</v>
      </c>
      <c r="N50" s="26">
        <v>44383</v>
      </c>
      <c r="O50" s="26">
        <v>44384</v>
      </c>
      <c r="P50" s="27">
        <v>82</v>
      </c>
      <c r="Q50" s="27">
        <v>43</v>
      </c>
      <c r="R50" s="27">
        <v>39</v>
      </c>
      <c r="S50" s="19">
        <v>43</v>
      </c>
      <c r="T50" s="2">
        <v>11</v>
      </c>
    </row>
    <row r="51" spans="1:20" x14ac:dyDescent="0.25">
      <c r="A51" t="s">
        <v>88</v>
      </c>
      <c r="B51" t="s">
        <v>89</v>
      </c>
      <c r="C51" t="s">
        <v>90</v>
      </c>
      <c r="D51" s="21">
        <v>43045</v>
      </c>
      <c r="F51" s="2">
        <v>100</v>
      </c>
      <c r="G51" s="25">
        <v>44329</v>
      </c>
      <c r="H51" s="26">
        <v>44368</v>
      </c>
      <c r="I51" s="26" t="s">
        <v>599</v>
      </c>
      <c r="J51" s="26" t="s">
        <v>676</v>
      </c>
      <c r="K51" s="26" t="s">
        <v>581</v>
      </c>
      <c r="L51" s="22" t="s">
        <v>581</v>
      </c>
      <c r="M51" s="22" t="s">
        <v>581</v>
      </c>
      <c r="N51" s="26">
        <v>44368</v>
      </c>
      <c r="O51" s="26">
        <v>44369</v>
      </c>
      <c r="P51" s="27">
        <v>23</v>
      </c>
      <c r="Q51" s="27">
        <v>8</v>
      </c>
      <c r="R51" s="27">
        <v>15</v>
      </c>
      <c r="S51" s="19">
        <v>8</v>
      </c>
      <c r="T51" s="2">
        <v>0</v>
      </c>
    </row>
    <row r="52" spans="1:20" x14ac:dyDescent="0.25">
      <c r="A52" t="s">
        <v>88</v>
      </c>
      <c r="B52" t="s">
        <v>89</v>
      </c>
      <c r="C52" t="s">
        <v>91</v>
      </c>
      <c r="D52" s="21">
        <v>43039</v>
      </c>
      <c r="F52" s="2">
        <v>100</v>
      </c>
      <c r="G52" s="25">
        <v>44329</v>
      </c>
      <c r="H52" s="26">
        <v>44368</v>
      </c>
      <c r="I52" s="26" t="s">
        <v>599</v>
      </c>
      <c r="J52" s="26" t="s">
        <v>676</v>
      </c>
      <c r="K52" s="26" t="s">
        <v>581</v>
      </c>
      <c r="L52" s="22" t="s">
        <v>581</v>
      </c>
      <c r="M52" s="22" t="s">
        <v>581</v>
      </c>
      <c r="N52" s="26">
        <v>44368</v>
      </c>
      <c r="O52" s="26">
        <v>44369</v>
      </c>
      <c r="P52" s="27">
        <v>23</v>
      </c>
      <c r="Q52" s="27">
        <v>5</v>
      </c>
      <c r="R52" s="27">
        <v>18</v>
      </c>
      <c r="S52" s="19">
        <v>5</v>
      </c>
      <c r="T52" s="2">
        <v>0</v>
      </c>
    </row>
    <row r="53" spans="1:20" x14ac:dyDescent="0.25">
      <c r="A53" t="s">
        <v>88</v>
      </c>
      <c r="B53" t="s">
        <v>89</v>
      </c>
      <c r="C53" t="s">
        <v>92</v>
      </c>
      <c r="D53" s="21">
        <v>43042</v>
      </c>
      <c r="F53" s="2">
        <v>100</v>
      </c>
      <c r="G53" s="25">
        <v>44328</v>
      </c>
      <c r="H53" s="26">
        <v>44368</v>
      </c>
      <c r="I53" s="26" t="s">
        <v>599</v>
      </c>
      <c r="J53" s="26" t="s">
        <v>676</v>
      </c>
      <c r="K53" s="26" t="s">
        <v>581</v>
      </c>
      <c r="L53" s="22" t="s">
        <v>581</v>
      </c>
      <c r="M53" s="22" t="s">
        <v>581</v>
      </c>
      <c r="N53" s="26">
        <v>44368</v>
      </c>
      <c r="O53" s="26">
        <v>44369</v>
      </c>
      <c r="P53" s="27">
        <v>35</v>
      </c>
      <c r="Q53" s="27">
        <v>17</v>
      </c>
      <c r="R53" s="27">
        <v>18</v>
      </c>
      <c r="S53" s="19">
        <v>17</v>
      </c>
      <c r="T53" s="2">
        <v>0</v>
      </c>
    </row>
    <row r="54" spans="1:20" x14ac:dyDescent="0.25">
      <c r="A54" t="s">
        <v>88</v>
      </c>
      <c r="B54" t="s">
        <v>89</v>
      </c>
      <c r="C54" t="s">
        <v>93</v>
      </c>
      <c r="D54" s="21">
        <v>43049</v>
      </c>
      <c r="F54" s="2">
        <v>100</v>
      </c>
      <c r="G54" s="25">
        <v>44328</v>
      </c>
      <c r="H54" s="26">
        <v>44368</v>
      </c>
      <c r="I54" s="26" t="s">
        <v>599</v>
      </c>
      <c r="J54" s="26" t="s">
        <v>676</v>
      </c>
      <c r="K54" s="26" t="s">
        <v>581</v>
      </c>
      <c r="L54" s="22" t="s">
        <v>581</v>
      </c>
      <c r="M54" s="22" t="s">
        <v>581</v>
      </c>
      <c r="N54" s="26">
        <v>44368</v>
      </c>
      <c r="O54" s="26">
        <v>44369</v>
      </c>
      <c r="P54" s="27">
        <v>25</v>
      </c>
      <c r="Q54" s="27">
        <v>14</v>
      </c>
      <c r="R54" s="27">
        <v>11</v>
      </c>
      <c r="S54" s="19">
        <v>14</v>
      </c>
      <c r="T54" s="2">
        <v>0</v>
      </c>
    </row>
    <row r="55" spans="1:20" x14ac:dyDescent="0.25">
      <c r="A55" t="s">
        <v>88</v>
      </c>
      <c r="B55" t="s">
        <v>89</v>
      </c>
      <c r="C55" t="s">
        <v>94</v>
      </c>
      <c r="D55" s="21">
        <v>43055</v>
      </c>
      <c r="F55" s="2">
        <v>100</v>
      </c>
      <c r="G55" s="25">
        <v>44328</v>
      </c>
      <c r="H55" s="26">
        <v>44368</v>
      </c>
      <c r="I55" s="26" t="s">
        <v>599</v>
      </c>
      <c r="J55" s="26" t="s">
        <v>676</v>
      </c>
      <c r="K55" s="26" t="s">
        <v>581</v>
      </c>
      <c r="L55" s="22" t="s">
        <v>581</v>
      </c>
      <c r="M55" s="22" t="s">
        <v>581</v>
      </c>
      <c r="N55" s="26">
        <v>44368</v>
      </c>
      <c r="O55" s="26">
        <v>44369</v>
      </c>
      <c r="P55" s="27">
        <v>19</v>
      </c>
      <c r="Q55" s="27">
        <v>11</v>
      </c>
      <c r="R55" s="27">
        <v>8</v>
      </c>
      <c r="S55" s="19">
        <v>11</v>
      </c>
      <c r="T55" s="2">
        <v>0</v>
      </c>
    </row>
    <row r="56" spans="1:20" x14ac:dyDescent="0.25">
      <c r="A56" t="s">
        <v>88</v>
      </c>
      <c r="B56" t="s">
        <v>89</v>
      </c>
      <c r="C56" t="s">
        <v>95</v>
      </c>
      <c r="D56" s="21">
        <v>43056</v>
      </c>
      <c r="F56" s="2">
        <v>100</v>
      </c>
      <c r="G56" s="25">
        <v>44328</v>
      </c>
      <c r="H56" s="26">
        <v>44368</v>
      </c>
      <c r="I56" s="26" t="s">
        <v>599</v>
      </c>
      <c r="J56" s="26" t="s">
        <v>676</v>
      </c>
      <c r="K56" s="26" t="s">
        <v>581</v>
      </c>
      <c r="L56" s="22" t="s">
        <v>581</v>
      </c>
      <c r="M56" s="22" t="s">
        <v>581</v>
      </c>
      <c r="N56" s="26">
        <v>44368</v>
      </c>
      <c r="O56" s="26">
        <v>44369</v>
      </c>
      <c r="P56" s="27">
        <v>26</v>
      </c>
      <c r="Q56" s="27">
        <v>9</v>
      </c>
      <c r="R56" s="27">
        <v>17</v>
      </c>
      <c r="S56" s="19">
        <v>9</v>
      </c>
      <c r="T56" s="2">
        <v>0</v>
      </c>
    </row>
    <row r="57" spans="1:20" x14ac:dyDescent="0.25">
      <c r="A57" t="s">
        <v>88</v>
      </c>
      <c r="B57" t="s">
        <v>89</v>
      </c>
      <c r="C57" t="s">
        <v>96</v>
      </c>
      <c r="D57" s="21">
        <v>43066</v>
      </c>
      <c r="F57" s="2">
        <v>100</v>
      </c>
      <c r="G57" s="25">
        <v>44328</v>
      </c>
      <c r="H57" s="26">
        <v>44368</v>
      </c>
      <c r="I57" s="26" t="s">
        <v>599</v>
      </c>
      <c r="J57" s="26" t="s">
        <v>676</v>
      </c>
      <c r="K57" s="26" t="s">
        <v>581</v>
      </c>
      <c r="L57" s="22" t="s">
        <v>581</v>
      </c>
      <c r="M57" s="22" t="s">
        <v>581</v>
      </c>
      <c r="N57" s="26">
        <v>44368</v>
      </c>
      <c r="O57" s="26">
        <v>44369</v>
      </c>
      <c r="P57" s="27">
        <v>19</v>
      </c>
      <c r="Q57" s="27">
        <v>10</v>
      </c>
      <c r="R57" s="27">
        <v>9</v>
      </c>
      <c r="S57" s="19">
        <v>10</v>
      </c>
      <c r="T57" s="2">
        <v>0</v>
      </c>
    </row>
    <row r="58" spans="1:20" x14ac:dyDescent="0.25">
      <c r="A58" t="s">
        <v>97</v>
      </c>
      <c r="B58" t="s">
        <v>98</v>
      </c>
      <c r="C58" t="s">
        <v>99</v>
      </c>
      <c r="D58" s="21">
        <v>42984</v>
      </c>
      <c r="F58" s="2">
        <v>120</v>
      </c>
      <c r="G58" s="25">
        <v>44320</v>
      </c>
      <c r="H58" s="26">
        <v>44364</v>
      </c>
      <c r="I58" s="26" t="s">
        <v>599</v>
      </c>
      <c r="J58" s="26" t="s">
        <v>676</v>
      </c>
      <c r="K58" s="26" t="s">
        <v>581</v>
      </c>
      <c r="L58" s="22" t="s">
        <v>581</v>
      </c>
      <c r="M58" s="22" t="s">
        <v>581</v>
      </c>
      <c r="N58" s="26">
        <v>44364</v>
      </c>
      <c r="O58" s="26">
        <v>44368</v>
      </c>
      <c r="P58" s="27">
        <v>45</v>
      </c>
      <c r="Q58" s="27">
        <v>20</v>
      </c>
      <c r="R58" s="27">
        <v>25</v>
      </c>
      <c r="S58" s="19">
        <v>20</v>
      </c>
      <c r="T58" s="2">
        <v>6</v>
      </c>
    </row>
    <row r="59" spans="1:20" x14ac:dyDescent="0.25">
      <c r="A59" t="s">
        <v>97</v>
      </c>
      <c r="B59" t="s">
        <v>100</v>
      </c>
      <c r="C59" t="s">
        <v>101</v>
      </c>
      <c r="D59" s="21">
        <v>42635</v>
      </c>
      <c r="F59" s="2">
        <v>100</v>
      </c>
      <c r="G59" s="25">
        <v>44320</v>
      </c>
      <c r="H59" s="26">
        <v>44364</v>
      </c>
      <c r="I59" s="26" t="s">
        <v>599</v>
      </c>
      <c r="J59" s="26" t="s">
        <v>676</v>
      </c>
      <c r="K59" s="26" t="s">
        <v>581</v>
      </c>
      <c r="L59" s="22" t="s">
        <v>581</v>
      </c>
      <c r="M59" s="22" t="s">
        <v>581</v>
      </c>
      <c r="N59" s="26">
        <v>44364</v>
      </c>
      <c r="O59" s="26">
        <v>44368</v>
      </c>
      <c r="P59" s="27">
        <v>73</v>
      </c>
      <c r="Q59" s="27">
        <v>54</v>
      </c>
      <c r="R59" s="27">
        <v>19</v>
      </c>
      <c r="S59" s="19">
        <v>54</v>
      </c>
      <c r="T59" s="2">
        <v>0</v>
      </c>
    </row>
    <row r="60" spans="1:20" x14ac:dyDescent="0.25">
      <c r="A60" t="s">
        <v>97</v>
      </c>
      <c r="B60" t="s">
        <v>102</v>
      </c>
      <c r="C60" t="s">
        <v>103</v>
      </c>
      <c r="D60" s="21">
        <v>42620</v>
      </c>
      <c r="F60" s="2">
        <v>102</v>
      </c>
      <c r="G60" s="25">
        <v>44320</v>
      </c>
      <c r="H60" s="26">
        <v>44364</v>
      </c>
      <c r="I60" s="26" t="s">
        <v>599</v>
      </c>
      <c r="J60" s="26" t="s">
        <v>676</v>
      </c>
      <c r="K60" s="26" t="s">
        <v>581</v>
      </c>
      <c r="L60" s="22" t="s">
        <v>581</v>
      </c>
      <c r="M60" s="22" t="s">
        <v>581</v>
      </c>
      <c r="N60" s="26">
        <v>44364</v>
      </c>
      <c r="O60" s="26">
        <v>44368</v>
      </c>
      <c r="P60" s="27">
        <v>87</v>
      </c>
      <c r="Q60" s="27">
        <v>74</v>
      </c>
      <c r="R60" s="27">
        <v>13</v>
      </c>
      <c r="S60" s="19">
        <v>74</v>
      </c>
      <c r="T60" s="2">
        <v>1</v>
      </c>
    </row>
    <row r="61" spans="1:20" x14ac:dyDescent="0.25">
      <c r="A61" t="s">
        <v>97</v>
      </c>
      <c r="B61" t="s">
        <v>102</v>
      </c>
      <c r="C61" t="s">
        <v>104</v>
      </c>
      <c r="D61" s="21">
        <v>42621</v>
      </c>
      <c r="F61" s="2">
        <v>100</v>
      </c>
      <c r="G61" s="25">
        <v>44320</v>
      </c>
      <c r="H61" s="26">
        <v>44364</v>
      </c>
      <c r="I61" s="26" t="s">
        <v>599</v>
      </c>
      <c r="J61" s="26" t="s">
        <v>676</v>
      </c>
      <c r="K61" s="26" t="s">
        <v>581</v>
      </c>
      <c r="L61" s="22" t="s">
        <v>581</v>
      </c>
      <c r="M61" s="22" t="s">
        <v>581</v>
      </c>
      <c r="N61" s="26">
        <v>44364</v>
      </c>
      <c r="O61" s="26">
        <v>44368</v>
      </c>
      <c r="P61" s="27">
        <v>74</v>
      </c>
      <c r="Q61" s="27">
        <v>61</v>
      </c>
      <c r="R61" s="27">
        <v>13</v>
      </c>
      <c r="S61" s="19">
        <v>61</v>
      </c>
      <c r="T61" s="2">
        <v>0</v>
      </c>
    </row>
    <row r="62" spans="1:20" x14ac:dyDescent="0.25">
      <c r="A62" t="s">
        <v>97</v>
      </c>
      <c r="B62" t="s">
        <v>102</v>
      </c>
      <c r="C62" t="s">
        <v>105</v>
      </c>
      <c r="D62" s="21">
        <v>42970</v>
      </c>
      <c r="F62" s="2">
        <v>100</v>
      </c>
      <c r="G62" s="25">
        <v>44320</v>
      </c>
      <c r="H62" s="26">
        <v>44364</v>
      </c>
      <c r="I62" s="26" t="s">
        <v>599</v>
      </c>
      <c r="J62" s="26" t="s">
        <v>676</v>
      </c>
      <c r="K62" s="26" t="s">
        <v>581</v>
      </c>
      <c r="L62" s="22" t="s">
        <v>581</v>
      </c>
      <c r="M62" s="22" t="s">
        <v>581</v>
      </c>
      <c r="N62" s="26">
        <v>44364</v>
      </c>
      <c r="O62" s="26">
        <v>44368</v>
      </c>
      <c r="P62" s="27">
        <v>80</v>
      </c>
      <c r="Q62" s="27">
        <v>64</v>
      </c>
      <c r="R62" s="27">
        <v>16</v>
      </c>
      <c r="S62" s="19">
        <v>64</v>
      </c>
      <c r="T62" s="2">
        <v>0</v>
      </c>
    </row>
    <row r="63" spans="1:20" x14ac:dyDescent="0.25">
      <c r="A63" t="s">
        <v>97</v>
      </c>
      <c r="B63" t="s">
        <v>106</v>
      </c>
      <c r="C63" t="s">
        <v>107</v>
      </c>
      <c r="D63" s="21">
        <v>42991</v>
      </c>
      <c r="F63" s="2">
        <v>100</v>
      </c>
      <c r="G63" s="25">
        <v>44320</v>
      </c>
      <c r="H63" s="26">
        <v>44364</v>
      </c>
      <c r="I63" s="26" t="s">
        <v>599</v>
      </c>
      <c r="J63" s="26" t="s">
        <v>676</v>
      </c>
      <c r="K63" s="26" t="s">
        <v>581</v>
      </c>
      <c r="L63" s="22" t="s">
        <v>581</v>
      </c>
      <c r="M63" s="22" t="s">
        <v>581</v>
      </c>
      <c r="N63" s="26">
        <v>44364</v>
      </c>
      <c r="O63" s="26">
        <v>44368</v>
      </c>
      <c r="P63" s="27">
        <v>71</v>
      </c>
      <c r="Q63" s="27">
        <v>51</v>
      </c>
      <c r="R63" s="27">
        <v>20</v>
      </c>
      <c r="S63" s="19">
        <v>51</v>
      </c>
      <c r="T63" s="2">
        <v>0</v>
      </c>
    </row>
    <row r="64" spans="1:20" x14ac:dyDescent="0.25">
      <c r="A64" t="s">
        <v>97</v>
      </c>
      <c r="B64" t="s">
        <v>108</v>
      </c>
      <c r="C64" t="s">
        <v>109</v>
      </c>
      <c r="D64" s="21">
        <v>42996</v>
      </c>
      <c r="F64" s="2">
        <v>100</v>
      </c>
      <c r="G64" s="25">
        <v>44320</v>
      </c>
      <c r="H64" s="26">
        <v>44364</v>
      </c>
      <c r="I64" s="26" t="s">
        <v>600</v>
      </c>
      <c r="J64" s="26" t="s">
        <v>581</v>
      </c>
      <c r="K64" s="26" t="s">
        <v>581</v>
      </c>
      <c r="L64" s="22" t="s">
        <v>581</v>
      </c>
      <c r="M64" s="22" t="s">
        <v>581</v>
      </c>
      <c r="N64" t="s">
        <v>581</v>
      </c>
      <c r="O64" t="s">
        <v>581</v>
      </c>
      <c r="P64" s="27" t="s">
        <v>581</v>
      </c>
      <c r="Q64" s="27" t="s">
        <v>581</v>
      </c>
      <c r="R64" s="27" t="s">
        <v>581</v>
      </c>
      <c r="S64" s="19" t="s">
        <v>581</v>
      </c>
      <c r="T64" s="2">
        <v>0</v>
      </c>
    </row>
    <row r="65" spans="1:21" x14ac:dyDescent="0.25">
      <c r="A65" t="s">
        <v>97</v>
      </c>
      <c r="B65" t="s">
        <v>110</v>
      </c>
      <c r="C65" t="s">
        <v>111</v>
      </c>
      <c r="D65" s="21">
        <v>42621</v>
      </c>
      <c r="F65" s="2">
        <v>100</v>
      </c>
      <c r="G65" s="25">
        <v>44320</v>
      </c>
      <c r="H65" s="26">
        <v>44364</v>
      </c>
      <c r="I65" s="26" t="s">
        <v>599</v>
      </c>
      <c r="J65" s="26" t="s">
        <v>676</v>
      </c>
      <c r="K65" s="26" t="s">
        <v>581</v>
      </c>
      <c r="L65" s="22" t="s">
        <v>581</v>
      </c>
      <c r="M65" s="22" t="s">
        <v>581</v>
      </c>
      <c r="N65" s="26">
        <v>44364</v>
      </c>
      <c r="O65" s="26">
        <v>44368</v>
      </c>
      <c r="P65" s="27">
        <v>38</v>
      </c>
      <c r="Q65" s="27">
        <v>31</v>
      </c>
      <c r="R65" s="27">
        <v>7</v>
      </c>
      <c r="S65" s="19">
        <v>31</v>
      </c>
      <c r="T65" s="2">
        <v>0</v>
      </c>
    </row>
    <row r="66" spans="1:21" ht="15.75" thickBot="1" x14ac:dyDescent="0.3">
      <c r="A66" t="s">
        <v>112</v>
      </c>
      <c r="B66" t="s">
        <v>113</v>
      </c>
      <c r="C66" t="s">
        <v>114</v>
      </c>
      <c r="D66" s="21">
        <v>42633</v>
      </c>
      <c r="F66" s="2">
        <v>0</v>
      </c>
      <c r="G66" s="22" t="s">
        <v>581</v>
      </c>
      <c r="H66" s="22" t="s">
        <v>581</v>
      </c>
      <c r="I66" s="22" t="s">
        <v>581</v>
      </c>
      <c r="J66" s="26" t="s">
        <v>676</v>
      </c>
      <c r="K66" s="26" t="s">
        <v>581</v>
      </c>
      <c r="L66" s="22" t="s">
        <v>581</v>
      </c>
      <c r="M66" s="22" t="s">
        <v>581</v>
      </c>
      <c r="N66" s="43">
        <v>44299</v>
      </c>
      <c r="O66" s="43">
        <v>44301</v>
      </c>
      <c r="P66" s="44">
        <v>10</v>
      </c>
      <c r="Q66" s="27">
        <v>0</v>
      </c>
      <c r="R66" s="45">
        <v>0</v>
      </c>
      <c r="S66" s="19" t="s">
        <v>581</v>
      </c>
      <c r="T66" s="44">
        <v>10</v>
      </c>
      <c r="U66" s="42" t="s">
        <v>689</v>
      </c>
    </row>
    <row r="67" spans="1:21" ht="15.75" thickBot="1" x14ac:dyDescent="0.3">
      <c r="A67" t="s">
        <v>112</v>
      </c>
      <c r="B67" t="s">
        <v>113</v>
      </c>
      <c r="C67" t="s">
        <v>115</v>
      </c>
      <c r="D67" s="21">
        <v>43055</v>
      </c>
      <c r="F67" s="2">
        <v>0</v>
      </c>
      <c r="G67" s="22" t="s">
        <v>581</v>
      </c>
      <c r="H67" s="22" t="s">
        <v>581</v>
      </c>
      <c r="I67" s="22" t="s">
        <v>581</v>
      </c>
      <c r="J67" s="26" t="s">
        <v>676</v>
      </c>
      <c r="K67" s="26" t="s">
        <v>581</v>
      </c>
      <c r="L67" s="22" t="s">
        <v>581</v>
      </c>
      <c r="M67" s="22" t="s">
        <v>581</v>
      </c>
      <c r="N67" s="43">
        <v>44299</v>
      </c>
      <c r="O67" s="43">
        <v>44301</v>
      </c>
      <c r="P67" s="44">
        <v>10</v>
      </c>
      <c r="Q67" s="27">
        <v>0</v>
      </c>
      <c r="R67" s="45">
        <v>0</v>
      </c>
      <c r="S67" s="19" t="s">
        <v>581</v>
      </c>
      <c r="T67" s="44">
        <v>10</v>
      </c>
      <c r="U67" s="42" t="s">
        <v>689</v>
      </c>
    </row>
    <row r="68" spans="1:21" x14ac:dyDescent="0.25">
      <c r="A68" t="s">
        <v>116</v>
      </c>
      <c r="B68" t="s">
        <v>117</v>
      </c>
      <c r="C68" t="s">
        <v>118</v>
      </c>
      <c r="D68" s="21">
        <v>42610</v>
      </c>
      <c r="F68" s="2">
        <v>116</v>
      </c>
      <c r="G68" s="25">
        <v>44315</v>
      </c>
      <c r="H68" s="26">
        <v>44356</v>
      </c>
      <c r="I68" s="26" t="s">
        <v>599</v>
      </c>
      <c r="J68" s="26" t="s">
        <v>676</v>
      </c>
      <c r="K68" s="26" t="s">
        <v>581</v>
      </c>
      <c r="L68" s="22" t="s">
        <v>581</v>
      </c>
      <c r="M68" s="22" t="s">
        <v>581</v>
      </c>
      <c r="N68" s="26">
        <v>44356</v>
      </c>
      <c r="O68" s="26">
        <v>44357</v>
      </c>
      <c r="P68" s="27">
        <v>44</v>
      </c>
      <c r="Q68" s="27">
        <v>10</v>
      </c>
      <c r="R68" s="27">
        <v>34</v>
      </c>
      <c r="S68" s="19">
        <v>10</v>
      </c>
      <c r="T68" s="2">
        <v>0</v>
      </c>
    </row>
    <row r="69" spans="1:21" x14ac:dyDescent="0.25">
      <c r="A69" t="s">
        <v>119</v>
      </c>
      <c r="B69" t="s">
        <v>120</v>
      </c>
      <c r="C69" t="s">
        <v>121</v>
      </c>
      <c r="D69" s="21">
        <v>42991</v>
      </c>
      <c r="F69" s="2">
        <v>106</v>
      </c>
      <c r="G69" s="25">
        <v>44315</v>
      </c>
      <c r="H69" s="26">
        <v>44349</v>
      </c>
      <c r="I69" s="26" t="s">
        <v>600</v>
      </c>
      <c r="J69" s="26" t="s">
        <v>581</v>
      </c>
      <c r="K69" s="26" t="s">
        <v>581</v>
      </c>
      <c r="L69" s="22" t="s">
        <v>581</v>
      </c>
      <c r="M69" s="22" t="s">
        <v>581</v>
      </c>
      <c r="N69" t="s">
        <v>581</v>
      </c>
      <c r="O69" t="s">
        <v>581</v>
      </c>
      <c r="P69" s="27" t="s">
        <v>581</v>
      </c>
      <c r="Q69" s="27" t="s">
        <v>581</v>
      </c>
      <c r="R69" s="27" t="s">
        <v>581</v>
      </c>
      <c r="S69" s="19">
        <v>0</v>
      </c>
      <c r="T69" s="2">
        <v>0</v>
      </c>
    </row>
    <row r="70" spans="1:21" x14ac:dyDescent="0.25">
      <c r="A70" t="s">
        <v>122</v>
      </c>
      <c r="B70" t="s">
        <v>123</v>
      </c>
      <c r="C70" t="s">
        <v>124</v>
      </c>
      <c r="D70" s="21">
        <v>42297</v>
      </c>
      <c r="F70" s="2">
        <v>100</v>
      </c>
      <c r="G70" s="25">
        <v>44309</v>
      </c>
      <c r="H70" s="26">
        <v>44428</v>
      </c>
      <c r="I70" s="26" t="s">
        <v>599</v>
      </c>
      <c r="J70" s="26" t="s">
        <v>676</v>
      </c>
      <c r="K70" s="26" t="s">
        <v>581</v>
      </c>
      <c r="L70" s="22" t="s">
        <v>581</v>
      </c>
      <c r="M70" s="22" t="s">
        <v>581</v>
      </c>
      <c r="N70" s="26">
        <v>44428</v>
      </c>
      <c r="O70" s="26">
        <v>44431</v>
      </c>
      <c r="P70" s="27">
        <v>31</v>
      </c>
      <c r="Q70" s="27">
        <v>3</v>
      </c>
      <c r="R70" s="27">
        <v>28</v>
      </c>
      <c r="S70" s="19">
        <v>3</v>
      </c>
      <c r="T70" s="2">
        <v>0</v>
      </c>
    </row>
    <row r="71" spans="1:21" x14ac:dyDescent="0.25">
      <c r="A71" t="s">
        <v>125</v>
      </c>
      <c r="B71" t="s">
        <v>126</v>
      </c>
      <c r="C71" t="s">
        <v>127</v>
      </c>
      <c r="D71" s="21">
        <v>43018</v>
      </c>
      <c r="F71" s="2">
        <v>84</v>
      </c>
      <c r="G71" s="25">
        <v>44308</v>
      </c>
      <c r="H71" s="26">
        <v>44356</v>
      </c>
      <c r="I71" s="26" t="s">
        <v>599</v>
      </c>
      <c r="J71" s="26" t="s">
        <v>676</v>
      </c>
      <c r="K71" s="26" t="s">
        <v>581</v>
      </c>
      <c r="L71" s="22" t="s">
        <v>581</v>
      </c>
      <c r="M71" s="22" t="s">
        <v>581</v>
      </c>
      <c r="N71" s="26">
        <v>44356</v>
      </c>
      <c r="O71" s="26">
        <v>44357</v>
      </c>
      <c r="P71" s="27">
        <v>27</v>
      </c>
      <c r="Q71" s="27">
        <v>12</v>
      </c>
      <c r="R71" s="27">
        <v>15</v>
      </c>
      <c r="S71" s="19">
        <v>12</v>
      </c>
      <c r="T71" s="2">
        <v>2</v>
      </c>
    </row>
    <row r="72" spans="1:21" x14ac:dyDescent="0.25">
      <c r="A72" t="s">
        <v>125</v>
      </c>
      <c r="B72" t="s">
        <v>126</v>
      </c>
      <c r="C72" t="s">
        <v>128</v>
      </c>
      <c r="D72" s="21">
        <v>43019</v>
      </c>
      <c r="F72" s="2">
        <v>96</v>
      </c>
      <c r="G72" s="25">
        <v>44308</v>
      </c>
      <c r="H72" s="26">
        <v>44356</v>
      </c>
      <c r="I72" s="26" t="s">
        <v>600</v>
      </c>
      <c r="J72" s="26" t="s">
        <v>581</v>
      </c>
      <c r="K72" s="26" t="s">
        <v>581</v>
      </c>
      <c r="L72" s="22" t="s">
        <v>581</v>
      </c>
      <c r="M72" s="22" t="s">
        <v>581</v>
      </c>
      <c r="N72" t="s">
        <v>581</v>
      </c>
      <c r="O72" t="s">
        <v>581</v>
      </c>
      <c r="P72" s="27" t="s">
        <v>581</v>
      </c>
      <c r="Q72" s="27" t="s">
        <v>581</v>
      </c>
      <c r="R72" s="27" t="s">
        <v>581</v>
      </c>
      <c r="S72" s="19">
        <v>0</v>
      </c>
      <c r="T72" s="2">
        <v>0</v>
      </c>
    </row>
    <row r="73" spans="1:21" x14ac:dyDescent="0.25">
      <c r="A73" t="s">
        <v>125</v>
      </c>
      <c r="B73" t="s">
        <v>126</v>
      </c>
      <c r="C73" t="s">
        <v>129</v>
      </c>
      <c r="D73" s="21">
        <v>43005</v>
      </c>
      <c r="F73" s="2">
        <v>100</v>
      </c>
      <c r="G73" s="25">
        <v>44308</v>
      </c>
      <c r="H73" s="26">
        <v>44356</v>
      </c>
      <c r="I73" s="26" t="s">
        <v>599</v>
      </c>
      <c r="J73" s="26" t="s">
        <v>676</v>
      </c>
      <c r="K73" s="26" t="s">
        <v>581</v>
      </c>
      <c r="L73" s="22" t="s">
        <v>581</v>
      </c>
      <c r="M73" s="22" t="s">
        <v>581</v>
      </c>
      <c r="N73" s="26">
        <v>44356</v>
      </c>
      <c r="O73" s="26">
        <v>44357</v>
      </c>
      <c r="P73" s="27">
        <v>26</v>
      </c>
      <c r="Q73" s="27">
        <v>3</v>
      </c>
      <c r="R73" s="27">
        <v>23</v>
      </c>
      <c r="S73" s="19">
        <v>3</v>
      </c>
      <c r="T73" s="2">
        <v>0</v>
      </c>
    </row>
    <row r="74" spans="1:21" x14ac:dyDescent="0.25">
      <c r="A74" t="s">
        <v>125</v>
      </c>
      <c r="B74" t="s">
        <v>126</v>
      </c>
      <c r="C74" t="s">
        <v>130</v>
      </c>
      <c r="D74" s="21">
        <v>43004</v>
      </c>
      <c r="F74" s="2">
        <v>94</v>
      </c>
      <c r="G74" s="25">
        <v>44308</v>
      </c>
      <c r="H74" s="26">
        <v>44356</v>
      </c>
      <c r="I74" s="26" t="s">
        <v>599</v>
      </c>
      <c r="J74" s="26" t="s">
        <v>676</v>
      </c>
      <c r="K74" s="26" t="s">
        <v>581</v>
      </c>
      <c r="L74" s="22" t="s">
        <v>581</v>
      </c>
      <c r="M74" s="22" t="s">
        <v>581</v>
      </c>
      <c r="N74" s="26">
        <v>44356</v>
      </c>
      <c r="O74" s="26">
        <v>44357</v>
      </c>
      <c r="P74" s="27">
        <v>14</v>
      </c>
      <c r="Q74" s="27">
        <v>3</v>
      </c>
      <c r="R74" s="27">
        <v>11</v>
      </c>
      <c r="S74" s="19">
        <v>3</v>
      </c>
      <c r="T74" s="2">
        <v>0</v>
      </c>
    </row>
    <row r="75" spans="1:21" x14ac:dyDescent="0.25">
      <c r="A75" t="s">
        <v>125</v>
      </c>
      <c r="B75" t="s">
        <v>126</v>
      </c>
      <c r="C75" t="s">
        <v>131</v>
      </c>
      <c r="D75" s="21">
        <v>43004</v>
      </c>
      <c r="F75" s="2">
        <v>114</v>
      </c>
      <c r="G75" s="25">
        <v>44308</v>
      </c>
      <c r="H75" s="26">
        <v>44356</v>
      </c>
      <c r="I75" s="26" t="s">
        <v>599</v>
      </c>
      <c r="J75" s="26" t="s">
        <v>676</v>
      </c>
      <c r="K75" s="26" t="s">
        <v>581</v>
      </c>
      <c r="L75" s="22" t="s">
        <v>581</v>
      </c>
      <c r="M75" s="22" t="s">
        <v>581</v>
      </c>
      <c r="N75" s="26">
        <v>44356</v>
      </c>
      <c r="O75" s="26">
        <v>44357</v>
      </c>
      <c r="P75" s="27">
        <v>8</v>
      </c>
      <c r="Q75" s="27">
        <v>1</v>
      </c>
      <c r="R75" s="27">
        <v>7</v>
      </c>
      <c r="S75" s="19">
        <v>1</v>
      </c>
      <c r="T75" s="2">
        <v>0</v>
      </c>
    </row>
    <row r="76" spans="1:21" x14ac:dyDescent="0.25">
      <c r="A76" t="s">
        <v>125</v>
      </c>
      <c r="B76" t="s">
        <v>126</v>
      </c>
      <c r="C76" t="s">
        <v>132</v>
      </c>
      <c r="D76" s="21">
        <v>43013</v>
      </c>
      <c r="F76" s="2">
        <v>130</v>
      </c>
      <c r="G76" s="25">
        <v>44308</v>
      </c>
      <c r="H76" s="26">
        <v>44356</v>
      </c>
      <c r="I76" s="26" t="s">
        <v>599</v>
      </c>
      <c r="J76" s="26" t="s">
        <v>676</v>
      </c>
      <c r="K76" s="26" t="s">
        <v>581</v>
      </c>
      <c r="L76" s="22" t="s">
        <v>581</v>
      </c>
      <c r="M76" s="22" t="s">
        <v>581</v>
      </c>
      <c r="N76" s="26">
        <v>44356</v>
      </c>
      <c r="O76" s="26">
        <v>44357</v>
      </c>
      <c r="P76" s="27">
        <v>28</v>
      </c>
      <c r="Q76" s="27">
        <v>6</v>
      </c>
      <c r="R76" s="27">
        <v>22</v>
      </c>
      <c r="S76" s="19">
        <v>6</v>
      </c>
      <c r="T76" s="2">
        <v>10</v>
      </c>
    </row>
    <row r="77" spans="1:21" x14ac:dyDescent="0.25">
      <c r="A77" t="s">
        <v>125</v>
      </c>
      <c r="B77" t="s">
        <v>126</v>
      </c>
      <c r="C77" t="s">
        <v>133</v>
      </c>
      <c r="D77" s="21">
        <v>43026</v>
      </c>
      <c r="F77" s="2">
        <v>100</v>
      </c>
      <c r="G77" s="25">
        <v>44308</v>
      </c>
      <c r="H77" s="26">
        <v>44356</v>
      </c>
      <c r="I77" s="26" t="s">
        <v>599</v>
      </c>
      <c r="J77" s="26" t="s">
        <v>676</v>
      </c>
      <c r="K77" s="26" t="s">
        <v>581</v>
      </c>
      <c r="L77" s="22" t="s">
        <v>581</v>
      </c>
      <c r="M77" s="22" t="s">
        <v>581</v>
      </c>
      <c r="N77" s="26">
        <v>44356</v>
      </c>
      <c r="O77" s="26">
        <v>44357</v>
      </c>
      <c r="P77" s="27">
        <v>20</v>
      </c>
      <c r="Q77" s="27">
        <v>6</v>
      </c>
      <c r="R77" s="27">
        <v>14</v>
      </c>
      <c r="S77" s="19">
        <v>6</v>
      </c>
      <c r="T77" s="2">
        <v>0</v>
      </c>
    </row>
    <row r="78" spans="1:21" ht="15.75" thickBot="1" x14ac:dyDescent="0.3">
      <c r="A78" t="s">
        <v>125</v>
      </c>
      <c r="B78" t="s">
        <v>126</v>
      </c>
      <c r="C78" t="s">
        <v>134</v>
      </c>
      <c r="D78" s="21">
        <v>43027</v>
      </c>
      <c r="F78" s="2">
        <v>0</v>
      </c>
      <c r="G78" s="22" t="s">
        <v>581</v>
      </c>
      <c r="H78" s="22" t="s">
        <v>581</v>
      </c>
      <c r="I78" s="22" t="s">
        <v>581</v>
      </c>
      <c r="J78" s="26" t="s">
        <v>676</v>
      </c>
      <c r="K78" s="26" t="s">
        <v>581</v>
      </c>
      <c r="L78" s="22" t="s">
        <v>581</v>
      </c>
      <c r="M78" s="22" t="s">
        <v>581</v>
      </c>
      <c r="N78" s="43">
        <v>44292</v>
      </c>
      <c r="O78" s="43">
        <v>44294</v>
      </c>
      <c r="P78" s="23">
        <v>11</v>
      </c>
      <c r="Q78" s="27">
        <v>0</v>
      </c>
      <c r="R78" s="23">
        <v>11</v>
      </c>
      <c r="S78" s="19" t="s">
        <v>581</v>
      </c>
      <c r="T78" s="27">
        <v>0</v>
      </c>
      <c r="U78" s="42" t="s">
        <v>689</v>
      </c>
    </row>
    <row r="79" spans="1:21" ht="15.75" thickBot="1" x14ac:dyDescent="0.3">
      <c r="A79" t="s">
        <v>125</v>
      </c>
      <c r="B79" t="s">
        <v>126</v>
      </c>
      <c r="C79" t="s">
        <v>135</v>
      </c>
      <c r="D79" s="21">
        <v>43028</v>
      </c>
      <c r="F79" s="2">
        <v>0</v>
      </c>
      <c r="G79" s="22" t="s">
        <v>581</v>
      </c>
      <c r="H79" s="22" t="s">
        <v>581</v>
      </c>
      <c r="I79" s="22" t="s">
        <v>581</v>
      </c>
      <c r="J79" s="26" t="s">
        <v>676</v>
      </c>
      <c r="K79" s="26" t="s">
        <v>581</v>
      </c>
      <c r="L79" s="22" t="s">
        <v>581</v>
      </c>
      <c r="M79" s="22" t="s">
        <v>581</v>
      </c>
      <c r="N79" s="43">
        <v>44292</v>
      </c>
      <c r="O79" s="43">
        <v>44294</v>
      </c>
      <c r="P79" s="23">
        <v>12</v>
      </c>
      <c r="Q79" s="27">
        <v>0</v>
      </c>
      <c r="R79" s="23">
        <v>12</v>
      </c>
      <c r="S79" s="19" t="s">
        <v>581</v>
      </c>
      <c r="T79" s="27">
        <v>0</v>
      </c>
      <c r="U79" s="42" t="s">
        <v>689</v>
      </c>
    </row>
    <row r="80" spans="1:21" x14ac:dyDescent="0.25">
      <c r="A80" t="s">
        <v>136</v>
      </c>
      <c r="B80" t="s">
        <v>137</v>
      </c>
      <c r="C80" t="s">
        <v>138</v>
      </c>
      <c r="D80" s="21">
        <v>43041</v>
      </c>
      <c r="F80" s="2">
        <v>110</v>
      </c>
      <c r="G80" s="25">
        <v>44341</v>
      </c>
      <c r="H80" s="26">
        <v>44389</v>
      </c>
      <c r="I80" s="26" t="s">
        <v>600</v>
      </c>
      <c r="J80" s="26" t="s">
        <v>581</v>
      </c>
      <c r="K80" s="26" t="s">
        <v>581</v>
      </c>
      <c r="L80" s="22" t="s">
        <v>581</v>
      </c>
      <c r="M80" s="22" t="s">
        <v>581</v>
      </c>
      <c r="N80" t="s">
        <v>581</v>
      </c>
      <c r="O80" t="s">
        <v>581</v>
      </c>
      <c r="P80" s="27" t="s">
        <v>581</v>
      </c>
      <c r="Q80" s="27" t="s">
        <v>581</v>
      </c>
      <c r="R80" s="27" t="s">
        <v>581</v>
      </c>
      <c r="S80" s="19">
        <v>0</v>
      </c>
      <c r="T80" s="2">
        <v>10</v>
      </c>
    </row>
    <row r="81" spans="1:21" x14ac:dyDescent="0.25">
      <c r="A81" t="s">
        <v>139</v>
      </c>
      <c r="B81" t="s">
        <v>140</v>
      </c>
      <c r="C81" t="s">
        <v>141</v>
      </c>
      <c r="D81" s="21">
        <v>42992</v>
      </c>
      <c r="F81" s="2">
        <v>100</v>
      </c>
      <c r="G81" s="25">
        <v>44341</v>
      </c>
      <c r="H81" s="26">
        <v>44384</v>
      </c>
      <c r="I81" s="26" t="s">
        <v>599</v>
      </c>
      <c r="J81" s="26" t="s">
        <v>676</v>
      </c>
      <c r="K81" s="26" t="s">
        <v>581</v>
      </c>
      <c r="L81" s="22" t="s">
        <v>581</v>
      </c>
      <c r="M81" s="22" t="s">
        <v>581</v>
      </c>
      <c r="N81" s="26">
        <v>44384</v>
      </c>
      <c r="O81" s="26">
        <v>44385</v>
      </c>
      <c r="P81" s="27">
        <v>58</v>
      </c>
      <c r="Q81" s="27">
        <v>50</v>
      </c>
      <c r="R81" s="27">
        <v>8</v>
      </c>
      <c r="S81" s="19">
        <v>50</v>
      </c>
      <c r="T81" s="2">
        <v>0</v>
      </c>
    </row>
    <row r="82" spans="1:21" x14ac:dyDescent="0.25">
      <c r="A82" t="s">
        <v>139</v>
      </c>
      <c r="B82" t="s">
        <v>140</v>
      </c>
      <c r="C82" t="s">
        <v>142</v>
      </c>
      <c r="D82" s="21">
        <v>43000</v>
      </c>
      <c r="F82" s="2">
        <v>106</v>
      </c>
      <c r="G82" s="25">
        <v>44341</v>
      </c>
      <c r="H82" s="26">
        <v>44384</v>
      </c>
      <c r="I82" s="26" t="s">
        <v>599</v>
      </c>
      <c r="J82" s="26" t="s">
        <v>676</v>
      </c>
      <c r="K82" s="26" t="s">
        <v>581</v>
      </c>
      <c r="L82" s="22" t="s">
        <v>581</v>
      </c>
      <c r="M82" s="22" t="s">
        <v>581</v>
      </c>
      <c r="N82" s="26">
        <v>44384</v>
      </c>
      <c r="O82" s="26">
        <v>44385</v>
      </c>
      <c r="P82" s="27">
        <v>84</v>
      </c>
      <c r="Q82" s="27">
        <v>68</v>
      </c>
      <c r="R82" s="27">
        <v>16</v>
      </c>
      <c r="S82" s="19">
        <v>68</v>
      </c>
      <c r="T82" s="2">
        <v>0</v>
      </c>
    </row>
    <row r="83" spans="1:21" x14ac:dyDescent="0.25">
      <c r="A83" t="s">
        <v>139</v>
      </c>
      <c r="B83" t="s">
        <v>140</v>
      </c>
      <c r="C83" t="s">
        <v>143</v>
      </c>
      <c r="D83" s="21">
        <v>43034</v>
      </c>
      <c r="F83" s="2">
        <v>108</v>
      </c>
      <c r="G83" s="25">
        <v>44341</v>
      </c>
      <c r="H83" s="26">
        <v>44384</v>
      </c>
      <c r="I83" s="26" t="s">
        <v>599</v>
      </c>
      <c r="J83" s="26" t="s">
        <v>676</v>
      </c>
      <c r="K83" s="26" t="s">
        <v>581</v>
      </c>
      <c r="L83" s="22" t="s">
        <v>581</v>
      </c>
      <c r="M83" s="22" t="s">
        <v>581</v>
      </c>
      <c r="N83" s="26">
        <v>44384</v>
      </c>
      <c r="O83" s="26">
        <v>44385</v>
      </c>
      <c r="P83" s="27">
        <v>98</v>
      </c>
      <c r="Q83" s="27">
        <v>66</v>
      </c>
      <c r="R83" s="27">
        <v>32</v>
      </c>
      <c r="S83" s="19">
        <v>66</v>
      </c>
      <c r="T83" s="2">
        <v>4</v>
      </c>
    </row>
    <row r="84" spans="1:21" x14ac:dyDescent="0.25">
      <c r="A84" t="s">
        <v>144</v>
      </c>
      <c r="B84" t="s">
        <v>145</v>
      </c>
      <c r="C84" t="s">
        <v>146</v>
      </c>
      <c r="D84" s="21">
        <v>42958</v>
      </c>
      <c r="F84" s="2">
        <v>100</v>
      </c>
      <c r="G84" s="25">
        <v>44313</v>
      </c>
      <c r="H84" s="26">
        <v>44356</v>
      </c>
      <c r="I84" s="26" t="s">
        <v>599</v>
      </c>
      <c r="J84" s="26" t="s">
        <v>676</v>
      </c>
      <c r="K84" s="26" t="s">
        <v>581</v>
      </c>
      <c r="L84" s="22" t="s">
        <v>581</v>
      </c>
      <c r="M84" s="22" t="s">
        <v>581</v>
      </c>
      <c r="N84" s="26">
        <v>44356</v>
      </c>
      <c r="O84" s="26">
        <v>44357</v>
      </c>
      <c r="P84" s="27">
        <v>92</v>
      </c>
      <c r="Q84" s="27">
        <v>65</v>
      </c>
      <c r="R84" s="27">
        <v>27</v>
      </c>
      <c r="S84" s="19">
        <v>65</v>
      </c>
      <c r="T84" s="2">
        <v>0</v>
      </c>
    </row>
    <row r="85" spans="1:21" x14ac:dyDescent="0.25">
      <c r="A85" t="s">
        <v>144</v>
      </c>
      <c r="B85" t="s">
        <v>145</v>
      </c>
      <c r="C85" t="s">
        <v>147</v>
      </c>
      <c r="D85" s="21">
        <v>42964</v>
      </c>
      <c r="F85" s="2">
        <v>95</v>
      </c>
      <c r="G85" s="25">
        <v>44291</v>
      </c>
      <c r="H85" s="26">
        <v>44349</v>
      </c>
      <c r="I85" s="26" t="s">
        <v>599</v>
      </c>
      <c r="J85" s="26" t="s">
        <v>676</v>
      </c>
      <c r="K85" s="26" t="s">
        <v>581</v>
      </c>
      <c r="L85" s="22" t="s">
        <v>581</v>
      </c>
      <c r="M85" s="22" t="s">
        <v>581</v>
      </c>
      <c r="N85" s="26">
        <v>44349</v>
      </c>
      <c r="O85" s="26">
        <v>44350</v>
      </c>
      <c r="P85" s="27">
        <v>40</v>
      </c>
      <c r="Q85" s="27">
        <v>23</v>
      </c>
      <c r="R85" s="27">
        <v>17</v>
      </c>
      <c r="S85" s="19">
        <v>23</v>
      </c>
      <c r="T85" s="2">
        <v>8</v>
      </c>
    </row>
    <row r="86" spans="1:21" x14ac:dyDescent="0.25">
      <c r="A86" t="s">
        <v>144</v>
      </c>
      <c r="B86" t="s">
        <v>145</v>
      </c>
      <c r="C86" t="s">
        <v>148</v>
      </c>
      <c r="D86" s="21">
        <v>42978</v>
      </c>
      <c r="F86" s="2">
        <v>118</v>
      </c>
      <c r="G86" s="25">
        <v>44313</v>
      </c>
      <c r="H86" s="26">
        <v>44349</v>
      </c>
      <c r="I86" s="26" t="s">
        <v>599</v>
      </c>
      <c r="J86" s="26" t="s">
        <v>676</v>
      </c>
      <c r="K86" s="26" t="s">
        <v>581</v>
      </c>
      <c r="L86" s="22" t="s">
        <v>581</v>
      </c>
      <c r="M86" s="22" t="s">
        <v>581</v>
      </c>
      <c r="N86" s="26">
        <v>44349</v>
      </c>
      <c r="O86" s="26">
        <v>44350</v>
      </c>
      <c r="P86" s="27">
        <v>10</v>
      </c>
      <c r="Q86" s="27">
        <v>4</v>
      </c>
      <c r="R86" s="27">
        <v>6</v>
      </c>
      <c r="S86" s="19">
        <v>4</v>
      </c>
      <c r="T86" s="2">
        <v>0</v>
      </c>
    </row>
    <row r="87" spans="1:21" x14ac:dyDescent="0.25">
      <c r="A87" t="s">
        <v>144</v>
      </c>
      <c r="B87" t="s">
        <v>149</v>
      </c>
      <c r="C87" t="s">
        <v>150</v>
      </c>
      <c r="D87" s="21">
        <v>42927</v>
      </c>
      <c r="F87" s="2">
        <v>106</v>
      </c>
      <c r="G87" s="25">
        <v>44313</v>
      </c>
      <c r="H87" s="26">
        <v>44356</v>
      </c>
      <c r="I87" s="26" t="s">
        <v>599</v>
      </c>
      <c r="J87" s="26" t="s">
        <v>676</v>
      </c>
      <c r="K87" s="26" t="s">
        <v>581</v>
      </c>
      <c r="L87" s="22" t="s">
        <v>581</v>
      </c>
      <c r="M87" s="22" t="s">
        <v>581</v>
      </c>
      <c r="N87" s="26">
        <v>44356</v>
      </c>
      <c r="O87" s="26">
        <v>44357</v>
      </c>
      <c r="P87" s="27">
        <v>74</v>
      </c>
      <c r="Q87" s="27">
        <v>45</v>
      </c>
      <c r="R87" s="27">
        <v>29</v>
      </c>
      <c r="S87" s="19">
        <v>45</v>
      </c>
      <c r="T87" s="2">
        <v>0</v>
      </c>
    </row>
    <row r="88" spans="1:21" x14ac:dyDescent="0.25">
      <c r="A88" t="s">
        <v>144</v>
      </c>
      <c r="B88" t="s">
        <v>151</v>
      </c>
      <c r="C88" t="s">
        <v>152</v>
      </c>
      <c r="D88" s="21">
        <v>42620</v>
      </c>
      <c r="F88" s="2">
        <v>108</v>
      </c>
      <c r="G88" s="25">
        <v>44313</v>
      </c>
      <c r="H88" s="26">
        <v>44375</v>
      </c>
      <c r="I88" s="26" t="s">
        <v>599</v>
      </c>
      <c r="J88" s="26" t="s">
        <v>676</v>
      </c>
      <c r="K88" s="26" t="s">
        <v>581</v>
      </c>
      <c r="L88" s="22" t="s">
        <v>581</v>
      </c>
      <c r="M88" s="22" t="s">
        <v>581</v>
      </c>
      <c r="N88" s="26">
        <v>44375</v>
      </c>
      <c r="O88" s="26">
        <v>44376</v>
      </c>
      <c r="P88" s="27">
        <v>100</v>
      </c>
      <c r="Q88" s="27">
        <v>38</v>
      </c>
      <c r="R88" s="27">
        <v>62</v>
      </c>
      <c r="S88" s="19">
        <v>38</v>
      </c>
      <c r="T88" s="2">
        <v>8</v>
      </c>
    </row>
    <row r="89" spans="1:21" x14ac:dyDescent="0.25">
      <c r="A89" t="s">
        <v>144</v>
      </c>
      <c r="B89" t="s">
        <v>151</v>
      </c>
      <c r="C89" t="s">
        <v>153</v>
      </c>
      <c r="D89" s="21">
        <v>42646</v>
      </c>
      <c r="F89" s="2">
        <v>102</v>
      </c>
      <c r="G89" s="25">
        <v>44313</v>
      </c>
      <c r="H89" s="26">
        <v>44375</v>
      </c>
      <c r="I89" s="26" t="s">
        <v>599</v>
      </c>
      <c r="J89" s="26" t="s">
        <v>676</v>
      </c>
      <c r="K89" s="26" t="s">
        <v>581</v>
      </c>
      <c r="L89" s="22" t="s">
        <v>581</v>
      </c>
      <c r="M89" s="22" t="s">
        <v>581</v>
      </c>
      <c r="N89" s="26">
        <v>44375</v>
      </c>
      <c r="O89" s="26">
        <v>44376</v>
      </c>
      <c r="P89" s="27">
        <v>100</v>
      </c>
      <c r="Q89" s="27">
        <v>14</v>
      </c>
      <c r="R89" s="27">
        <v>86</v>
      </c>
      <c r="S89" s="19">
        <v>14</v>
      </c>
      <c r="T89" s="2">
        <v>2</v>
      </c>
    </row>
    <row r="90" spans="1:21" x14ac:dyDescent="0.25">
      <c r="A90" t="s">
        <v>154</v>
      </c>
      <c r="B90" t="s">
        <v>155</v>
      </c>
      <c r="C90" t="s">
        <v>156</v>
      </c>
      <c r="D90" s="21">
        <v>42292</v>
      </c>
      <c r="F90" s="2">
        <v>106</v>
      </c>
      <c r="G90" s="25">
        <v>44313</v>
      </c>
      <c r="H90" s="26">
        <v>44344</v>
      </c>
      <c r="I90" s="26" t="s">
        <v>600</v>
      </c>
      <c r="J90" s="26" t="s">
        <v>581</v>
      </c>
      <c r="K90" s="26" t="s">
        <v>581</v>
      </c>
      <c r="L90" s="22" t="s">
        <v>581</v>
      </c>
      <c r="M90" s="22" t="s">
        <v>581</v>
      </c>
      <c r="N90" t="s">
        <v>581</v>
      </c>
      <c r="O90" t="s">
        <v>581</v>
      </c>
      <c r="P90" s="27" t="s">
        <v>581</v>
      </c>
      <c r="Q90" s="27" t="s">
        <v>581</v>
      </c>
      <c r="R90" s="27" t="s">
        <v>581</v>
      </c>
      <c r="S90" s="19">
        <v>0</v>
      </c>
      <c r="T90" s="2">
        <v>0</v>
      </c>
    </row>
    <row r="91" spans="1:21" x14ac:dyDescent="0.25">
      <c r="A91" t="s">
        <v>157</v>
      </c>
      <c r="B91" t="s">
        <v>158</v>
      </c>
      <c r="C91" t="s">
        <v>159</v>
      </c>
      <c r="D91" s="21">
        <v>42620</v>
      </c>
      <c r="F91" s="2">
        <v>86</v>
      </c>
      <c r="G91" s="25">
        <v>44328</v>
      </c>
      <c r="H91" s="26">
        <v>44364</v>
      </c>
      <c r="I91" s="26" t="s">
        <v>599</v>
      </c>
      <c r="J91" s="26" t="s">
        <v>676</v>
      </c>
      <c r="K91" s="26" t="s">
        <v>581</v>
      </c>
      <c r="L91" s="22" t="s">
        <v>581</v>
      </c>
      <c r="M91" s="22" t="s">
        <v>581</v>
      </c>
      <c r="N91" s="26">
        <v>44364</v>
      </c>
      <c r="O91" s="26">
        <v>44368</v>
      </c>
      <c r="P91" s="27">
        <v>20</v>
      </c>
      <c r="Q91" s="27">
        <v>10</v>
      </c>
      <c r="R91" s="27">
        <v>10</v>
      </c>
      <c r="S91" s="19">
        <v>10</v>
      </c>
      <c r="T91" s="2">
        <v>0</v>
      </c>
    </row>
    <row r="92" spans="1:21" x14ac:dyDescent="0.25">
      <c r="A92" t="s">
        <v>157</v>
      </c>
      <c r="B92" t="s">
        <v>158</v>
      </c>
      <c r="C92" t="s">
        <v>160</v>
      </c>
      <c r="D92" s="21">
        <v>43006</v>
      </c>
      <c r="F92" s="2">
        <f>D92*E92</f>
        <v>0</v>
      </c>
      <c r="G92" s="25">
        <v>44291</v>
      </c>
      <c r="H92" s="26">
        <v>44335</v>
      </c>
      <c r="I92" s="26" t="s">
        <v>599</v>
      </c>
      <c r="J92" s="26" t="s">
        <v>676</v>
      </c>
      <c r="K92" s="26" t="s">
        <v>581</v>
      </c>
      <c r="L92" s="22" t="s">
        <v>581</v>
      </c>
      <c r="M92" s="22" t="s">
        <v>581</v>
      </c>
      <c r="N92" s="26">
        <v>44335</v>
      </c>
      <c r="O92" s="26">
        <v>44336</v>
      </c>
      <c r="P92" s="27">
        <v>9</v>
      </c>
      <c r="Q92" s="27">
        <v>4</v>
      </c>
      <c r="R92" s="27">
        <v>5</v>
      </c>
      <c r="S92" s="19">
        <v>4</v>
      </c>
      <c r="T92" s="2">
        <v>1</v>
      </c>
    </row>
    <row r="93" spans="1:21" x14ac:dyDescent="0.25">
      <c r="A93" t="s">
        <v>161</v>
      </c>
      <c r="B93" t="s">
        <v>162</v>
      </c>
      <c r="C93" t="s">
        <v>163</v>
      </c>
      <c r="D93" s="21">
        <v>42640</v>
      </c>
      <c r="F93" s="2">
        <v>106</v>
      </c>
      <c r="G93" s="25">
        <v>44315</v>
      </c>
      <c r="H93" s="26">
        <v>44327</v>
      </c>
      <c r="I93" s="26" t="s">
        <v>600</v>
      </c>
      <c r="J93" s="26" t="s">
        <v>581</v>
      </c>
      <c r="K93" s="26" t="s">
        <v>581</v>
      </c>
      <c r="L93" s="22" t="s">
        <v>581</v>
      </c>
      <c r="M93" s="22" t="s">
        <v>581</v>
      </c>
      <c r="N93" t="s">
        <v>581</v>
      </c>
      <c r="O93" t="s">
        <v>581</v>
      </c>
      <c r="P93" s="27" t="s">
        <v>581</v>
      </c>
      <c r="Q93" s="27" t="s">
        <v>581</v>
      </c>
      <c r="R93" s="27" t="s">
        <v>581</v>
      </c>
      <c r="S93" s="19">
        <v>0</v>
      </c>
      <c r="T93" s="2">
        <v>0</v>
      </c>
    </row>
    <row r="94" spans="1:21" x14ac:dyDescent="0.25">
      <c r="A94" t="s">
        <v>164</v>
      </c>
      <c r="B94" t="s">
        <v>165</v>
      </c>
      <c r="C94" t="s">
        <v>166</v>
      </c>
      <c r="D94" s="21">
        <v>42654</v>
      </c>
      <c r="F94" s="2">
        <v>104</v>
      </c>
      <c r="G94" s="25">
        <v>44328</v>
      </c>
      <c r="H94" s="26">
        <v>44364</v>
      </c>
      <c r="I94" s="26" t="s">
        <v>599</v>
      </c>
      <c r="J94" s="26" t="s">
        <v>676</v>
      </c>
      <c r="K94" s="26" t="s">
        <v>581</v>
      </c>
      <c r="L94" s="22" t="s">
        <v>581</v>
      </c>
      <c r="M94" s="22" t="s">
        <v>581</v>
      </c>
      <c r="N94" s="26">
        <v>44364</v>
      </c>
      <c r="O94" s="26">
        <v>44368</v>
      </c>
      <c r="P94" s="27">
        <v>65</v>
      </c>
      <c r="Q94" s="27">
        <v>56</v>
      </c>
      <c r="R94" s="27">
        <v>9</v>
      </c>
      <c r="S94" s="19">
        <v>56</v>
      </c>
      <c r="T94" s="2">
        <v>2</v>
      </c>
    </row>
    <row r="95" spans="1:21" x14ac:dyDescent="0.25">
      <c r="A95" t="s">
        <v>164</v>
      </c>
      <c r="B95" t="s">
        <v>165</v>
      </c>
      <c r="C95" t="s">
        <v>167</v>
      </c>
      <c r="D95" s="21">
        <v>42977</v>
      </c>
      <c r="F95" s="2">
        <v>0</v>
      </c>
      <c r="G95" s="22" t="s">
        <v>581</v>
      </c>
      <c r="H95" s="22" t="s">
        <v>581</v>
      </c>
      <c r="I95" s="22" t="s">
        <v>581</v>
      </c>
      <c r="J95" s="26" t="s">
        <v>676</v>
      </c>
      <c r="K95" s="26" t="s">
        <v>581</v>
      </c>
      <c r="L95" s="22" t="s">
        <v>581</v>
      </c>
      <c r="M95" s="22" t="s">
        <v>581</v>
      </c>
      <c r="N95" s="40">
        <v>44298</v>
      </c>
      <c r="O95" s="40">
        <v>44300</v>
      </c>
      <c r="P95" s="37">
        <v>10</v>
      </c>
      <c r="Q95" s="27">
        <v>0</v>
      </c>
      <c r="R95" s="36">
        <v>6</v>
      </c>
      <c r="S95" s="19" t="s">
        <v>581</v>
      </c>
      <c r="T95" s="41">
        <v>4</v>
      </c>
      <c r="U95" s="42" t="s">
        <v>689</v>
      </c>
    </row>
    <row r="96" spans="1:21" x14ac:dyDescent="0.25">
      <c r="A96" t="s">
        <v>168</v>
      </c>
      <c r="B96" t="s">
        <v>169</v>
      </c>
      <c r="C96" t="s">
        <v>170</v>
      </c>
      <c r="D96" s="21">
        <v>42303</v>
      </c>
      <c r="F96" s="2">
        <v>100</v>
      </c>
      <c r="G96" s="25">
        <v>44328</v>
      </c>
      <c r="H96" s="26">
        <v>44375</v>
      </c>
      <c r="I96" s="26" t="s">
        <v>600</v>
      </c>
      <c r="J96" s="26" t="s">
        <v>581</v>
      </c>
      <c r="K96" s="26" t="s">
        <v>581</v>
      </c>
      <c r="L96" s="22" t="s">
        <v>581</v>
      </c>
      <c r="M96" s="22" t="s">
        <v>581</v>
      </c>
      <c r="N96" t="s">
        <v>581</v>
      </c>
      <c r="O96" t="s">
        <v>581</v>
      </c>
      <c r="P96" s="27" t="s">
        <v>581</v>
      </c>
      <c r="Q96" s="27" t="s">
        <v>581</v>
      </c>
      <c r="R96" s="27" t="s">
        <v>581</v>
      </c>
      <c r="S96" s="19">
        <v>0</v>
      </c>
      <c r="T96" s="2">
        <v>0</v>
      </c>
    </row>
    <row r="97" spans="1:21" x14ac:dyDescent="0.25">
      <c r="A97" t="s">
        <v>168</v>
      </c>
      <c r="B97" t="s">
        <v>169</v>
      </c>
      <c r="C97" t="s">
        <v>171</v>
      </c>
      <c r="D97" s="21">
        <v>42294</v>
      </c>
      <c r="F97" s="2">
        <v>100</v>
      </c>
      <c r="G97" s="25">
        <v>44328</v>
      </c>
      <c r="H97" s="26">
        <v>44375</v>
      </c>
      <c r="I97" s="26" t="s">
        <v>600</v>
      </c>
      <c r="J97" s="26" t="s">
        <v>581</v>
      </c>
      <c r="K97" s="26" t="s">
        <v>581</v>
      </c>
      <c r="L97" s="22" t="s">
        <v>581</v>
      </c>
      <c r="M97" s="22" t="s">
        <v>581</v>
      </c>
      <c r="N97" t="s">
        <v>581</v>
      </c>
      <c r="O97" t="s">
        <v>581</v>
      </c>
      <c r="P97" s="27" t="s">
        <v>581</v>
      </c>
      <c r="Q97" s="27" t="s">
        <v>581</v>
      </c>
      <c r="R97" s="27" t="s">
        <v>581</v>
      </c>
      <c r="S97" s="19">
        <v>0</v>
      </c>
      <c r="T97" s="2">
        <v>4</v>
      </c>
    </row>
    <row r="98" spans="1:21" x14ac:dyDescent="0.25">
      <c r="A98" t="s">
        <v>168</v>
      </c>
      <c r="B98" t="s">
        <v>172</v>
      </c>
      <c r="C98" t="s">
        <v>173</v>
      </c>
      <c r="D98" s="21">
        <v>43046</v>
      </c>
      <c r="F98" s="2">
        <f>D98*E98</f>
        <v>0</v>
      </c>
      <c r="G98" s="25">
        <v>44291</v>
      </c>
      <c r="H98" s="26">
        <v>44349</v>
      </c>
      <c r="I98" s="26" t="s">
        <v>599</v>
      </c>
      <c r="J98" s="26" t="s">
        <v>676</v>
      </c>
      <c r="K98" s="26" t="s">
        <v>581</v>
      </c>
      <c r="L98" s="22" t="s">
        <v>581</v>
      </c>
      <c r="M98" s="22" t="s">
        <v>581</v>
      </c>
      <c r="N98" s="26">
        <v>44349</v>
      </c>
      <c r="O98" s="26">
        <v>44350</v>
      </c>
      <c r="P98" s="27">
        <v>6</v>
      </c>
      <c r="Q98" s="27">
        <v>1</v>
      </c>
      <c r="R98" s="27">
        <v>5</v>
      </c>
      <c r="S98" s="19">
        <v>1</v>
      </c>
      <c r="T98" s="2">
        <v>0</v>
      </c>
    </row>
    <row r="99" spans="1:21" x14ac:dyDescent="0.25">
      <c r="A99" t="s">
        <v>168</v>
      </c>
      <c r="B99" t="s">
        <v>174</v>
      </c>
      <c r="C99" t="s">
        <v>175</v>
      </c>
      <c r="D99" s="21">
        <v>42300</v>
      </c>
      <c r="F99" s="2">
        <v>100</v>
      </c>
      <c r="G99" s="25">
        <v>44328</v>
      </c>
      <c r="H99" s="26">
        <v>44362</v>
      </c>
      <c r="I99" s="26" t="s">
        <v>600</v>
      </c>
      <c r="J99" s="26" t="s">
        <v>581</v>
      </c>
      <c r="K99" s="26" t="s">
        <v>581</v>
      </c>
      <c r="L99" s="22" t="s">
        <v>581</v>
      </c>
      <c r="M99" s="22" t="s">
        <v>581</v>
      </c>
      <c r="N99" t="s">
        <v>581</v>
      </c>
      <c r="O99" t="s">
        <v>581</v>
      </c>
      <c r="P99" s="27" t="s">
        <v>581</v>
      </c>
      <c r="Q99" s="27" t="s">
        <v>581</v>
      </c>
      <c r="R99" s="27" t="s">
        <v>581</v>
      </c>
      <c r="S99" s="19">
        <v>0</v>
      </c>
      <c r="T99" s="2">
        <v>0</v>
      </c>
    </row>
    <row r="100" spans="1:21" x14ac:dyDescent="0.25">
      <c r="A100" t="s">
        <v>176</v>
      </c>
      <c r="B100" t="s">
        <v>177</v>
      </c>
      <c r="C100" t="s">
        <v>178</v>
      </c>
      <c r="D100" s="21">
        <v>43039</v>
      </c>
      <c r="F100" s="2">
        <v>100</v>
      </c>
      <c r="G100" s="25">
        <v>44328</v>
      </c>
      <c r="H100" s="26">
        <v>44389</v>
      </c>
      <c r="I100" s="26" t="s">
        <v>599</v>
      </c>
      <c r="J100" s="26" t="s">
        <v>676</v>
      </c>
      <c r="K100" s="26" t="s">
        <v>581</v>
      </c>
      <c r="L100" s="22" t="s">
        <v>581</v>
      </c>
      <c r="M100" s="22" t="s">
        <v>581</v>
      </c>
      <c r="N100" s="26">
        <v>44389</v>
      </c>
      <c r="O100" s="26">
        <v>44390</v>
      </c>
      <c r="P100" s="27">
        <v>7</v>
      </c>
      <c r="Q100" s="27">
        <v>2</v>
      </c>
      <c r="R100" s="27">
        <v>5</v>
      </c>
      <c r="S100" s="19">
        <v>2</v>
      </c>
      <c r="T100" s="2">
        <v>0</v>
      </c>
    </row>
    <row r="101" spans="1:21" x14ac:dyDescent="0.25">
      <c r="A101" t="s">
        <v>176</v>
      </c>
      <c r="B101" t="s">
        <v>177</v>
      </c>
      <c r="C101" t="s">
        <v>179</v>
      </c>
      <c r="D101" s="21">
        <v>43041</v>
      </c>
      <c r="E101" t="s">
        <v>581</v>
      </c>
      <c r="F101" s="2">
        <v>0</v>
      </c>
      <c r="G101" s="22" t="s">
        <v>581</v>
      </c>
      <c r="H101" s="22" t="s">
        <v>581</v>
      </c>
      <c r="I101" s="25" t="s">
        <v>581</v>
      </c>
      <c r="J101" s="22" t="s">
        <v>581</v>
      </c>
      <c r="K101" s="26" t="s">
        <v>581</v>
      </c>
      <c r="L101" s="22" t="s">
        <v>581</v>
      </c>
      <c r="M101" s="22" t="s">
        <v>581</v>
      </c>
      <c r="N101" s="22" t="s">
        <v>581</v>
      </c>
      <c r="O101" s="22" t="s">
        <v>581</v>
      </c>
      <c r="P101" s="23" t="s">
        <v>581</v>
      </c>
      <c r="Q101" s="27" t="s">
        <v>581</v>
      </c>
      <c r="R101" s="27" t="s">
        <v>581</v>
      </c>
      <c r="S101" s="19" t="s">
        <v>581</v>
      </c>
      <c r="T101" s="2" t="s">
        <v>581</v>
      </c>
      <c r="U101" s="2" t="s">
        <v>690</v>
      </c>
    </row>
    <row r="102" spans="1:21" x14ac:dyDescent="0.25">
      <c r="A102" t="s">
        <v>176</v>
      </c>
      <c r="B102" t="s">
        <v>177</v>
      </c>
      <c r="C102" t="s">
        <v>180</v>
      </c>
      <c r="D102" s="21">
        <v>43054</v>
      </c>
      <c r="F102" s="2">
        <v>100</v>
      </c>
      <c r="G102" s="25">
        <v>44328</v>
      </c>
      <c r="H102" s="26">
        <v>44389</v>
      </c>
      <c r="I102" s="26" t="s">
        <v>599</v>
      </c>
      <c r="J102" s="26" t="s">
        <v>676</v>
      </c>
      <c r="K102" s="26" t="s">
        <v>581</v>
      </c>
      <c r="L102" s="22" t="s">
        <v>581</v>
      </c>
      <c r="M102" s="22" t="s">
        <v>581</v>
      </c>
      <c r="N102" s="26">
        <v>44389</v>
      </c>
      <c r="O102" s="26">
        <v>44390</v>
      </c>
      <c r="P102" s="27">
        <v>15</v>
      </c>
      <c r="Q102" s="27">
        <v>7</v>
      </c>
      <c r="R102" s="27">
        <v>8</v>
      </c>
      <c r="S102" s="19">
        <v>7</v>
      </c>
      <c r="T102" s="2">
        <v>0</v>
      </c>
    </row>
    <row r="103" spans="1:21" x14ac:dyDescent="0.25">
      <c r="A103" t="s">
        <v>176</v>
      </c>
      <c r="B103" t="s">
        <v>177</v>
      </c>
      <c r="C103" t="s">
        <v>181</v>
      </c>
      <c r="D103" s="21">
        <v>43056</v>
      </c>
      <c r="F103" s="2">
        <v>102</v>
      </c>
      <c r="G103" s="25">
        <v>44328</v>
      </c>
      <c r="H103" s="26">
        <v>44389</v>
      </c>
      <c r="I103" s="26" t="s">
        <v>599</v>
      </c>
      <c r="J103" s="26" t="s">
        <v>676</v>
      </c>
      <c r="K103" s="26" t="s">
        <v>581</v>
      </c>
      <c r="L103" s="22" t="s">
        <v>581</v>
      </c>
      <c r="M103" s="22" t="s">
        <v>581</v>
      </c>
      <c r="N103" s="26">
        <v>44389</v>
      </c>
      <c r="O103" s="26">
        <v>44390</v>
      </c>
      <c r="P103" s="27">
        <v>8</v>
      </c>
      <c r="Q103" s="27">
        <v>2</v>
      </c>
      <c r="R103" s="27">
        <v>6</v>
      </c>
      <c r="S103" s="19">
        <v>2</v>
      </c>
      <c r="T103" s="2">
        <v>0</v>
      </c>
    </row>
    <row r="104" spans="1:21" x14ac:dyDescent="0.25">
      <c r="A104" t="s">
        <v>182</v>
      </c>
      <c r="B104" t="s">
        <v>75</v>
      </c>
      <c r="C104" t="s">
        <v>183</v>
      </c>
      <c r="D104" s="21">
        <v>42305</v>
      </c>
      <c r="F104" s="2">
        <v>100</v>
      </c>
      <c r="G104" s="25">
        <v>44349</v>
      </c>
      <c r="H104" s="26">
        <v>44378</v>
      </c>
      <c r="I104" s="26" t="s">
        <v>599</v>
      </c>
      <c r="J104" s="26" t="s">
        <v>676</v>
      </c>
      <c r="K104" s="26" t="s">
        <v>581</v>
      </c>
      <c r="L104" s="22" t="s">
        <v>581</v>
      </c>
      <c r="M104" s="22" t="s">
        <v>581</v>
      </c>
      <c r="N104" s="26">
        <v>44378</v>
      </c>
      <c r="O104" s="26">
        <v>44379</v>
      </c>
      <c r="P104" s="27">
        <v>20</v>
      </c>
      <c r="Q104" s="27">
        <v>13</v>
      </c>
      <c r="R104" s="27">
        <v>7</v>
      </c>
      <c r="S104" s="19">
        <v>13</v>
      </c>
      <c r="T104" s="2">
        <v>0</v>
      </c>
    </row>
    <row r="105" spans="1:21" x14ac:dyDescent="0.25">
      <c r="A105" t="s">
        <v>182</v>
      </c>
      <c r="B105" t="s">
        <v>75</v>
      </c>
      <c r="C105" t="s">
        <v>184</v>
      </c>
      <c r="D105" s="21">
        <v>43040</v>
      </c>
      <c r="F105" s="2">
        <v>75</v>
      </c>
      <c r="G105" s="25">
        <v>44349</v>
      </c>
      <c r="H105" s="26">
        <v>44378</v>
      </c>
      <c r="I105" s="26" t="s">
        <v>599</v>
      </c>
      <c r="J105" s="26" t="s">
        <v>676</v>
      </c>
      <c r="K105" s="26" t="s">
        <v>581</v>
      </c>
      <c r="L105" s="22" t="s">
        <v>581</v>
      </c>
      <c r="M105" s="22" t="s">
        <v>581</v>
      </c>
      <c r="N105" s="26">
        <v>44378</v>
      </c>
      <c r="O105" s="26">
        <v>44379</v>
      </c>
      <c r="P105" s="27">
        <v>4</v>
      </c>
      <c r="Q105" s="27">
        <v>1</v>
      </c>
      <c r="R105" s="27">
        <v>3</v>
      </c>
      <c r="S105" s="19">
        <v>1</v>
      </c>
      <c r="T105" s="2">
        <v>0</v>
      </c>
    </row>
    <row r="106" spans="1:21" x14ac:dyDescent="0.25">
      <c r="A106" t="s">
        <v>182</v>
      </c>
      <c r="B106" t="s">
        <v>185</v>
      </c>
      <c r="C106" t="s">
        <v>186</v>
      </c>
      <c r="D106" s="21">
        <v>43040</v>
      </c>
      <c r="F106" s="2">
        <v>100</v>
      </c>
      <c r="G106" s="25">
        <v>44349</v>
      </c>
      <c r="H106" s="26">
        <v>44378</v>
      </c>
      <c r="I106" s="26" t="s">
        <v>599</v>
      </c>
      <c r="J106" s="26" t="s">
        <v>676</v>
      </c>
      <c r="K106" s="26" t="s">
        <v>581</v>
      </c>
      <c r="L106" s="22" t="s">
        <v>581</v>
      </c>
      <c r="M106" s="22" t="s">
        <v>581</v>
      </c>
      <c r="N106" s="26">
        <v>44378</v>
      </c>
      <c r="O106" s="26">
        <v>44379</v>
      </c>
      <c r="P106" s="27">
        <v>24</v>
      </c>
      <c r="Q106" s="27">
        <v>15</v>
      </c>
      <c r="R106" s="27">
        <v>9</v>
      </c>
      <c r="S106" s="19">
        <v>15</v>
      </c>
      <c r="T106" s="2">
        <v>0</v>
      </c>
    </row>
    <row r="107" spans="1:21" x14ac:dyDescent="0.25">
      <c r="A107" t="s">
        <v>182</v>
      </c>
      <c r="B107" t="s">
        <v>185</v>
      </c>
      <c r="C107" t="s">
        <v>187</v>
      </c>
      <c r="D107" s="21">
        <v>43041</v>
      </c>
      <c r="F107" s="2">
        <f>D107*E107</f>
        <v>0</v>
      </c>
      <c r="G107" s="25">
        <v>44291</v>
      </c>
      <c r="H107" s="26">
        <v>44337</v>
      </c>
      <c r="I107" s="26" t="s">
        <v>600</v>
      </c>
      <c r="J107" s="26" t="s">
        <v>581</v>
      </c>
      <c r="K107" s="26" t="s">
        <v>581</v>
      </c>
      <c r="L107" s="22" t="s">
        <v>581</v>
      </c>
      <c r="M107" s="22" t="s">
        <v>581</v>
      </c>
      <c r="N107" t="s">
        <v>581</v>
      </c>
      <c r="O107" t="s">
        <v>581</v>
      </c>
      <c r="P107" s="27" t="s">
        <v>581</v>
      </c>
      <c r="Q107" s="27" t="s">
        <v>581</v>
      </c>
      <c r="R107" s="27" t="s">
        <v>581</v>
      </c>
      <c r="S107" s="19">
        <v>0</v>
      </c>
      <c r="T107" s="2">
        <v>2</v>
      </c>
    </row>
    <row r="108" spans="1:21" x14ac:dyDescent="0.25">
      <c r="A108" t="s">
        <v>182</v>
      </c>
      <c r="B108" t="s">
        <v>185</v>
      </c>
      <c r="C108" t="s">
        <v>188</v>
      </c>
      <c r="D108" s="21">
        <v>43046</v>
      </c>
      <c r="F108" s="2">
        <v>104</v>
      </c>
      <c r="G108" s="25">
        <v>44349</v>
      </c>
      <c r="H108" s="26">
        <v>44378</v>
      </c>
      <c r="I108" s="26" t="s">
        <v>599</v>
      </c>
      <c r="J108" s="26" t="s">
        <v>676</v>
      </c>
      <c r="K108" s="26" t="s">
        <v>581</v>
      </c>
      <c r="L108" s="22" t="s">
        <v>581</v>
      </c>
      <c r="M108" s="22" t="s">
        <v>581</v>
      </c>
      <c r="N108" s="26">
        <v>44378</v>
      </c>
      <c r="O108" s="26">
        <v>44379</v>
      </c>
      <c r="P108" s="27">
        <v>17</v>
      </c>
      <c r="Q108" s="27">
        <v>1</v>
      </c>
      <c r="R108" s="27">
        <v>16</v>
      </c>
      <c r="S108" s="19">
        <v>1</v>
      </c>
      <c r="T108" s="2">
        <v>0</v>
      </c>
    </row>
    <row r="109" spans="1:21" x14ac:dyDescent="0.25">
      <c r="A109" t="s">
        <v>182</v>
      </c>
      <c r="B109" t="s">
        <v>185</v>
      </c>
      <c r="C109" t="s">
        <v>189</v>
      </c>
      <c r="D109" s="21">
        <v>43048</v>
      </c>
      <c r="F109" s="2">
        <v>100</v>
      </c>
      <c r="G109" s="25">
        <v>44349</v>
      </c>
      <c r="H109" s="26">
        <v>44378</v>
      </c>
      <c r="I109" s="26" t="s">
        <v>599</v>
      </c>
      <c r="J109" s="26" t="s">
        <v>676</v>
      </c>
      <c r="K109" s="26" t="s">
        <v>581</v>
      </c>
      <c r="L109" s="22" t="s">
        <v>581</v>
      </c>
      <c r="M109" s="22" t="s">
        <v>581</v>
      </c>
      <c r="N109" s="26">
        <v>44378</v>
      </c>
      <c r="O109" s="26">
        <v>44379</v>
      </c>
      <c r="P109" s="27">
        <v>21</v>
      </c>
      <c r="Q109" s="27">
        <v>15</v>
      </c>
      <c r="R109" s="27">
        <v>6</v>
      </c>
      <c r="S109" s="19">
        <v>15</v>
      </c>
      <c r="T109" s="2">
        <v>0</v>
      </c>
    </row>
    <row r="110" spans="1:21" x14ac:dyDescent="0.25">
      <c r="A110" t="s">
        <v>182</v>
      </c>
      <c r="B110" t="s">
        <v>185</v>
      </c>
      <c r="C110" t="s">
        <v>190</v>
      </c>
      <c r="D110" s="21">
        <v>43049</v>
      </c>
      <c r="F110" s="2">
        <v>100</v>
      </c>
      <c r="G110" s="25">
        <v>44349</v>
      </c>
      <c r="H110" s="26">
        <v>44378</v>
      </c>
      <c r="I110" s="26" t="s">
        <v>599</v>
      </c>
      <c r="J110" s="26" t="s">
        <v>676</v>
      </c>
      <c r="K110" s="26" t="s">
        <v>581</v>
      </c>
      <c r="L110" s="22" t="s">
        <v>581</v>
      </c>
      <c r="M110" s="22" t="s">
        <v>581</v>
      </c>
      <c r="N110" s="26">
        <v>44378</v>
      </c>
      <c r="O110" s="26">
        <v>44379</v>
      </c>
      <c r="P110" s="27">
        <v>12</v>
      </c>
      <c r="Q110" s="27">
        <v>7</v>
      </c>
      <c r="R110" s="27">
        <v>5</v>
      </c>
      <c r="S110" s="19">
        <v>7</v>
      </c>
      <c r="T110" s="2">
        <v>0</v>
      </c>
    </row>
    <row r="111" spans="1:21" x14ac:dyDescent="0.25">
      <c r="A111" t="s">
        <v>182</v>
      </c>
      <c r="B111" t="s">
        <v>185</v>
      </c>
      <c r="C111" t="s">
        <v>191</v>
      </c>
      <c r="D111" s="21">
        <v>43049</v>
      </c>
      <c r="F111" s="2">
        <v>100</v>
      </c>
      <c r="G111" s="25">
        <v>44349</v>
      </c>
      <c r="H111" s="26">
        <v>44378</v>
      </c>
      <c r="I111" s="26" t="s">
        <v>599</v>
      </c>
      <c r="J111" s="26" t="s">
        <v>676</v>
      </c>
      <c r="K111" s="26" t="s">
        <v>581</v>
      </c>
      <c r="L111" s="22" t="s">
        <v>581</v>
      </c>
      <c r="M111" s="22" t="s">
        <v>581</v>
      </c>
      <c r="N111" s="26">
        <v>44378</v>
      </c>
      <c r="O111" s="26">
        <v>44379</v>
      </c>
      <c r="P111" s="27">
        <v>30</v>
      </c>
      <c r="Q111" s="27">
        <v>7</v>
      </c>
      <c r="R111" s="27">
        <v>23</v>
      </c>
      <c r="S111" s="19">
        <v>7</v>
      </c>
      <c r="T111" s="2">
        <v>0</v>
      </c>
    </row>
    <row r="112" spans="1:21" x14ac:dyDescent="0.25">
      <c r="A112" t="s">
        <v>182</v>
      </c>
      <c r="B112" t="s">
        <v>185</v>
      </c>
      <c r="C112" t="s">
        <v>192</v>
      </c>
      <c r="D112" s="21">
        <v>43053</v>
      </c>
      <c r="F112" s="2">
        <v>100</v>
      </c>
      <c r="G112" s="25">
        <v>44350</v>
      </c>
      <c r="H112" s="26">
        <v>44378</v>
      </c>
      <c r="I112" s="26" t="s">
        <v>599</v>
      </c>
      <c r="J112" s="26" t="s">
        <v>676</v>
      </c>
      <c r="K112" s="26" t="s">
        <v>581</v>
      </c>
      <c r="L112" s="22" t="s">
        <v>581</v>
      </c>
      <c r="M112" s="22" t="s">
        <v>581</v>
      </c>
      <c r="N112" s="26">
        <v>44378</v>
      </c>
      <c r="O112" s="26">
        <v>44379</v>
      </c>
      <c r="P112" s="27">
        <v>5</v>
      </c>
      <c r="Q112" s="27">
        <v>2</v>
      </c>
      <c r="R112" s="27">
        <v>3</v>
      </c>
      <c r="S112" s="19">
        <v>2</v>
      </c>
      <c r="T112" s="2">
        <v>0</v>
      </c>
    </row>
    <row r="113" spans="1:21" x14ac:dyDescent="0.25">
      <c r="A113" t="s">
        <v>182</v>
      </c>
      <c r="B113" t="s">
        <v>185</v>
      </c>
      <c r="C113" t="s">
        <v>193</v>
      </c>
      <c r="D113" s="21">
        <v>43054</v>
      </c>
      <c r="F113" s="2">
        <v>100</v>
      </c>
      <c r="G113" s="25">
        <v>44350</v>
      </c>
      <c r="H113" s="26">
        <v>44378</v>
      </c>
      <c r="I113" s="26" t="s">
        <v>600</v>
      </c>
      <c r="J113" s="26" t="s">
        <v>581</v>
      </c>
      <c r="K113" s="26" t="s">
        <v>581</v>
      </c>
      <c r="L113" s="22" t="s">
        <v>581</v>
      </c>
      <c r="M113" s="22" t="s">
        <v>581</v>
      </c>
      <c r="N113" t="s">
        <v>581</v>
      </c>
      <c r="O113" t="s">
        <v>581</v>
      </c>
      <c r="P113" s="27" t="s">
        <v>581</v>
      </c>
      <c r="Q113" s="27" t="s">
        <v>581</v>
      </c>
      <c r="R113" s="27" t="s">
        <v>581</v>
      </c>
      <c r="S113" s="19">
        <v>0</v>
      </c>
      <c r="T113" s="2">
        <v>0</v>
      </c>
    </row>
    <row r="114" spans="1:21" x14ac:dyDescent="0.25">
      <c r="A114" t="s">
        <v>182</v>
      </c>
      <c r="B114" t="s">
        <v>185</v>
      </c>
      <c r="C114" t="s">
        <v>194</v>
      </c>
      <c r="D114" s="21">
        <v>43060</v>
      </c>
      <c r="F114" s="2">
        <v>100</v>
      </c>
      <c r="G114" s="25">
        <v>44350</v>
      </c>
      <c r="H114" s="26">
        <v>44378</v>
      </c>
      <c r="I114" s="26" t="s">
        <v>600</v>
      </c>
      <c r="J114" s="26" t="s">
        <v>581</v>
      </c>
      <c r="K114" s="26" t="s">
        <v>581</v>
      </c>
      <c r="L114" s="22" t="s">
        <v>581</v>
      </c>
      <c r="M114" s="22" t="s">
        <v>581</v>
      </c>
      <c r="N114" t="s">
        <v>581</v>
      </c>
      <c r="O114" t="s">
        <v>581</v>
      </c>
      <c r="P114" s="27" t="s">
        <v>581</v>
      </c>
      <c r="Q114" s="27" t="s">
        <v>581</v>
      </c>
      <c r="R114" s="27" t="s">
        <v>581</v>
      </c>
      <c r="S114" s="19">
        <v>0</v>
      </c>
      <c r="T114" s="2">
        <v>0</v>
      </c>
    </row>
    <row r="115" spans="1:21" x14ac:dyDescent="0.25">
      <c r="A115" t="s">
        <v>195</v>
      </c>
      <c r="B115" t="s">
        <v>196</v>
      </c>
      <c r="C115" t="s">
        <v>197</v>
      </c>
      <c r="D115" s="21">
        <v>43012</v>
      </c>
      <c r="F115" s="2">
        <v>100</v>
      </c>
      <c r="G115" s="25">
        <v>44349</v>
      </c>
      <c r="H115" s="26">
        <v>44389</v>
      </c>
      <c r="I115" s="26" t="s">
        <v>599</v>
      </c>
      <c r="J115" s="26" t="s">
        <v>676</v>
      </c>
      <c r="K115" s="26" t="s">
        <v>581</v>
      </c>
      <c r="L115" s="22" t="s">
        <v>581</v>
      </c>
      <c r="M115" s="22" t="s">
        <v>581</v>
      </c>
      <c r="N115" s="26">
        <v>44389</v>
      </c>
      <c r="O115" s="26">
        <v>44390</v>
      </c>
      <c r="P115" s="27">
        <v>20</v>
      </c>
      <c r="Q115" s="27">
        <v>15</v>
      </c>
      <c r="R115" s="27">
        <v>5</v>
      </c>
      <c r="S115" s="19">
        <v>15</v>
      </c>
      <c r="T115" s="2">
        <v>0</v>
      </c>
    </row>
    <row r="116" spans="1:21" x14ac:dyDescent="0.25">
      <c r="A116" t="s">
        <v>195</v>
      </c>
      <c r="B116" t="s">
        <v>196</v>
      </c>
      <c r="C116" t="s">
        <v>198</v>
      </c>
      <c r="D116" s="21">
        <v>43049</v>
      </c>
      <c r="F116" s="2">
        <v>100</v>
      </c>
      <c r="G116" s="25">
        <v>44349</v>
      </c>
      <c r="H116" s="26">
        <v>44389</v>
      </c>
      <c r="I116" s="26" t="s">
        <v>599</v>
      </c>
      <c r="J116" s="26" t="s">
        <v>676</v>
      </c>
      <c r="K116" s="26" t="s">
        <v>581</v>
      </c>
      <c r="L116" s="22" t="s">
        <v>581</v>
      </c>
      <c r="M116" s="22" t="s">
        <v>581</v>
      </c>
      <c r="N116" s="26">
        <v>44389</v>
      </c>
      <c r="O116" s="26">
        <v>44390</v>
      </c>
      <c r="P116" s="27">
        <v>16</v>
      </c>
      <c r="Q116" s="27">
        <v>11</v>
      </c>
      <c r="R116" s="27">
        <v>5</v>
      </c>
      <c r="S116" s="19">
        <v>11</v>
      </c>
      <c r="T116" s="2">
        <v>0</v>
      </c>
    </row>
    <row r="117" spans="1:21" x14ac:dyDescent="0.25">
      <c r="A117" t="s">
        <v>199</v>
      </c>
      <c r="B117" t="s">
        <v>200</v>
      </c>
      <c r="C117" t="s">
        <v>201</v>
      </c>
      <c r="D117" s="21">
        <v>42642</v>
      </c>
      <c r="F117" s="2">
        <v>100</v>
      </c>
      <c r="G117" s="25">
        <v>44315</v>
      </c>
      <c r="H117" s="26">
        <v>44369</v>
      </c>
      <c r="I117" s="26" t="s">
        <v>599</v>
      </c>
      <c r="J117" s="26" t="s">
        <v>676</v>
      </c>
      <c r="K117" s="26" t="s">
        <v>581</v>
      </c>
      <c r="L117" s="22" t="s">
        <v>581</v>
      </c>
      <c r="M117" s="22" t="s">
        <v>581</v>
      </c>
      <c r="N117" s="26">
        <v>44369</v>
      </c>
      <c r="O117" s="26">
        <v>44370</v>
      </c>
      <c r="P117" s="27">
        <v>98</v>
      </c>
      <c r="Q117" s="27">
        <v>56</v>
      </c>
      <c r="R117" s="27">
        <v>42</v>
      </c>
      <c r="S117" s="19">
        <v>56</v>
      </c>
      <c r="T117" s="2">
        <v>0</v>
      </c>
    </row>
    <row r="118" spans="1:21" x14ac:dyDescent="0.25">
      <c r="A118" t="s">
        <v>199</v>
      </c>
      <c r="B118" t="s">
        <v>202</v>
      </c>
      <c r="C118" t="s">
        <v>203</v>
      </c>
      <c r="D118" s="21">
        <v>42632</v>
      </c>
      <c r="F118" s="2">
        <v>100</v>
      </c>
      <c r="G118" s="25">
        <v>44315</v>
      </c>
      <c r="H118" s="26">
        <v>44369</v>
      </c>
      <c r="I118" s="26" t="s">
        <v>599</v>
      </c>
      <c r="J118" s="26" t="s">
        <v>676</v>
      </c>
      <c r="K118" s="26" t="s">
        <v>581</v>
      </c>
      <c r="L118" s="22" t="s">
        <v>581</v>
      </c>
      <c r="M118" s="22" t="s">
        <v>581</v>
      </c>
      <c r="N118" s="26">
        <v>44369</v>
      </c>
      <c r="O118" s="26">
        <v>44370</v>
      </c>
      <c r="P118" s="27">
        <v>95</v>
      </c>
      <c r="Q118" s="27">
        <v>2</v>
      </c>
      <c r="R118" s="27">
        <v>93</v>
      </c>
      <c r="S118" s="19">
        <v>2</v>
      </c>
      <c r="T118" s="2">
        <v>0</v>
      </c>
    </row>
    <row r="119" spans="1:21" x14ac:dyDescent="0.25">
      <c r="A119" t="s">
        <v>199</v>
      </c>
      <c r="B119" t="s">
        <v>204</v>
      </c>
      <c r="C119" t="s">
        <v>205</v>
      </c>
      <c r="D119" s="21">
        <v>42634</v>
      </c>
      <c r="F119" s="2">
        <v>100</v>
      </c>
      <c r="G119" s="25">
        <v>44315</v>
      </c>
      <c r="H119" s="26">
        <v>44369</v>
      </c>
      <c r="I119" s="26" t="s">
        <v>599</v>
      </c>
      <c r="J119" s="26" t="s">
        <v>676</v>
      </c>
      <c r="K119" s="26" t="s">
        <v>581</v>
      </c>
      <c r="L119" s="22" t="s">
        <v>581</v>
      </c>
      <c r="M119" s="22" t="s">
        <v>581</v>
      </c>
      <c r="N119" s="26">
        <v>44369</v>
      </c>
      <c r="O119" s="26">
        <v>44370</v>
      </c>
      <c r="P119" s="27">
        <v>94</v>
      </c>
      <c r="Q119" s="27">
        <v>55</v>
      </c>
      <c r="R119" s="27">
        <v>39</v>
      </c>
      <c r="S119" s="19">
        <v>55</v>
      </c>
      <c r="T119" s="2">
        <v>0</v>
      </c>
    </row>
    <row r="120" spans="1:21" x14ac:dyDescent="0.25">
      <c r="A120" t="s">
        <v>199</v>
      </c>
      <c r="B120" t="s">
        <v>204</v>
      </c>
      <c r="C120" t="s">
        <v>206</v>
      </c>
      <c r="D120" s="21">
        <v>42635</v>
      </c>
      <c r="F120" s="2">
        <v>100</v>
      </c>
      <c r="G120" s="25">
        <v>44315</v>
      </c>
      <c r="H120" s="26">
        <v>44369</v>
      </c>
      <c r="I120" s="26" t="s">
        <v>599</v>
      </c>
      <c r="J120" s="26" t="s">
        <v>676</v>
      </c>
      <c r="K120" s="26" t="s">
        <v>581</v>
      </c>
      <c r="L120" s="22" t="s">
        <v>581</v>
      </c>
      <c r="M120" s="22" t="s">
        <v>581</v>
      </c>
      <c r="N120" s="26">
        <v>44369</v>
      </c>
      <c r="O120" s="26">
        <v>44370</v>
      </c>
      <c r="P120" s="27">
        <v>100</v>
      </c>
      <c r="Q120" s="27">
        <v>71</v>
      </c>
      <c r="R120" s="27">
        <v>29</v>
      </c>
      <c r="S120" s="19">
        <v>71</v>
      </c>
      <c r="T120" s="2">
        <v>0</v>
      </c>
    </row>
    <row r="121" spans="1:21" x14ac:dyDescent="0.25">
      <c r="A121" t="s">
        <v>199</v>
      </c>
      <c r="B121" t="s">
        <v>204</v>
      </c>
      <c r="C121" t="s">
        <v>207</v>
      </c>
      <c r="D121" s="21">
        <v>42635</v>
      </c>
      <c r="F121" s="2">
        <v>100</v>
      </c>
      <c r="G121" s="25">
        <v>44315</v>
      </c>
      <c r="H121" s="26">
        <v>44369</v>
      </c>
      <c r="I121" s="26" t="s">
        <v>599</v>
      </c>
      <c r="J121" s="26" t="s">
        <v>676</v>
      </c>
      <c r="K121" s="26" t="s">
        <v>581</v>
      </c>
      <c r="L121" s="22" t="s">
        <v>581</v>
      </c>
      <c r="M121" s="22" t="s">
        <v>581</v>
      </c>
      <c r="N121" s="26">
        <v>44369</v>
      </c>
      <c r="O121" s="26">
        <v>44370</v>
      </c>
      <c r="P121" s="27">
        <v>100</v>
      </c>
      <c r="Q121" s="27">
        <v>44</v>
      </c>
      <c r="R121" s="27">
        <v>56</v>
      </c>
      <c r="S121" s="19">
        <v>44</v>
      </c>
      <c r="T121" s="2">
        <v>0</v>
      </c>
    </row>
    <row r="122" spans="1:21" x14ac:dyDescent="0.25">
      <c r="A122" t="s">
        <v>199</v>
      </c>
      <c r="B122" t="s">
        <v>204</v>
      </c>
      <c r="C122" t="s">
        <v>208</v>
      </c>
      <c r="D122" s="21">
        <v>42641</v>
      </c>
      <c r="F122" s="2">
        <v>100</v>
      </c>
      <c r="G122" s="25">
        <v>44315</v>
      </c>
      <c r="H122" s="26">
        <v>44369</v>
      </c>
      <c r="I122" s="26" t="s">
        <v>599</v>
      </c>
      <c r="J122" s="26" t="s">
        <v>676</v>
      </c>
      <c r="K122" s="26" t="s">
        <v>581</v>
      </c>
      <c r="L122" s="22" t="s">
        <v>581</v>
      </c>
      <c r="M122" s="22" t="s">
        <v>581</v>
      </c>
      <c r="N122" s="26">
        <v>44369</v>
      </c>
      <c r="O122" s="26">
        <v>44370</v>
      </c>
      <c r="P122" s="27">
        <v>97</v>
      </c>
      <c r="Q122" s="27">
        <v>58</v>
      </c>
      <c r="R122" s="27">
        <v>39</v>
      </c>
      <c r="S122" s="19">
        <v>58</v>
      </c>
      <c r="T122" s="2">
        <v>0</v>
      </c>
    </row>
    <row r="123" spans="1:21" x14ac:dyDescent="0.25">
      <c r="A123" t="s">
        <v>199</v>
      </c>
      <c r="B123" t="s">
        <v>204</v>
      </c>
      <c r="C123" t="s">
        <v>209</v>
      </c>
      <c r="D123" s="21">
        <v>43018</v>
      </c>
      <c r="F123" s="2">
        <v>100</v>
      </c>
      <c r="G123" s="25">
        <v>44315</v>
      </c>
      <c r="H123" s="26">
        <v>44369</v>
      </c>
      <c r="I123" s="26" t="s">
        <v>599</v>
      </c>
      <c r="J123" s="26" t="s">
        <v>676</v>
      </c>
      <c r="K123" s="26" t="s">
        <v>581</v>
      </c>
      <c r="L123" s="22" t="s">
        <v>581</v>
      </c>
      <c r="M123" s="22" t="s">
        <v>581</v>
      </c>
      <c r="N123" s="26">
        <v>44369</v>
      </c>
      <c r="O123" s="26">
        <v>44370</v>
      </c>
      <c r="P123" s="27">
        <v>99</v>
      </c>
      <c r="Q123" s="27">
        <v>65</v>
      </c>
      <c r="R123" s="27">
        <v>34</v>
      </c>
      <c r="S123" s="19">
        <v>65</v>
      </c>
      <c r="T123" s="2">
        <v>0</v>
      </c>
    </row>
    <row r="124" spans="1:21" x14ac:dyDescent="0.25">
      <c r="A124" t="s">
        <v>210</v>
      </c>
      <c r="B124" t="s">
        <v>211</v>
      </c>
      <c r="C124" t="s">
        <v>212</v>
      </c>
      <c r="D124" s="21">
        <v>42685</v>
      </c>
      <c r="F124" s="2">
        <v>100</v>
      </c>
      <c r="G124" s="25">
        <v>44369</v>
      </c>
      <c r="H124" s="26">
        <v>44438</v>
      </c>
      <c r="I124" s="26" t="s">
        <v>599</v>
      </c>
      <c r="J124" s="26" t="s">
        <v>676</v>
      </c>
      <c r="K124" s="26" t="s">
        <v>581</v>
      </c>
      <c r="L124" s="22" t="s">
        <v>581</v>
      </c>
      <c r="M124" s="22" t="s">
        <v>581</v>
      </c>
      <c r="N124" s="26">
        <v>44438</v>
      </c>
      <c r="O124" s="26">
        <v>44439</v>
      </c>
      <c r="P124" s="27">
        <v>16</v>
      </c>
      <c r="Q124" s="27">
        <v>4</v>
      </c>
      <c r="R124" s="27">
        <v>12</v>
      </c>
      <c r="S124" s="19">
        <v>4</v>
      </c>
      <c r="T124" s="2">
        <v>0</v>
      </c>
    </row>
    <row r="125" spans="1:21" x14ac:dyDescent="0.25">
      <c r="A125" t="s">
        <v>210</v>
      </c>
      <c r="B125" t="s">
        <v>211</v>
      </c>
      <c r="C125" t="s">
        <v>213</v>
      </c>
      <c r="D125" s="21">
        <v>43056</v>
      </c>
      <c r="F125" s="2">
        <v>100</v>
      </c>
      <c r="G125" s="25">
        <v>44369</v>
      </c>
      <c r="H125" s="26">
        <v>44438</v>
      </c>
      <c r="I125" s="26" t="s">
        <v>599</v>
      </c>
      <c r="J125" s="26" t="s">
        <v>676</v>
      </c>
      <c r="K125" s="26" t="s">
        <v>581</v>
      </c>
      <c r="L125" s="22" t="s">
        <v>581</v>
      </c>
      <c r="M125" s="22" t="s">
        <v>581</v>
      </c>
      <c r="N125" s="26">
        <v>44438</v>
      </c>
      <c r="O125" s="26">
        <v>44439</v>
      </c>
      <c r="P125" s="27">
        <v>15</v>
      </c>
      <c r="Q125" s="27">
        <v>4</v>
      </c>
      <c r="R125" s="27">
        <v>11</v>
      </c>
      <c r="S125" s="19">
        <v>4</v>
      </c>
      <c r="T125" s="2">
        <v>0</v>
      </c>
    </row>
    <row r="126" spans="1:21" ht="15.75" thickBot="1" x14ac:dyDescent="0.3">
      <c r="A126" t="s">
        <v>214</v>
      </c>
      <c r="B126" t="s">
        <v>215</v>
      </c>
      <c r="C126" t="s">
        <v>216</v>
      </c>
      <c r="D126" s="21">
        <v>42593</v>
      </c>
      <c r="F126" s="2">
        <v>0</v>
      </c>
      <c r="G126" s="22" t="s">
        <v>581</v>
      </c>
      <c r="H126" s="22" t="s">
        <v>581</v>
      </c>
      <c r="I126" s="22" t="s">
        <v>581</v>
      </c>
      <c r="J126" s="26" t="s">
        <v>676</v>
      </c>
      <c r="K126" s="26" t="s">
        <v>581</v>
      </c>
      <c r="L126" s="22" t="s">
        <v>581</v>
      </c>
      <c r="M126" s="22" t="s">
        <v>581</v>
      </c>
      <c r="N126" s="47">
        <v>44362</v>
      </c>
      <c r="O126" s="47">
        <v>44364</v>
      </c>
      <c r="P126" s="27">
        <v>10</v>
      </c>
      <c r="Q126" s="27">
        <v>0</v>
      </c>
      <c r="R126" s="27">
        <v>4</v>
      </c>
      <c r="S126" s="19" t="s">
        <v>581</v>
      </c>
      <c r="T126" s="2">
        <v>4</v>
      </c>
      <c r="U126" s="42" t="s">
        <v>689</v>
      </c>
    </row>
    <row r="127" spans="1:21" x14ac:dyDescent="0.25">
      <c r="A127" t="s">
        <v>217</v>
      </c>
      <c r="B127" t="s">
        <v>218</v>
      </c>
      <c r="C127" t="s">
        <v>219</v>
      </c>
      <c r="D127" s="21">
        <v>42944</v>
      </c>
      <c r="F127" s="2">
        <v>100</v>
      </c>
      <c r="G127" s="25">
        <v>44362</v>
      </c>
      <c r="H127" s="26">
        <v>44424</v>
      </c>
      <c r="I127" s="26" t="s">
        <v>599</v>
      </c>
      <c r="J127" s="26" t="s">
        <v>676</v>
      </c>
      <c r="K127" s="26" t="s">
        <v>581</v>
      </c>
      <c r="L127" s="22" t="s">
        <v>581</v>
      </c>
      <c r="M127" s="22" t="s">
        <v>581</v>
      </c>
      <c r="N127" s="26">
        <v>44424</v>
      </c>
      <c r="O127" s="26">
        <v>44425</v>
      </c>
      <c r="P127" s="27">
        <v>97</v>
      </c>
      <c r="Q127" s="27">
        <v>94</v>
      </c>
      <c r="R127" s="27">
        <v>3</v>
      </c>
      <c r="S127" s="19">
        <v>94</v>
      </c>
      <c r="T127" s="2">
        <v>0</v>
      </c>
    </row>
    <row r="128" spans="1:21" x14ac:dyDescent="0.25">
      <c r="A128" t="s">
        <v>217</v>
      </c>
      <c r="B128" t="s">
        <v>218</v>
      </c>
      <c r="C128" t="s">
        <v>220</v>
      </c>
      <c r="D128" s="21">
        <v>42955</v>
      </c>
      <c r="F128" s="2">
        <v>100</v>
      </c>
      <c r="G128" s="25">
        <v>44362</v>
      </c>
      <c r="H128" s="26">
        <v>44424</v>
      </c>
      <c r="I128" s="26" t="s">
        <v>599</v>
      </c>
      <c r="J128" s="26" t="s">
        <v>676</v>
      </c>
      <c r="K128" s="26" t="s">
        <v>581</v>
      </c>
      <c r="L128" s="22" t="s">
        <v>581</v>
      </c>
      <c r="M128" s="22" t="s">
        <v>581</v>
      </c>
      <c r="N128" s="26">
        <v>44424</v>
      </c>
      <c r="O128" s="26">
        <v>44425</v>
      </c>
      <c r="P128" s="27">
        <v>98</v>
      </c>
      <c r="Q128" s="27">
        <v>96</v>
      </c>
      <c r="R128" s="27">
        <v>2</v>
      </c>
      <c r="S128" s="19">
        <v>96</v>
      </c>
      <c r="T128" s="2">
        <v>0</v>
      </c>
    </row>
    <row r="129" spans="1:21" x14ac:dyDescent="0.25">
      <c r="A129" t="s">
        <v>217</v>
      </c>
      <c r="B129" t="s">
        <v>218</v>
      </c>
      <c r="C129" t="s">
        <v>221</v>
      </c>
      <c r="D129" s="21">
        <v>42978</v>
      </c>
      <c r="F129" s="2">
        <f>D129*E129</f>
        <v>0</v>
      </c>
      <c r="G129" s="25">
        <v>44291</v>
      </c>
      <c r="H129" s="26">
        <v>44356</v>
      </c>
      <c r="I129" s="26" t="s">
        <v>599</v>
      </c>
      <c r="J129" s="26" t="s">
        <v>676</v>
      </c>
      <c r="K129" s="26" t="s">
        <v>581</v>
      </c>
      <c r="L129" s="22" t="s">
        <v>581</v>
      </c>
      <c r="M129" s="22" t="s">
        <v>581</v>
      </c>
      <c r="N129" s="26">
        <v>44356</v>
      </c>
      <c r="O129" s="26">
        <v>44357</v>
      </c>
      <c r="P129" s="27">
        <v>97</v>
      </c>
      <c r="Q129" s="27">
        <v>37</v>
      </c>
      <c r="R129" s="27">
        <v>60</v>
      </c>
      <c r="S129" s="19">
        <v>37</v>
      </c>
      <c r="T129" s="2">
        <v>0</v>
      </c>
    </row>
    <row r="130" spans="1:21" x14ac:dyDescent="0.25">
      <c r="A130" t="s">
        <v>222</v>
      </c>
      <c r="B130" t="s">
        <v>223</v>
      </c>
      <c r="C130" t="s">
        <v>224</v>
      </c>
      <c r="D130" s="21">
        <v>42295</v>
      </c>
      <c r="F130" s="2">
        <v>100</v>
      </c>
      <c r="G130" s="25">
        <v>44327</v>
      </c>
      <c r="H130" s="26">
        <v>44356</v>
      </c>
      <c r="I130" s="26" t="s">
        <v>600</v>
      </c>
      <c r="J130" s="26" t="s">
        <v>581</v>
      </c>
      <c r="K130" s="26" t="s">
        <v>581</v>
      </c>
      <c r="L130" s="22" t="s">
        <v>581</v>
      </c>
      <c r="M130" s="22" t="s">
        <v>581</v>
      </c>
      <c r="N130" t="s">
        <v>581</v>
      </c>
      <c r="O130" t="s">
        <v>581</v>
      </c>
      <c r="P130" s="27" t="s">
        <v>581</v>
      </c>
      <c r="Q130" s="27" t="s">
        <v>581</v>
      </c>
      <c r="R130" s="27" t="s">
        <v>581</v>
      </c>
      <c r="S130" s="19">
        <v>0</v>
      </c>
      <c r="T130" s="2">
        <v>0</v>
      </c>
    </row>
    <row r="131" spans="1:21" x14ac:dyDescent="0.25">
      <c r="A131" t="s">
        <v>225</v>
      </c>
      <c r="B131" t="s">
        <v>226</v>
      </c>
      <c r="C131" t="s">
        <v>227</v>
      </c>
      <c r="D131" s="21">
        <v>42606</v>
      </c>
      <c r="F131" s="2">
        <v>100</v>
      </c>
      <c r="G131" s="25">
        <v>44309</v>
      </c>
      <c r="H131" s="26">
        <v>44323</v>
      </c>
      <c r="I131" s="26" t="s">
        <v>599</v>
      </c>
      <c r="J131" s="26" t="s">
        <v>685</v>
      </c>
      <c r="K131" s="27">
        <v>7</v>
      </c>
      <c r="L131" s="27">
        <v>4</v>
      </c>
      <c r="M131" s="27">
        <v>3</v>
      </c>
      <c r="N131" t="s">
        <v>581</v>
      </c>
      <c r="O131" t="s">
        <v>581</v>
      </c>
      <c r="P131" s="27" t="s">
        <v>581</v>
      </c>
      <c r="Q131" s="27" t="s">
        <v>581</v>
      </c>
      <c r="R131" s="27" t="s">
        <v>581</v>
      </c>
      <c r="S131" s="19">
        <v>4</v>
      </c>
      <c r="T131" s="2">
        <v>20</v>
      </c>
    </row>
    <row r="132" spans="1:21" x14ac:dyDescent="0.25">
      <c r="A132" t="s">
        <v>225</v>
      </c>
      <c r="B132" t="s">
        <v>226</v>
      </c>
      <c r="C132" t="s">
        <v>228</v>
      </c>
      <c r="D132" s="21">
        <v>42257</v>
      </c>
      <c r="E132" t="s">
        <v>581</v>
      </c>
      <c r="F132" s="2">
        <v>0</v>
      </c>
      <c r="G132" s="22" t="s">
        <v>581</v>
      </c>
      <c r="H132" s="22" t="s">
        <v>581</v>
      </c>
      <c r="I132" s="22" t="s">
        <v>581</v>
      </c>
      <c r="J132" s="22" t="s">
        <v>581</v>
      </c>
      <c r="K132" s="23" t="s">
        <v>581</v>
      </c>
      <c r="L132" s="23" t="s">
        <v>581</v>
      </c>
      <c r="M132" s="23" t="s">
        <v>581</v>
      </c>
      <c r="N132" s="22" t="s">
        <v>581</v>
      </c>
      <c r="O132" t="s">
        <v>581</v>
      </c>
      <c r="P132" s="27" t="s">
        <v>581</v>
      </c>
      <c r="Q132" s="27" t="s">
        <v>581</v>
      </c>
      <c r="R132" s="27" t="s">
        <v>581</v>
      </c>
      <c r="S132" s="19" t="s">
        <v>581</v>
      </c>
      <c r="T132" s="2" t="s">
        <v>581</v>
      </c>
      <c r="U132" s="2" t="s">
        <v>690</v>
      </c>
    </row>
    <row r="133" spans="1:21" x14ac:dyDescent="0.25">
      <c r="A133" t="s">
        <v>225</v>
      </c>
      <c r="B133" t="s">
        <v>226</v>
      </c>
      <c r="C133" t="s">
        <v>229</v>
      </c>
      <c r="D133" s="21">
        <v>43049</v>
      </c>
      <c r="F133" s="2">
        <v>100</v>
      </c>
      <c r="G133" s="25">
        <v>44309</v>
      </c>
      <c r="H133" s="26">
        <v>44323</v>
      </c>
      <c r="I133" s="26" t="s">
        <v>599</v>
      </c>
      <c r="J133" s="26" t="s">
        <v>685</v>
      </c>
      <c r="K133" s="27">
        <v>14</v>
      </c>
      <c r="L133" s="27">
        <v>4</v>
      </c>
      <c r="M133" s="27">
        <v>10</v>
      </c>
      <c r="N133" t="s">
        <v>581</v>
      </c>
      <c r="O133" t="s">
        <v>581</v>
      </c>
      <c r="P133" s="27" t="s">
        <v>581</v>
      </c>
      <c r="Q133" s="27" t="s">
        <v>581</v>
      </c>
      <c r="R133" s="27" t="s">
        <v>581</v>
      </c>
      <c r="S133" s="19">
        <v>4</v>
      </c>
      <c r="T133" s="2">
        <v>28</v>
      </c>
    </row>
    <row r="134" spans="1:21" x14ac:dyDescent="0.25">
      <c r="A134" t="s">
        <v>230</v>
      </c>
      <c r="B134" t="s">
        <v>231</v>
      </c>
      <c r="C134" t="s">
        <v>232</v>
      </c>
      <c r="D134" s="21">
        <v>42626</v>
      </c>
      <c r="F134" s="2">
        <v>100</v>
      </c>
      <c r="G134" s="25">
        <v>44327</v>
      </c>
      <c r="H134" s="26">
        <v>44356</v>
      </c>
      <c r="I134" s="26" t="s">
        <v>599</v>
      </c>
      <c r="J134" s="26" t="s">
        <v>676</v>
      </c>
      <c r="K134" s="26" t="s">
        <v>581</v>
      </c>
      <c r="L134" s="26" t="s">
        <v>581</v>
      </c>
      <c r="M134" s="26" t="s">
        <v>581</v>
      </c>
      <c r="N134" s="26">
        <v>44356</v>
      </c>
      <c r="O134" s="26">
        <v>44357</v>
      </c>
      <c r="P134" s="27">
        <v>29</v>
      </c>
      <c r="Q134" s="27">
        <v>20</v>
      </c>
      <c r="R134" s="27">
        <v>9</v>
      </c>
      <c r="S134" s="19">
        <v>20</v>
      </c>
      <c r="T134" s="2">
        <v>0</v>
      </c>
    </row>
    <row r="135" spans="1:21" x14ac:dyDescent="0.25">
      <c r="A135" t="s">
        <v>233</v>
      </c>
      <c r="B135" t="s">
        <v>234</v>
      </c>
      <c r="C135" t="s">
        <v>235</v>
      </c>
      <c r="D135" s="21">
        <v>42193</v>
      </c>
      <c r="F135" s="2">
        <v>100</v>
      </c>
      <c r="G135" s="25">
        <v>44349</v>
      </c>
      <c r="H135" s="26">
        <v>44390</v>
      </c>
      <c r="I135" s="26" t="s">
        <v>599</v>
      </c>
      <c r="J135" s="26" t="s">
        <v>676</v>
      </c>
      <c r="K135" s="26" t="s">
        <v>581</v>
      </c>
      <c r="L135" s="26" t="s">
        <v>581</v>
      </c>
      <c r="M135" s="26" t="s">
        <v>581</v>
      </c>
      <c r="N135" s="26">
        <v>44390</v>
      </c>
      <c r="O135" s="26">
        <v>44391</v>
      </c>
      <c r="P135" s="27">
        <v>92</v>
      </c>
      <c r="Q135" s="27">
        <v>74</v>
      </c>
      <c r="R135" s="27">
        <v>18</v>
      </c>
      <c r="S135" s="19">
        <v>74</v>
      </c>
      <c r="T135" s="2">
        <v>7</v>
      </c>
    </row>
    <row r="136" spans="1:21" x14ac:dyDescent="0.25">
      <c r="A136" t="s">
        <v>233</v>
      </c>
      <c r="B136" t="s">
        <v>236</v>
      </c>
      <c r="C136" t="s">
        <v>237</v>
      </c>
      <c r="D136" s="21">
        <v>42182</v>
      </c>
      <c r="F136" s="2">
        <v>108</v>
      </c>
      <c r="G136" s="25">
        <v>44327</v>
      </c>
      <c r="H136" s="26">
        <v>44378</v>
      </c>
      <c r="I136" s="26" t="s">
        <v>599</v>
      </c>
      <c r="J136" s="26" t="s">
        <v>676</v>
      </c>
      <c r="K136" s="26" t="s">
        <v>581</v>
      </c>
      <c r="L136" s="26" t="s">
        <v>581</v>
      </c>
      <c r="M136" s="26" t="s">
        <v>581</v>
      </c>
      <c r="N136" s="26">
        <v>44378</v>
      </c>
      <c r="O136" s="26">
        <v>44379</v>
      </c>
      <c r="P136" s="27">
        <v>79</v>
      </c>
      <c r="Q136" s="27">
        <v>78</v>
      </c>
      <c r="R136" s="27">
        <v>1</v>
      </c>
      <c r="S136" s="19">
        <v>78</v>
      </c>
      <c r="T136" s="2">
        <v>3</v>
      </c>
    </row>
    <row r="137" spans="1:21" x14ac:dyDescent="0.25">
      <c r="A137" t="s">
        <v>233</v>
      </c>
      <c r="B137" t="s">
        <v>236</v>
      </c>
      <c r="C137" t="s">
        <v>238</v>
      </c>
      <c r="D137" s="21">
        <v>42182</v>
      </c>
      <c r="F137" s="2">
        <v>108</v>
      </c>
      <c r="G137" s="25">
        <v>44327</v>
      </c>
      <c r="H137" s="26">
        <v>44378</v>
      </c>
      <c r="I137" s="26" t="s">
        <v>599</v>
      </c>
      <c r="J137" s="26" t="s">
        <v>676</v>
      </c>
      <c r="K137" s="26" t="s">
        <v>581</v>
      </c>
      <c r="L137" s="26" t="s">
        <v>581</v>
      </c>
      <c r="M137" s="26" t="s">
        <v>581</v>
      </c>
      <c r="N137" s="26">
        <v>44378</v>
      </c>
      <c r="O137" s="26">
        <v>44379</v>
      </c>
      <c r="P137" s="27">
        <v>91</v>
      </c>
      <c r="Q137" s="27">
        <v>87</v>
      </c>
      <c r="R137" s="27">
        <v>4</v>
      </c>
      <c r="S137" s="19">
        <v>87</v>
      </c>
      <c r="T137" s="2">
        <v>4</v>
      </c>
    </row>
    <row r="138" spans="1:21" x14ac:dyDescent="0.25">
      <c r="A138" t="s">
        <v>233</v>
      </c>
      <c r="B138" t="s">
        <v>236</v>
      </c>
      <c r="C138" t="s">
        <v>239</v>
      </c>
      <c r="D138" s="21">
        <v>42199</v>
      </c>
      <c r="F138" s="2">
        <v>100</v>
      </c>
      <c r="G138" s="25">
        <v>44327</v>
      </c>
      <c r="H138" s="26">
        <v>44378</v>
      </c>
      <c r="I138" s="26" t="s">
        <v>599</v>
      </c>
      <c r="J138" s="26" t="s">
        <v>676</v>
      </c>
      <c r="K138" s="26" t="s">
        <v>581</v>
      </c>
      <c r="L138" s="26" t="s">
        <v>581</v>
      </c>
      <c r="M138" s="26" t="s">
        <v>581</v>
      </c>
      <c r="N138" s="26">
        <v>44378</v>
      </c>
      <c r="O138" s="26">
        <v>44379</v>
      </c>
      <c r="P138" s="27">
        <v>48</v>
      </c>
      <c r="Q138" s="27">
        <v>47</v>
      </c>
      <c r="R138" s="27">
        <v>1</v>
      </c>
      <c r="S138" s="19">
        <v>47</v>
      </c>
      <c r="T138" s="2">
        <v>0</v>
      </c>
    </row>
    <row r="139" spans="1:21" x14ac:dyDescent="0.25">
      <c r="A139" t="s">
        <v>233</v>
      </c>
      <c r="B139" t="s">
        <v>236</v>
      </c>
      <c r="C139" t="s">
        <v>240</v>
      </c>
      <c r="D139" s="21">
        <v>42202</v>
      </c>
      <c r="F139" s="2">
        <v>120</v>
      </c>
      <c r="G139" s="25">
        <v>44327</v>
      </c>
      <c r="H139" s="26">
        <v>44378</v>
      </c>
      <c r="I139" s="26" t="s">
        <v>599</v>
      </c>
      <c r="J139" s="26" t="s">
        <v>676</v>
      </c>
      <c r="K139" s="26" t="s">
        <v>581</v>
      </c>
      <c r="L139" s="26" t="s">
        <v>581</v>
      </c>
      <c r="M139" s="26" t="s">
        <v>581</v>
      </c>
      <c r="N139" s="26">
        <v>44378</v>
      </c>
      <c r="O139" s="26">
        <v>44379</v>
      </c>
      <c r="P139" s="27">
        <v>66</v>
      </c>
      <c r="Q139" s="27">
        <v>65</v>
      </c>
      <c r="R139" s="27">
        <v>1</v>
      </c>
      <c r="S139" s="19">
        <v>65</v>
      </c>
      <c r="T139" s="2">
        <v>6</v>
      </c>
    </row>
    <row r="140" spans="1:21" x14ac:dyDescent="0.25">
      <c r="A140" t="s">
        <v>233</v>
      </c>
      <c r="B140" t="s">
        <v>236</v>
      </c>
      <c r="C140" t="s">
        <v>241</v>
      </c>
      <c r="D140" s="21">
        <v>42907</v>
      </c>
      <c r="F140" s="2">
        <v>110</v>
      </c>
      <c r="G140" s="25">
        <v>44327</v>
      </c>
      <c r="H140" s="26">
        <v>44378</v>
      </c>
      <c r="I140" s="26" t="s">
        <v>599</v>
      </c>
      <c r="J140" s="26" t="s">
        <v>676</v>
      </c>
      <c r="K140" s="26" t="s">
        <v>581</v>
      </c>
      <c r="L140" s="26" t="s">
        <v>581</v>
      </c>
      <c r="M140" s="26" t="s">
        <v>581</v>
      </c>
      <c r="N140" s="26">
        <v>44378</v>
      </c>
      <c r="O140" s="26">
        <v>44379</v>
      </c>
      <c r="P140" s="27">
        <v>55</v>
      </c>
      <c r="Q140" s="27">
        <v>52</v>
      </c>
      <c r="R140" s="27">
        <v>3</v>
      </c>
      <c r="S140" s="19">
        <v>52</v>
      </c>
      <c r="T140" s="2">
        <v>6</v>
      </c>
    </row>
    <row r="141" spans="1:21" x14ac:dyDescent="0.25">
      <c r="A141" t="s">
        <v>233</v>
      </c>
      <c r="B141" t="s">
        <v>236</v>
      </c>
      <c r="C141" t="s">
        <v>242</v>
      </c>
      <c r="D141" s="21">
        <v>42208</v>
      </c>
      <c r="F141" s="2">
        <v>100</v>
      </c>
      <c r="G141" s="25">
        <v>44327</v>
      </c>
      <c r="H141" s="26">
        <v>44378</v>
      </c>
      <c r="I141" s="26" t="s">
        <v>599</v>
      </c>
      <c r="J141" s="26" t="s">
        <v>676</v>
      </c>
      <c r="K141" s="26" t="s">
        <v>581</v>
      </c>
      <c r="L141" s="26" t="s">
        <v>581</v>
      </c>
      <c r="M141" s="26" t="s">
        <v>581</v>
      </c>
      <c r="N141" s="26">
        <v>44378</v>
      </c>
      <c r="O141" s="26">
        <v>44379</v>
      </c>
      <c r="P141" s="27">
        <v>30</v>
      </c>
      <c r="Q141" s="27">
        <v>30</v>
      </c>
      <c r="R141" s="27">
        <v>0</v>
      </c>
      <c r="S141" s="19">
        <v>30</v>
      </c>
      <c r="T141" s="2">
        <v>0</v>
      </c>
    </row>
    <row r="142" spans="1:21" x14ac:dyDescent="0.25">
      <c r="A142" t="s">
        <v>243</v>
      </c>
      <c r="B142" t="s">
        <v>244</v>
      </c>
      <c r="C142" t="s">
        <v>245</v>
      </c>
      <c r="D142" s="21">
        <v>43034</v>
      </c>
      <c r="F142" s="2">
        <v>100</v>
      </c>
      <c r="G142" s="25">
        <v>44349</v>
      </c>
      <c r="H142" s="26">
        <v>44404</v>
      </c>
      <c r="I142" s="26" t="s">
        <v>599</v>
      </c>
      <c r="J142" s="26" t="s">
        <v>676</v>
      </c>
      <c r="K142" s="26" t="s">
        <v>581</v>
      </c>
      <c r="L142" s="26" t="s">
        <v>581</v>
      </c>
      <c r="M142" s="26" t="s">
        <v>581</v>
      </c>
      <c r="N142" s="26">
        <v>44404</v>
      </c>
      <c r="O142" s="26">
        <v>44405</v>
      </c>
      <c r="P142" s="27">
        <v>98</v>
      </c>
      <c r="Q142" s="27">
        <v>3</v>
      </c>
      <c r="R142" s="27">
        <v>95</v>
      </c>
      <c r="S142" s="19">
        <v>3</v>
      </c>
      <c r="T142" s="2">
        <v>0</v>
      </c>
    </row>
    <row r="143" spans="1:21" x14ac:dyDescent="0.25">
      <c r="A143" t="s">
        <v>246</v>
      </c>
      <c r="B143" t="s">
        <v>247</v>
      </c>
      <c r="C143" t="s">
        <v>248</v>
      </c>
      <c r="D143" s="21">
        <v>42299</v>
      </c>
      <c r="F143" s="2">
        <v>100</v>
      </c>
      <c r="G143" s="25">
        <v>44319</v>
      </c>
      <c r="H143" s="26">
        <v>44371</v>
      </c>
      <c r="I143" s="26" t="s">
        <v>599</v>
      </c>
      <c r="J143" s="26" t="s">
        <v>676</v>
      </c>
      <c r="K143" s="26" t="s">
        <v>581</v>
      </c>
      <c r="L143" s="26" t="s">
        <v>581</v>
      </c>
      <c r="M143" s="26" t="s">
        <v>581</v>
      </c>
      <c r="N143" s="26">
        <v>44371</v>
      </c>
      <c r="O143" s="26">
        <v>44372</v>
      </c>
      <c r="P143" s="27">
        <v>100</v>
      </c>
      <c r="Q143" s="27">
        <v>45</v>
      </c>
      <c r="R143" s="27">
        <v>55</v>
      </c>
      <c r="S143" s="19">
        <v>45</v>
      </c>
      <c r="T143" s="2">
        <v>0</v>
      </c>
    </row>
    <row r="144" spans="1:21" x14ac:dyDescent="0.25">
      <c r="A144" t="s">
        <v>246</v>
      </c>
      <c r="B144" t="s">
        <v>247</v>
      </c>
      <c r="C144" t="s">
        <v>249</v>
      </c>
      <c r="D144" s="21">
        <v>42319</v>
      </c>
      <c r="F144" s="2">
        <v>100</v>
      </c>
      <c r="G144" s="25">
        <v>44319</v>
      </c>
      <c r="H144" s="26">
        <v>44371</v>
      </c>
      <c r="I144" s="26" t="s">
        <v>599</v>
      </c>
      <c r="J144" s="26" t="s">
        <v>676</v>
      </c>
      <c r="K144" s="26" t="s">
        <v>581</v>
      </c>
      <c r="L144" s="26" t="s">
        <v>581</v>
      </c>
      <c r="M144" s="26" t="s">
        <v>581</v>
      </c>
      <c r="N144" s="26">
        <v>44371</v>
      </c>
      <c r="O144" s="26">
        <v>44372</v>
      </c>
      <c r="P144" s="27">
        <v>100</v>
      </c>
      <c r="Q144" s="27">
        <v>74</v>
      </c>
      <c r="R144" s="27">
        <v>26</v>
      </c>
      <c r="S144" s="19">
        <v>74</v>
      </c>
      <c r="T144" s="2">
        <v>0</v>
      </c>
    </row>
    <row r="145" spans="1:21" x14ac:dyDescent="0.25">
      <c r="A145" t="s">
        <v>246</v>
      </c>
      <c r="B145" t="s">
        <v>250</v>
      </c>
      <c r="C145" t="s">
        <v>646</v>
      </c>
      <c r="D145" s="21">
        <v>42646</v>
      </c>
      <c r="F145" s="2">
        <v>100</v>
      </c>
      <c r="G145" s="25">
        <v>44319</v>
      </c>
      <c r="H145" s="26">
        <v>44371</v>
      </c>
      <c r="I145" s="26" t="s">
        <v>599</v>
      </c>
      <c r="J145" s="26" t="s">
        <v>676</v>
      </c>
      <c r="K145" s="26" t="s">
        <v>581</v>
      </c>
      <c r="L145" s="26" t="s">
        <v>581</v>
      </c>
      <c r="M145" s="26" t="s">
        <v>581</v>
      </c>
      <c r="N145" s="26">
        <v>44371</v>
      </c>
      <c r="O145" s="26">
        <v>44372</v>
      </c>
      <c r="P145" s="27">
        <v>100</v>
      </c>
      <c r="Q145" s="27">
        <v>52</v>
      </c>
      <c r="R145" s="27">
        <v>48</v>
      </c>
      <c r="S145" s="19">
        <v>52</v>
      </c>
      <c r="T145" s="2">
        <v>0</v>
      </c>
    </row>
    <row r="146" spans="1:21" x14ac:dyDescent="0.25">
      <c r="A146" t="s">
        <v>246</v>
      </c>
      <c r="B146" t="s">
        <v>252</v>
      </c>
      <c r="C146" t="s">
        <v>253</v>
      </c>
      <c r="D146" s="21">
        <v>42684</v>
      </c>
      <c r="F146" s="2">
        <v>0</v>
      </c>
      <c r="G146" s="22" t="s">
        <v>581</v>
      </c>
      <c r="H146" s="22" t="s">
        <v>581</v>
      </c>
      <c r="I146" s="22" t="s">
        <v>581</v>
      </c>
      <c r="J146" s="25" t="s">
        <v>581</v>
      </c>
      <c r="K146" s="26" t="s">
        <v>581</v>
      </c>
      <c r="L146" s="26" t="s">
        <v>581</v>
      </c>
      <c r="M146" s="26" t="s">
        <v>581</v>
      </c>
      <c r="N146" s="22" t="s">
        <v>581</v>
      </c>
      <c r="O146" s="22" t="s">
        <v>581</v>
      </c>
      <c r="P146" s="23" t="s">
        <v>581</v>
      </c>
      <c r="Q146" s="23" t="s">
        <v>581</v>
      </c>
      <c r="R146" s="23" t="s">
        <v>581</v>
      </c>
      <c r="S146" s="19" t="s">
        <v>581</v>
      </c>
      <c r="T146" s="2" t="s">
        <v>581</v>
      </c>
      <c r="U146" t="s">
        <v>694</v>
      </c>
    </row>
    <row r="147" spans="1:21" x14ac:dyDescent="0.25">
      <c r="A147" t="s">
        <v>246</v>
      </c>
      <c r="B147" t="s">
        <v>252</v>
      </c>
      <c r="C147" t="s">
        <v>254</v>
      </c>
      <c r="D147" s="21">
        <v>43066</v>
      </c>
      <c r="F147" s="2">
        <v>100</v>
      </c>
      <c r="G147" s="25">
        <v>44319</v>
      </c>
      <c r="H147" s="26">
        <v>44371</v>
      </c>
      <c r="I147" s="26" t="s">
        <v>599</v>
      </c>
      <c r="J147" s="26" t="s">
        <v>676</v>
      </c>
      <c r="K147" s="26" t="s">
        <v>581</v>
      </c>
      <c r="L147" s="26" t="s">
        <v>581</v>
      </c>
      <c r="M147" s="26" t="s">
        <v>581</v>
      </c>
      <c r="N147" s="26">
        <v>44371</v>
      </c>
      <c r="O147" s="26">
        <v>44372</v>
      </c>
      <c r="P147" s="23">
        <v>100</v>
      </c>
      <c r="Q147" s="23">
        <v>79</v>
      </c>
      <c r="R147" s="23">
        <v>21</v>
      </c>
      <c r="S147" s="19">
        <v>79</v>
      </c>
      <c r="T147" s="2">
        <v>0</v>
      </c>
    </row>
    <row r="148" spans="1:21" x14ac:dyDescent="0.25">
      <c r="A148" t="s">
        <v>255</v>
      </c>
      <c r="B148" t="s">
        <v>256</v>
      </c>
      <c r="C148" t="s">
        <v>257</v>
      </c>
      <c r="D148" s="21">
        <v>42648</v>
      </c>
      <c r="F148" s="2">
        <v>100</v>
      </c>
      <c r="G148" s="25">
        <v>44320</v>
      </c>
      <c r="H148" s="26">
        <v>44383</v>
      </c>
      <c r="I148" s="26" t="s">
        <v>599</v>
      </c>
      <c r="J148" s="26" t="s">
        <v>676</v>
      </c>
      <c r="K148" s="26" t="s">
        <v>581</v>
      </c>
      <c r="L148" s="26" t="s">
        <v>581</v>
      </c>
      <c r="M148" s="26" t="s">
        <v>581</v>
      </c>
      <c r="N148" s="26">
        <v>44383</v>
      </c>
      <c r="O148" s="26">
        <v>44384</v>
      </c>
      <c r="P148" s="23">
        <v>38</v>
      </c>
      <c r="Q148" s="23">
        <v>19</v>
      </c>
      <c r="R148" s="23">
        <v>19</v>
      </c>
      <c r="S148" s="19">
        <v>19</v>
      </c>
      <c r="T148" s="2">
        <v>0</v>
      </c>
    </row>
    <row r="149" spans="1:21" x14ac:dyDescent="0.25">
      <c r="A149" t="s">
        <v>258</v>
      </c>
      <c r="B149" t="s">
        <v>259</v>
      </c>
      <c r="C149" t="s">
        <v>260</v>
      </c>
      <c r="D149" s="21">
        <v>43018</v>
      </c>
      <c r="F149" s="2">
        <v>100</v>
      </c>
      <c r="G149" s="25">
        <v>44321</v>
      </c>
      <c r="H149" s="26">
        <v>44413</v>
      </c>
      <c r="I149" s="26" t="s">
        <v>599</v>
      </c>
      <c r="J149" s="26" t="s">
        <v>676</v>
      </c>
      <c r="K149" s="26" t="s">
        <v>581</v>
      </c>
      <c r="L149" s="26" t="s">
        <v>581</v>
      </c>
      <c r="M149" s="26" t="s">
        <v>581</v>
      </c>
      <c r="N149" s="26">
        <v>44413</v>
      </c>
      <c r="O149" s="26">
        <v>44414</v>
      </c>
      <c r="P149" s="23">
        <v>18</v>
      </c>
      <c r="Q149" s="23">
        <v>10</v>
      </c>
      <c r="R149" s="23">
        <v>8</v>
      </c>
      <c r="S149" s="19">
        <v>10</v>
      </c>
      <c r="T149" s="2">
        <v>0</v>
      </c>
    </row>
    <row r="150" spans="1:21" x14ac:dyDescent="0.25">
      <c r="A150" t="s">
        <v>258</v>
      </c>
      <c r="B150" t="s">
        <v>259</v>
      </c>
      <c r="C150" t="s">
        <v>261</v>
      </c>
      <c r="D150" s="21">
        <v>43019</v>
      </c>
      <c r="F150" s="2">
        <v>100</v>
      </c>
      <c r="G150" s="25">
        <v>44321</v>
      </c>
      <c r="H150" s="26">
        <v>44413</v>
      </c>
      <c r="I150" s="26" t="s">
        <v>599</v>
      </c>
      <c r="J150" s="26" t="s">
        <v>676</v>
      </c>
      <c r="K150" s="26" t="s">
        <v>581</v>
      </c>
      <c r="L150" s="26" t="s">
        <v>581</v>
      </c>
      <c r="M150" s="26" t="s">
        <v>581</v>
      </c>
      <c r="N150" s="26">
        <v>44413</v>
      </c>
      <c r="O150" s="26">
        <v>44414</v>
      </c>
      <c r="P150" s="23">
        <v>12</v>
      </c>
      <c r="Q150" s="23">
        <v>6</v>
      </c>
      <c r="R150" s="23">
        <v>6</v>
      </c>
      <c r="S150" s="19">
        <v>6</v>
      </c>
      <c r="T150" s="2">
        <v>0</v>
      </c>
    </row>
    <row r="151" spans="1:21" x14ac:dyDescent="0.25">
      <c r="A151" t="s">
        <v>258</v>
      </c>
      <c r="B151" t="s">
        <v>259</v>
      </c>
      <c r="C151" t="s">
        <v>262</v>
      </c>
      <c r="D151" s="21">
        <v>42990</v>
      </c>
      <c r="F151" s="2">
        <v>100</v>
      </c>
      <c r="G151" s="25">
        <v>44321</v>
      </c>
      <c r="H151" s="26">
        <v>44413</v>
      </c>
      <c r="I151" s="26" t="s">
        <v>600</v>
      </c>
      <c r="J151" s="26" t="s">
        <v>581</v>
      </c>
      <c r="K151" s="26" t="s">
        <v>581</v>
      </c>
      <c r="L151" s="26" t="s">
        <v>581</v>
      </c>
      <c r="M151" s="26" t="s">
        <v>581</v>
      </c>
      <c r="N151" t="s">
        <v>581</v>
      </c>
      <c r="O151" t="s">
        <v>581</v>
      </c>
      <c r="P151" s="27" t="s">
        <v>581</v>
      </c>
      <c r="Q151" s="27" t="s">
        <v>581</v>
      </c>
      <c r="R151" s="27" t="s">
        <v>581</v>
      </c>
      <c r="S151" s="19">
        <v>0</v>
      </c>
      <c r="T151" s="2">
        <v>0</v>
      </c>
    </row>
    <row r="152" spans="1:21" x14ac:dyDescent="0.25">
      <c r="A152" t="s">
        <v>258</v>
      </c>
      <c r="B152" t="s">
        <v>259</v>
      </c>
      <c r="C152" t="s">
        <v>263</v>
      </c>
      <c r="D152" s="21">
        <v>43004</v>
      </c>
      <c r="F152" s="2">
        <v>100</v>
      </c>
      <c r="G152" s="25">
        <v>44321</v>
      </c>
      <c r="H152" s="26">
        <v>44413</v>
      </c>
      <c r="I152" s="26" t="s">
        <v>600</v>
      </c>
      <c r="J152" s="26" t="s">
        <v>581</v>
      </c>
      <c r="K152" s="26" t="s">
        <v>581</v>
      </c>
      <c r="L152" s="26" t="s">
        <v>581</v>
      </c>
      <c r="M152" s="26" t="s">
        <v>581</v>
      </c>
      <c r="N152" t="s">
        <v>581</v>
      </c>
      <c r="O152" t="s">
        <v>581</v>
      </c>
      <c r="P152" s="27" t="s">
        <v>581</v>
      </c>
      <c r="Q152" s="27" t="s">
        <v>581</v>
      </c>
      <c r="R152" s="27" t="s">
        <v>581</v>
      </c>
      <c r="S152" s="19">
        <v>0</v>
      </c>
      <c r="T152" s="2">
        <v>1</v>
      </c>
    </row>
    <row r="153" spans="1:21" x14ac:dyDescent="0.25">
      <c r="A153" t="s">
        <v>258</v>
      </c>
      <c r="B153" t="s">
        <v>259</v>
      </c>
      <c r="C153" t="s">
        <v>264</v>
      </c>
      <c r="D153" s="21">
        <v>43004</v>
      </c>
      <c r="F153" s="2">
        <v>100</v>
      </c>
      <c r="G153" s="25">
        <v>44321</v>
      </c>
      <c r="H153" s="26">
        <v>44413</v>
      </c>
      <c r="I153" s="26" t="s">
        <v>599</v>
      </c>
      <c r="J153" s="26" t="s">
        <v>676</v>
      </c>
      <c r="K153" s="26" t="s">
        <v>581</v>
      </c>
      <c r="L153" s="26" t="s">
        <v>581</v>
      </c>
      <c r="M153" s="26" t="s">
        <v>581</v>
      </c>
      <c r="N153" s="26">
        <v>44413</v>
      </c>
      <c r="O153" s="26">
        <v>44414</v>
      </c>
      <c r="P153" s="27">
        <v>20</v>
      </c>
      <c r="Q153" s="27">
        <v>5</v>
      </c>
      <c r="R153" s="27">
        <v>15</v>
      </c>
      <c r="S153" s="19">
        <v>5</v>
      </c>
      <c r="T153" s="2">
        <v>0</v>
      </c>
    </row>
    <row r="154" spans="1:21" x14ac:dyDescent="0.25">
      <c r="A154" t="s">
        <v>258</v>
      </c>
      <c r="B154" t="s">
        <v>259</v>
      </c>
      <c r="C154" t="s">
        <v>265</v>
      </c>
      <c r="D154" s="21">
        <v>43005</v>
      </c>
      <c r="F154" s="2">
        <v>100</v>
      </c>
      <c r="G154" s="25">
        <v>44321</v>
      </c>
      <c r="H154" s="26">
        <v>44413</v>
      </c>
      <c r="I154" s="26" t="s">
        <v>599</v>
      </c>
      <c r="J154" s="26" t="s">
        <v>676</v>
      </c>
      <c r="K154" s="26" t="s">
        <v>581</v>
      </c>
      <c r="L154" s="26" t="s">
        <v>581</v>
      </c>
      <c r="M154" s="26" t="s">
        <v>581</v>
      </c>
      <c r="N154" s="26">
        <v>44413</v>
      </c>
      <c r="O154" s="26">
        <v>44414</v>
      </c>
      <c r="P154" s="27">
        <v>9</v>
      </c>
      <c r="Q154" s="27">
        <v>7</v>
      </c>
      <c r="R154" s="27">
        <v>2</v>
      </c>
      <c r="S154" s="19">
        <v>7</v>
      </c>
      <c r="T154" s="2">
        <v>0</v>
      </c>
    </row>
    <row r="155" spans="1:21" x14ac:dyDescent="0.25">
      <c r="A155" t="s">
        <v>258</v>
      </c>
      <c r="B155" t="s">
        <v>259</v>
      </c>
      <c r="C155" t="s">
        <v>266</v>
      </c>
      <c r="D155" s="21">
        <v>43027</v>
      </c>
      <c r="F155" s="2">
        <v>100</v>
      </c>
      <c r="G155" s="25">
        <v>44321</v>
      </c>
      <c r="H155" s="26">
        <v>44413</v>
      </c>
      <c r="I155" s="26" t="s">
        <v>599</v>
      </c>
      <c r="J155" s="26" t="s">
        <v>676</v>
      </c>
      <c r="K155" s="26" t="s">
        <v>581</v>
      </c>
      <c r="L155" s="26" t="s">
        <v>581</v>
      </c>
      <c r="M155" s="26" t="s">
        <v>581</v>
      </c>
      <c r="N155" s="26">
        <v>44413</v>
      </c>
      <c r="O155" s="26">
        <v>44414</v>
      </c>
      <c r="P155" s="27">
        <v>18</v>
      </c>
      <c r="Q155" s="27">
        <v>10</v>
      </c>
      <c r="R155" s="27">
        <v>8</v>
      </c>
      <c r="S155" s="19">
        <v>10</v>
      </c>
      <c r="T155" s="2">
        <v>0</v>
      </c>
    </row>
    <row r="156" spans="1:21" x14ac:dyDescent="0.25">
      <c r="A156" t="s">
        <v>267</v>
      </c>
      <c r="B156" t="s">
        <v>218</v>
      </c>
      <c r="C156" t="s">
        <v>268</v>
      </c>
      <c r="D156" s="21">
        <v>43056</v>
      </c>
      <c r="F156" s="2">
        <v>100</v>
      </c>
      <c r="G156" s="25">
        <v>44361</v>
      </c>
      <c r="H156" s="26">
        <v>44434</v>
      </c>
      <c r="I156" s="26" t="s">
        <v>599</v>
      </c>
      <c r="J156" s="26" t="s">
        <v>676</v>
      </c>
      <c r="K156" s="26" t="s">
        <v>581</v>
      </c>
      <c r="L156" s="26" t="s">
        <v>581</v>
      </c>
      <c r="M156" s="26" t="s">
        <v>581</v>
      </c>
      <c r="N156" s="26">
        <v>44434</v>
      </c>
      <c r="O156" s="26">
        <v>44435</v>
      </c>
      <c r="P156" s="27">
        <v>2</v>
      </c>
      <c r="Q156" s="27">
        <v>0</v>
      </c>
      <c r="R156" s="27">
        <v>2</v>
      </c>
      <c r="S156" s="19">
        <v>0</v>
      </c>
      <c r="T156" s="2">
        <v>0</v>
      </c>
    </row>
    <row r="157" spans="1:21" x14ac:dyDescent="0.25">
      <c r="A157" t="s">
        <v>267</v>
      </c>
      <c r="B157" t="s">
        <v>269</v>
      </c>
      <c r="C157" t="s">
        <v>270</v>
      </c>
      <c r="D157" s="21">
        <v>42599</v>
      </c>
      <c r="F157" s="2">
        <v>100</v>
      </c>
      <c r="G157" s="25">
        <v>44361</v>
      </c>
      <c r="H157" s="26">
        <v>44434</v>
      </c>
      <c r="I157" s="26" t="s">
        <v>599</v>
      </c>
      <c r="J157" s="26" t="s">
        <v>676</v>
      </c>
      <c r="K157" s="26" t="s">
        <v>581</v>
      </c>
      <c r="L157" s="26" t="s">
        <v>581</v>
      </c>
      <c r="M157" s="26" t="s">
        <v>581</v>
      </c>
      <c r="N157" s="26">
        <v>44434</v>
      </c>
      <c r="O157" s="26">
        <v>44435</v>
      </c>
      <c r="P157" s="27">
        <v>1</v>
      </c>
      <c r="Q157" s="27">
        <v>0</v>
      </c>
      <c r="R157" s="27">
        <v>1</v>
      </c>
      <c r="S157" s="19">
        <v>0</v>
      </c>
      <c r="T157" s="2">
        <v>0</v>
      </c>
    </row>
    <row r="158" spans="1:21" x14ac:dyDescent="0.25">
      <c r="A158" t="s">
        <v>267</v>
      </c>
      <c r="B158" t="s">
        <v>269</v>
      </c>
      <c r="C158" t="s">
        <v>271</v>
      </c>
      <c r="D158" s="21">
        <v>42600</v>
      </c>
      <c r="F158" s="2">
        <v>0</v>
      </c>
      <c r="G158" s="22" t="s">
        <v>581</v>
      </c>
      <c r="H158" s="22" t="s">
        <v>581</v>
      </c>
      <c r="I158" s="22" t="s">
        <v>581</v>
      </c>
      <c r="J158" s="22" t="s">
        <v>581</v>
      </c>
      <c r="K158" s="26" t="s">
        <v>581</v>
      </c>
      <c r="L158" s="26" t="s">
        <v>581</v>
      </c>
      <c r="M158" s="26" t="s">
        <v>581</v>
      </c>
      <c r="N158" s="22" t="s">
        <v>581</v>
      </c>
      <c r="O158" s="22" t="s">
        <v>581</v>
      </c>
      <c r="P158" s="23" t="s">
        <v>581</v>
      </c>
      <c r="Q158" s="27" t="s">
        <v>581</v>
      </c>
      <c r="R158" s="27" t="s">
        <v>581</v>
      </c>
      <c r="S158" s="19" t="s">
        <v>581</v>
      </c>
      <c r="T158" s="2" t="s">
        <v>581</v>
      </c>
      <c r="U158" s="2" t="s">
        <v>677</v>
      </c>
    </row>
    <row r="159" spans="1:21" x14ac:dyDescent="0.25">
      <c r="A159" t="s">
        <v>267</v>
      </c>
      <c r="B159" t="s">
        <v>269</v>
      </c>
      <c r="C159" t="s">
        <v>272</v>
      </c>
      <c r="D159" s="21">
        <v>42601</v>
      </c>
      <c r="F159" s="2">
        <v>100</v>
      </c>
      <c r="G159" s="25">
        <v>44361</v>
      </c>
      <c r="H159" s="26">
        <v>44434</v>
      </c>
      <c r="I159" s="26" t="s">
        <v>600</v>
      </c>
      <c r="J159" s="26" t="s">
        <v>581</v>
      </c>
      <c r="K159" s="26" t="s">
        <v>581</v>
      </c>
      <c r="L159" s="26" t="s">
        <v>581</v>
      </c>
      <c r="M159" s="26" t="s">
        <v>581</v>
      </c>
      <c r="N159" t="s">
        <v>581</v>
      </c>
      <c r="O159" t="s">
        <v>581</v>
      </c>
      <c r="P159" s="27" t="s">
        <v>581</v>
      </c>
      <c r="Q159" s="27" t="s">
        <v>581</v>
      </c>
      <c r="R159" s="27" t="s">
        <v>581</v>
      </c>
      <c r="S159" s="19">
        <v>0</v>
      </c>
      <c r="T159" s="2">
        <v>0</v>
      </c>
    </row>
    <row r="160" spans="1:21" x14ac:dyDescent="0.25">
      <c r="A160" t="s">
        <v>267</v>
      </c>
      <c r="B160" t="s">
        <v>269</v>
      </c>
      <c r="C160" t="s">
        <v>273</v>
      </c>
      <c r="D160" s="21">
        <v>42955</v>
      </c>
      <c r="F160" s="2">
        <v>100</v>
      </c>
      <c r="G160" s="25">
        <v>44361</v>
      </c>
      <c r="H160" s="26">
        <v>44434</v>
      </c>
      <c r="I160" s="26" t="s">
        <v>599</v>
      </c>
      <c r="J160" s="26" t="s">
        <v>676</v>
      </c>
      <c r="K160" s="26" t="s">
        <v>581</v>
      </c>
      <c r="L160" s="26" t="s">
        <v>581</v>
      </c>
      <c r="M160" s="26" t="s">
        <v>581</v>
      </c>
      <c r="N160" s="26">
        <v>44434</v>
      </c>
      <c r="O160" s="26">
        <v>44435</v>
      </c>
      <c r="P160" s="27">
        <v>35</v>
      </c>
      <c r="Q160" s="27">
        <v>22</v>
      </c>
      <c r="R160" s="27">
        <v>13</v>
      </c>
      <c r="S160" s="19">
        <v>22</v>
      </c>
      <c r="T160" s="2">
        <v>0</v>
      </c>
    </row>
    <row r="161" spans="1:20" x14ac:dyDescent="0.25">
      <c r="A161" t="s">
        <v>267</v>
      </c>
      <c r="B161" t="s">
        <v>269</v>
      </c>
      <c r="C161" t="s">
        <v>274</v>
      </c>
      <c r="D161" s="21">
        <v>42956</v>
      </c>
      <c r="F161" s="2">
        <v>100</v>
      </c>
      <c r="G161" s="25">
        <v>44361</v>
      </c>
      <c r="H161" s="26">
        <v>44434</v>
      </c>
      <c r="I161" s="26" t="s">
        <v>599</v>
      </c>
      <c r="J161" s="26" t="s">
        <v>676</v>
      </c>
      <c r="K161" s="26" t="s">
        <v>581</v>
      </c>
      <c r="L161" s="26" t="s">
        <v>581</v>
      </c>
      <c r="M161" s="26" t="s">
        <v>581</v>
      </c>
      <c r="N161" s="26">
        <v>44434</v>
      </c>
      <c r="O161" s="26">
        <v>44435</v>
      </c>
      <c r="P161" s="27">
        <v>87</v>
      </c>
      <c r="Q161" s="27">
        <v>64</v>
      </c>
      <c r="R161" s="27">
        <v>23</v>
      </c>
      <c r="S161" s="19">
        <v>64</v>
      </c>
      <c r="T161" s="2">
        <v>0</v>
      </c>
    </row>
    <row r="162" spans="1:20" x14ac:dyDescent="0.25">
      <c r="A162" t="s">
        <v>267</v>
      </c>
      <c r="B162" t="s">
        <v>269</v>
      </c>
      <c r="C162" t="s">
        <v>275</v>
      </c>
      <c r="D162" s="21">
        <v>42976</v>
      </c>
      <c r="F162" s="2">
        <v>100</v>
      </c>
      <c r="G162" s="25">
        <v>44361</v>
      </c>
      <c r="H162" s="26">
        <v>44434</v>
      </c>
      <c r="I162" s="26" t="s">
        <v>599</v>
      </c>
      <c r="J162" s="26" t="s">
        <v>676</v>
      </c>
      <c r="K162" s="26" t="s">
        <v>581</v>
      </c>
      <c r="L162" s="26" t="s">
        <v>581</v>
      </c>
      <c r="M162" s="26" t="s">
        <v>581</v>
      </c>
      <c r="N162" s="26">
        <v>44434</v>
      </c>
      <c r="O162" s="26">
        <v>44435</v>
      </c>
      <c r="P162" s="27">
        <v>31</v>
      </c>
      <c r="Q162" s="27">
        <v>15</v>
      </c>
      <c r="R162" s="27">
        <v>16</v>
      </c>
      <c r="S162" s="19">
        <v>15</v>
      </c>
      <c r="T162" s="2">
        <v>0</v>
      </c>
    </row>
    <row r="163" spans="1:20" x14ac:dyDescent="0.25">
      <c r="A163" t="s">
        <v>267</v>
      </c>
      <c r="B163" t="s">
        <v>269</v>
      </c>
      <c r="C163" t="s">
        <v>276</v>
      </c>
      <c r="D163" s="21">
        <v>42978</v>
      </c>
      <c r="F163" s="2">
        <v>100</v>
      </c>
      <c r="G163" s="25">
        <v>44361</v>
      </c>
      <c r="H163" s="26">
        <v>44434</v>
      </c>
      <c r="I163" s="26" t="s">
        <v>599</v>
      </c>
      <c r="J163" s="26" t="s">
        <v>676</v>
      </c>
      <c r="K163" s="26" t="s">
        <v>581</v>
      </c>
      <c r="L163" s="26" t="s">
        <v>581</v>
      </c>
      <c r="M163" s="26" t="s">
        <v>581</v>
      </c>
      <c r="N163" s="26">
        <v>44434</v>
      </c>
      <c r="O163" s="26">
        <v>44435</v>
      </c>
      <c r="P163" s="27">
        <v>53</v>
      </c>
      <c r="Q163" s="27">
        <v>33</v>
      </c>
      <c r="R163" s="27">
        <v>20</v>
      </c>
      <c r="S163" s="19">
        <v>33</v>
      </c>
      <c r="T163" s="2">
        <v>0</v>
      </c>
    </row>
    <row r="164" spans="1:20" x14ac:dyDescent="0.25">
      <c r="A164" t="s">
        <v>267</v>
      </c>
      <c r="B164" t="s">
        <v>269</v>
      </c>
      <c r="C164" t="s">
        <v>277</v>
      </c>
      <c r="D164" s="21">
        <v>42979</v>
      </c>
      <c r="F164" s="2">
        <v>100</v>
      </c>
      <c r="G164" s="25">
        <v>44361</v>
      </c>
      <c r="H164" s="26">
        <v>44434</v>
      </c>
      <c r="I164" s="26" t="s">
        <v>599</v>
      </c>
      <c r="J164" s="26" t="s">
        <v>676</v>
      </c>
      <c r="K164" s="26" t="s">
        <v>581</v>
      </c>
      <c r="L164" s="26" t="s">
        <v>581</v>
      </c>
      <c r="M164" s="26" t="s">
        <v>581</v>
      </c>
      <c r="N164" s="26">
        <v>44434</v>
      </c>
      <c r="O164" s="26">
        <v>44435</v>
      </c>
      <c r="P164" s="27">
        <v>77</v>
      </c>
      <c r="Q164" s="27">
        <v>70</v>
      </c>
      <c r="R164" s="27">
        <v>7</v>
      </c>
      <c r="S164" s="19">
        <v>70</v>
      </c>
      <c r="T164" s="2">
        <v>0</v>
      </c>
    </row>
    <row r="165" spans="1:20" x14ac:dyDescent="0.25">
      <c r="A165" t="s">
        <v>267</v>
      </c>
      <c r="B165" t="s">
        <v>12</v>
      </c>
      <c r="C165" t="s">
        <v>278</v>
      </c>
      <c r="D165" s="21">
        <v>42565</v>
      </c>
      <c r="F165" s="2">
        <v>100</v>
      </c>
      <c r="G165" s="25">
        <v>44361</v>
      </c>
      <c r="H165" s="26">
        <v>44434</v>
      </c>
      <c r="I165" s="26" t="s">
        <v>600</v>
      </c>
      <c r="J165" s="26" t="s">
        <v>581</v>
      </c>
      <c r="K165" s="26" t="s">
        <v>581</v>
      </c>
      <c r="L165" s="26" t="s">
        <v>581</v>
      </c>
      <c r="M165" s="26" t="s">
        <v>581</v>
      </c>
      <c r="N165" t="s">
        <v>581</v>
      </c>
      <c r="O165" t="s">
        <v>581</v>
      </c>
      <c r="P165" s="27" t="s">
        <v>581</v>
      </c>
      <c r="Q165" s="27" t="s">
        <v>581</v>
      </c>
      <c r="R165" s="27" t="s">
        <v>581</v>
      </c>
      <c r="S165" s="19">
        <v>0</v>
      </c>
      <c r="T165" s="2">
        <v>0</v>
      </c>
    </row>
    <row r="166" spans="1:20" x14ac:dyDescent="0.25">
      <c r="A166" t="s">
        <v>267</v>
      </c>
      <c r="B166" t="s">
        <v>12</v>
      </c>
      <c r="C166" t="s">
        <v>279</v>
      </c>
      <c r="D166" s="21">
        <v>42585</v>
      </c>
      <c r="F166" s="2">
        <v>100</v>
      </c>
      <c r="G166" s="25">
        <v>44361</v>
      </c>
      <c r="H166" s="26">
        <v>44434</v>
      </c>
      <c r="I166" s="26" t="s">
        <v>599</v>
      </c>
      <c r="J166" s="26" t="s">
        <v>676</v>
      </c>
      <c r="K166" s="26" t="s">
        <v>581</v>
      </c>
      <c r="L166" s="26" t="s">
        <v>581</v>
      </c>
      <c r="M166" s="26" t="s">
        <v>581</v>
      </c>
      <c r="N166" s="26">
        <v>44434</v>
      </c>
      <c r="O166" s="26">
        <v>44435</v>
      </c>
      <c r="P166" s="27">
        <v>15</v>
      </c>
      <c r="Q166" s="27">
        <v>4</v>
      </c>
      <c r="R166" s="27">
        <v>11</v>
      </c>
      <c r="S166" s="19">
        <v>4</v>
      </c>
      <c r="T166" s="2">
        <v>0</v>
      </c>
    </row>
    <row r="167" spans="1:20" x14ac:dyDescent="0.25">
      <c r="A167" t="s">
        <v>267</v>
      </c>
      <c r="B167" t="s">
        <v>12</v>
      </c>
      <c r="C167" t="s">
        <v>280</v>
      </c>
      <c r="D167" s="21">
        <v>42937</v>
      </c>
      <c r="F167" s="2">
        <v>100</v>
      </c>
      <c r="G167" s="25">
        <v>44361</v>
      </c>
      <c r="H167" s="26">
        <v>44434</v>
      </c>
      <c r="I167" s="26" t="s">
        <v>600</v>
      </c>
      <c r="J167" s="26" t="s">
        <v>581</v>
      </c>
      <c r="K167" s="26" t="s">
        <v>581</v>
      </c>
      <c r="L167" s="26" t="s">
        <v>581</v>
      </c>
      <c r="M167" s="26" t="s">
        <v>581</v>
      </c>
      <c r="N167" t="s">
        <v>581</v>
      </c>
      <c r="O167" t="s">
        <v>581</v>
      </c>
      <c r="P167" s="27" t="s">
        <v>581</v>
      </c>
      <c r="Q167" s="27" t="s">
        <v>581</v>
      </c>
      <c r="R167" s="27" t="s">
        <v>581</v>
      </c>
      <c r="S167" s="19">
        <v>0</v>
      </c>
      <c r="T167" s="2">
        <v>0</v>
      </c>
    </row>
    <row r="168" spans="1:20" x14ac:dyDescent="0.25">
      <c r="A168" t="s">
        <v>267</v>
      </c>
      <c r="B168" t="s">
        <v>12</v>
      </c>
      <c r="C168" t="s">
        <v>281</v>
      </c>
      <c r="D168" s="21">
        <v>42937</v>
      </c>
      <c r="F168" s="2">
        <v>100</v>
      </c>
      <c r="G168" s="25">
        <v>44361</v>
      </c>
      <c r="H168" s="26">
        <v>44434</v>
      </c>
      <c r="I168" s="26" t="s">
        <v>600</v>
      </c>
      <c r="J168" s="26" t="s">
        <v>581</v>
      </c>
      <c r="K168" s="26" t="s">
        <v>581</v>
      </c>
      <c r="L168" s="26" t="s">
        <v>581</v>
      </c>
      <c r="M168" s="26" t="s">
        <v>581</v>
      </c>
      <c r="N168" t="s">
        <v>581</v>
      </c>
      <c r="O168" t="s">
        <v>581</v>
      </c>
      <c r="P168" s="27" t="s">
        <v>581</v>
      </c>
      <c r="Q168" s="27" t="s">
        <v>581</v>
      </c>
      <c r="R168" s="27" t="s">
        <v>581</v>
      </c>
      <c r="S168" s="19">
        <v>0</v>
      </c>
      <c r="T168" s="2">
        <v>0</v>
      </c>
    </row>
    <row r="169" spans="1:20" x14ac:dyDescent="0.25">
      <c r="A169" t="s">
        <v>267</v>
      </c>
      <c r="B169" t="s">
        <v>12</v>
      </c>
      <c r="C169" t="s">
        <v>282</v>
      </c>
      <c r="D169" s="21">
        <v>42942</v>
      </c>
      <c r="F169" s="2">
        <v>100</v>
      </c>
      <c r="G169" s="25">
        <v>44361</v>
      </c>
      <c r="H169" s="26">
        <v>44434</v>
      </c>
      <c r="I169" s="26" t="s">
        <v>599</v>
      </c>
      <c r="J169" s="26" t="s">
        <v>676</v>
      </c>
      <c r="K169" s="26" t="s">
        <v>581</v>
      </c>
      <c r="L169" s="26" t="s">
        <v>581</v>
      </c>
      <c r="M169" s="26" t="s">
        <v>581</v>
      </c>
      <c r="N169" s="26">
        <v>44434</v>
      </c>
      <c r="O169" s="26">
        <v>44435</v>
      </c>
      <c r="P169" s="27">
        <v>8</v>
      </c>
      <c r="Q169" s="27">
        <v>1</v>
      </c>
      <c r="R169" s="27">
        <v>7</v>
      </c>
      <c r="S169" s="19">
        <v>1</v>
      </c>
      <c r="T169" s="2">
        <v>0</v>
      </c>
    </row>
    <row r="170" spans="1:20" x14ac:dyDescent="0.25">
      <c r="A170" t="s">
        <v>267</v>
      </c>
      <c r="B170" t="s">
        <v>12</v>
      </c>
      <c r="C170" t="s">
        <v>283</v>
      </c>
      <c r="D170" s="21">
        <v>42944</v>
      </c>
      <c r="F170" s="2">
        <v>100</v>
      </c>
      <c r="G170" s="25">
        <v>44361</v>
      </c>
      <c r="H170" s="26">
        <v>44434</v>
      </c>
      <c r="I170" s="26" t="s">
        <v>600</v>
      </c>
      <c r="J170" s="26" t="s">
        <v>581</v>
      </c>
      <c r="K170" s="26" t="s">
        <v>581</v>
      </c>
      <c r="L170" s="26" t="s">
        <v>581</v>
      </c>
      <c r="M170" s="26" t="s">
        <v>581</v>
      </c>
      <c r="N170" t="s">
        <v>581</v>
      </c>
      <c r="O170" t="s">
        <v>581</v>
      </c>
      <c r="P170" s="27" t="s">
        <v>581</v>
      </c>
      <c r="Q170" s="27" t="s">
        <v>581</v>
      </c>
      <c r="R170" s="27" t="s">
        <v>581</v>
      </c>
      <c r="S170" s="19">
        <v>0</v>
      </c>
      <c r="T170" s="2">
        <v>0</v>
      </c>
    </row>
    <row r="171" spans="1:20" x14ac:dyDescent="0.25">
      <c r="A171" t="s">
        <v>267</v>
      </c>
      <c r="B171" t="s">
        <v>12</v>
      </c>
      <c r="C171" t="s">
        <v>284</v>
      </c>
      <c r="D171" s="21">
        <v>42957</v>
      </c>
      <c r="F171" s="2">
        <v>100</v>
      </c>
      <c r="G171" s="25">
        <v>44361</v>
      </c>
      <c r="H171" s="26">
        <v>44434</v>
      </c>
      <c r="I171" s="26" t="s">
        <v>600</v>
      </c>
      <c r="J171" s="26" t="s">
        <v>581</v>
      </c>
      <c r="K171" s="26" t="s">
        <v>581</v>
      </c>
      <c r="L171" s="26" t="s">
        <v>581</v>
      </c>
      <c r="M171" s="26" t="s">
        <v>581</v>
      </c>
      <c r="N171" t="s">
        <v>581</v>
      </c>
      <c r="O171" t="s">
        <v>581</v>
      </c>
      <c r="P171" s="27" t="s">
        <v>581</v>
      </c>
      <c r="Q171" s="27" t="s">
        <v>581</v>
      </c>
      <c r="R171" s="27" t="s">
        <v>581</v>
      </c>
      <c r="S171" s="19">
        <v>0</v>
      </c>
      <c r="T171" s="2">
        <v>0</v>
      </c>
    </row>
    <row r="172" spans="1:20" x14ac:dyDescent="0.25">
      <c r="A172" t="s">
        <v>267</v>
      </c>
      <c r="B172" t="s">
        <v>12</v>
      </c>
      <c r="C172" t="s">
        <v>285</v>
      </c>
      <c r="D172" s="21">
        <v>42962</v>
      </c>
      <c r="F172" s="2">
        <v>100</v>
      </c>
      <c r="G172" s="25">
        <v>44361</v>
      </c>
      <c r="H172" s="26">
        <v>44434</v>
      </c>
      <c r="I172" s="26" t="s">
        <v>599</v>
      </c>
      <c r="J172" s="26" t="s">
        <v>676</v>
      </c>
      <c r="K172" s="26" t="s">
        <v>581</v>
      </c>
      <c r="L172" s="26" t="s">
        <v>581</v>
      </c>
      <c r="M172" s="26" t="s">
        <v>581</v>
      </c>
      <c r="N172" s="26">
        <v>44434</v>
      </c>
      <c r="O172" s="26">
        <v>44435</v>
      </c>
      <c r="P172" s="27">
        <v>12</v>
      </c>
      <c r="Q172" s="27">
        <v>5</v>
      </c>
      <c r="R172" s="27">
        <v>7</v>
      </c>
      <c r="S172" s="19">
        <v>5</v>
      </c>
      <c r="T172" s="2">
        <v>0</v>
      </c>
    </row>
    <row r="173" spans="1:20" x14ac:dyDescent="0.25">
      <c r="A173" t="s">
        <v>267</v>
      </c>
      <c r="B173" t="s">
        <v>12</v>
      </c>
      <c r="C173" t="s">
        <v>286</v>
      </c>
      <c r="D173" s="21">
        <v>43027</v>
      </c>
      <c r="F173" s="2">
        <v>100</v>
      </c>
      <c r="G173" s="25">
        <v>44361</v>
      </c>
      <c r="H173" s="26">
        <v>44434</v>
      </c>
      <c r="I173" s="26" t="s">
        <v>599</v>
      </c>
      <c r="J173" s="26" t="s">
        <v>676</v>
      </c>
      <c r="K173" s="26" t="s">
        <v>581</v>
      </c>
      <c r="L173" s="26" t="s">
        <v>581</v>
      </c>
      <c r="M173" s="26" t="s">
        <v>581</v>
      </c>
      <c r="N173" s="26">
        <v>44434</v>
      </c>
      <c r="O173" s="26">
        <v>44435</v>
      </c>
      <c r="P173" s="27">
        <v>21</v>
      </c>
      <c r="Q173" s="27">
        <v>19</v>
      </c>
      <c r="R173" s="27">
        <v>2</v>
      </c>
      <c r="S173" s="19">
        <v>19</v>
      </c>
      <c r="T173" s="2">
        <v>0</v>
      </c>
    </row>
    <row r="174" spans="1:20" x14ac:dyDescent="0.25">
      <c r="A174" t="s">
        <v>602</v>
      </c>
      <c r="B174" t="s">
        <v>123</v>
      </c>
      <c r="C174" t="s">
        <v>603</v>
      </c>
      <c r="D174" s="21">
        <v>43004</v>
      </c>
      <c r="F174" s="2">
        <v>100</v>
      </c>
      <c r="G174" s="25">
        <v>44372</v>
      </c>
      <c r="H174" s="26">
        <v>44434</v>
      </c>
      <c r="I174" s="26" t="s">
        <v>599</v>
      </c>
      <c r="J174" s="26" t="s">
        <v>676</v>
      </c>
      <c r="K174" s="26" t="s">
        <v>581</v>
      </c>
      <c r="L174" s="26" t="s">
        <v>581</v>
      </c>
      <c r="M174" s="26" t="s">
        <v>581</v>
      </c>
      <c r="N174" s="26">
        <v>44434</v>
      </c>
      <c r="O174" s="26">
        <v>44435</v>
      </c>
      <c r="P174" s="27">
        <v>93</v>
      </c>
      <c r="Q174" s="27">
        <v>89</v>
      </c>
      <c r="R174" s="27">
        <v>4</v>
      </c>
      <c r="S174" s="19">
        <v>89</v>
      </c>
      <c r="T174" s="2">
        <v>7</v>
      </c>
    </row>
    <row r="175" spans="1:20" x14ac:dyDescent="0.25">
      <c r="A175" t="s">
        <v>287</v>
      </c>
      <c r="B175" t="s">
        <v>288</v>
      </c>
      <c r="C175" t="s">
        <v>289</v>
      </c>
      <c r="D175" s="21">
        <v>43039</v>
      </c>
      <c r="F175" s="2">
        <v>100</v>
      </c>
      <c r="G175" s="25">
        <v>44336</v>
      </c>
      <c r="H175" s="26">
        <v>44427</v>
      </c>
      <c r="I175" s="26" t="s">
        <v>600</v>
      </c>
      <c r="J175" s="26" t="s">
        <v>581</v>
      </c>
      <c r="K175" s="26" t="s">
        <v>581</v>
      </c>
      <c r="L175" s="26" t="s">
        <v>581</v>
      </c>
      <c r="M175" s="26" t="s">
        <v>581</v>
      </c>
      <c r="N175" t="s">
        <v>581</v>
      </c>
      <c r="O175" t="s">
        <v>581</v>
      </c>
      <c r="P175" s="27" t="s">
        <v>581</v>
      </c>
      <c r="Q175" s="27" t="s">
        <v>581</v>
      </c>
      <c r="R175" s="27" t="s">
        <v>581</v>
      </c>
      <c r="S175" s="19">
        <v>0</v>
      </c>
      <c r="T175" s="2">
        <v>83</v>
      </c>
    </row>
    <row r="176" spans="1:20" x14ac:dyDescent="0.25">
      <c r="A176" t="s">
        <v>287</v>
      </c>
      <c r="B176" t="s">
        <v>288</v>
      </c>
      <c r="C176" t="s">
        <v>290</v>
      </c>
      <c r="D176" s="21">
        <v>43041</v>
      </c>
      <c r="F176" s="2">
        <v>100</v>
      </c>
      <c r="G176" s="25">
        <v>44336</v>
      </c>
      <c r="H176" s="26">
        <v>44427</v>
      </c>
      <c r="I176" s="26" t="s">
        <v>600</v>
      </c>
      <c r="J176" s="26" t="s">
        <v>581</v>
      </c>
      <c r="K176" s="26" t="s">
        <v>581</v>
      </c>
      <c r="L176" s="26" t="s">
        <v>581</v>
      </c>
      <c r="M176" s="26" t="s">
        <v>581</v>
      </c>
      <c r="N176" t="s">
        <v>581</v>
      </c>
      <c r="O176" t="s">
        <v>581</v>
      </c>
      <c r="P176" s="27" t="s">
        <v>581</v>
      </c>
      <c r="Q176" s="27" t="s">
        <v>581</v>
      </c>
      <c r="R176" s="27" t="s">
        <v>581</v>
      </c>
      <c r="S176" s="19">
        <v>0</v>
      </c>
      <c r="T176" s="2">
        <v>51</v>
      </c>
    </row>
    <row r="177" spans="1:21" x14ac:dyDescent="0.25">
      <c r="A177" t="s">
        <v>287</v>
      </c>
      <c r="B177" t="s">
        <v>288</v>
      </c>
      <c r="C177" t="s">
        <v>291</v>
      </c>
      <c r="D177" s="21">
        <v>43056</v>
      </c>
      <c r="F177" s="2">
        <v>100</v>
      </c>
      <c r="G177" s="25">
        <v>44336</v>
      </c>
      <c r="H177" s="26">
        <v>44427</v>
      </c>
      <c r="I177" s="26" t="s">
        <v>600</v>
      </c>
      <c r="J177" s="26" t="s">
        <v>581</v>
      </c>
      <c r="K177" s="26" t="s">
        <v>581</v>
      </c>
      <c r="L177" s="26" t="s">
        <v>581</v>
      </c>
      <c r="M177" s="26" t="s">
        <v>581</v>
      </c>
      <c r="N177" t="s">
        <v>581</v>
      </c>
      <c r="O177" t="s">
        <v>581</v>
      </c>
      <c r="P177" s="27" t="s">
        <v>581</v>
      </c>
      <c r="Q177" s="27" t="s">
        <v>581</v>
      </c>
      <c r="R177" s="27" t="s">
        <v>581</v>
      </c>
      <c r="S177" s="19">
        <v>0</v>
      </c>
      <c r="T177" s="2">
        <v>62</v>
      </c>
    </row>
    <row r="178" spans="1:21" x14ac:dyDescent="0.25">
      <c r="A178" t="s">
        <v>287</v>
      </c>
      <c r="B178" t="s">
        <v>288</v>
      </c>
      <c r="C178" t="s">
        <v>292</v>
      </c>
      <c r="D178" s="21">
        <v>43066</v>
      </c>
      <c r="F178" s="2">
        <v>100</v>
      </c>
      <c r="G178" s="25">
        <v>44336</v>
      </c>
      <c r="H178" s="26">
        <v>44427</v>
      </c>
      <c r="I178" s="26" t="s">
        <v>600</v>
      </c>
      <c r="J178" s="26" t="s">
        <v>581</v>
      </c>
      <c r="K178" s="26" t="s">
        <v>581</v>
      </c>
      <c r="L178" s="26" t="s">
        <v>581</v>
      </c>
      <c r="M178" s="26" t="s">
        <v>581</v>
      </c>
      <c r="N178" t="s">
        <v>581</v>
      </c>
      <c r="O178" t="s">
        <v>581</v>
      </c>
      <c r="P178" s="27" t="s">
        <v>581</v>
      </c>
      <c r="Q178" s="27" t="s">
        <v>581</v>
      </c>
      <c r="R178" s="27" t="s">
        <v>581</v>
      </c>
      <c r="S178" s="19">
        <v>0</v>
      </c>
      <c r="T178" s="2">
        <v>43</v>
      </c>
    </row>
    <row r="179" spans="1:21" x14ac:dyDescent="0.25">
      <c r="A179" t="s">
        <v>293</v>
      </c>
      <c r="B179" t="s">
        <v>294</v>
      </c>
      <c r="C179" t="s">
        <v>295</v>
      </c>
      <c r="D179" s="21">
        <v>42632</v>
      </c>
      <c r="F179" s="2">
        <v>100</v>
      </c>
      <c r="G179" s="25">
        <v>44309</v>
      </c>
      <c r="H179" s="26">
        <v>44327</v>
      </c>
      <c r="I179" s="26" t="s">
        <v>599</v>
      </c>
      <c r="J179" s="26" t="s">
        <v>685</v>
      </c>
      <c r="K179">
        <v>15</v>
      </c>
      <c r="L179" s="27">
        <v>10</v>
      </c>
      <c r="M179" s="27">
        <v>5</v>
      </c>
      <c r="N179" t="s">
        <v>581</v>
      </c>
      <c r="O179" t="s">
        <v>581</v>
      </c>
      <c r="P179" s="27" t="s">
        <v>581</v>
      </c>
      <c r="Q179" s="27" t="s">
        <v>581</v>
      </c>
      <c r="R179" s="27" t="s">
        <v>581</v>
      </c>
      <c r="S179" s="19">
        <v>10</v>
      </c>
      <c r="T179" s="2">
        <v>0</v>
      </c>
    </row>
    <row r="180" spans="1:21" ht="15.75" thickBot="1" x14ac:dyDescent="0.3">
      <c r="A180" t="s">
        <v>296</v>
      </c>
      <c r="B180" t="s">
        <v>297</v>
      </c>
      <c r="C180" t="s">
        <v>298</v>
      </c>
      <c r="D180" s="21">
        <v>42647</v>
      </c>
      <c r="F180" s="2">
        <v>0</v>
      </c>
      <c r="G180" s="22" t="s">
        <v>581</v>
      </c>
      <c r="H180" s="22" t="s">
        <v>581</v>
      </c>
      <c r="I180" s="25" t="s">
        <v>581</v>
      </c>
      <c r="J180" s="26" t="s">
        <v>676</v>
      </c>
      <c r="K180" s="22" t="s">
        <v>581</v>
      </c>
      <c r="L180" s="22" t="s">
        <v>581</v>
      </c>
      <c r="M180" s="22" t="s">
        <v>581</v>
      </c>
      <c r="N180" s="47">
        <v>44299</v>
      </c>
      <c r="O180" s="47">
        <v>44301</v>
      </c>
      <c r="P180" s="27">
        <v>11</v>
      </c>
      <c r="Q180" s="27">
        <v>0</v>
      </c>
      <c r="R180" s="27">
        <v>0</v>
      </c>
      <c r="S180" s="19" t="s">
        <v>581</v>
      </c>
      <c r="T180" s="2">
        <v>0</v>
      </c>
      <c r="U180" s="42" t="s">
        <v>689</v>
      </c>
    </row>
    <row r="181" spans="1:21" x14ac:dyDescent="0.25">
      <c r="A181" t="s">
        <v>299</v>
      </c>
      <c r="B181" t="s">
        <v>300</v>
      </c>
      <c r="C181" t="s">
        <v>301</v>
      </c>
      <c r="D181" s="21">
        <v>43012</v>
      </c>
      <c r="F181" s="2">
        <v>100</v>
      </c>
      <c r="G181" s="25">
        <v>44309</v>
      </c>
      <c r="H181" t="s">
        <v>581</v>
      </c>
      <c r="I181" s="25" t="s">
        <v>599</v>
      </c>
      <c r="J181" s="26" t="s">
        <v>685</v>
      </c>
      <c r="K181">
        <v>88</v>
      </c>
      <c r="L181">
        <v>87</v>
      </c>
      <c r="M181">
        <v>1</v>
      </c>
      <c r="N181" t="s">
        <v>581</v>
      </c>
      <c r="O181" t="s">
        <v>581</v>
      </c>
      <c r="P181" s="27" t="s">
        <v>581</v>
      </c>
      <c r="Q181" s="27" t="s">
        <v>581</v>
      </c>
      <c r="R181" s="27" t="s">
        <v>581</v>
      </c>
      <c r="S181" s="19">
        <v>87</v>
      </c>
      <c r="T181" s="2">
        <v>0</v>
      </c>
    </row>
    <row r="182" spans="1:21" x14ac:dyDescent="0.25">
      <c r="A182" t="s">
        <v>299</v>
      </c>
      <c r="B182" t="s">
        <v>300</v>
      </c>
      <c r="C182" t="s">
        <v>302</v>
      </c>
      <c r="D182" s="21">
        <v>43028</v>
      </c>
      <c r="F182" s="2">
        <v>100</v>
      </c>
      <c r="G182" s="25">
        <v>44309</v>
      </c>
      <c r="H182" t="s">
        <v>581</v>
      </c>
      <c r="I182" s="25" t="s">
        <v>599</v>
      </c>
      <c r="J182" s="26" t="s">
        <v>685</v>
      </c>
      <c r="K182">
        <v>66</v>
      </c>
      <c r="L182">
        <v>64</v>
      </c>
      <c r="M182">
        <v>2</v>
      </c>
      <c r="N182" t="s">
        <v>581</v>
      </c>
      <c r="O182" t="s">
        <v>581</v>
      </c>
      <c r="P182" s="27" t="s">
        <v>581</v>
      </c>
      <c r="Q182" s="27" t="s">
        <v>581</v>
      </c>
      <c r="R182" s="27" t="s">
        <v>581</v>
      </c>
      <c r="S182" s="19">
        <v>64</v>
      </c>
      <c r="T182" s="2">
        <v>27</v>
      </c>
    </row>
    <row r="183" spans="1:21" x14ac:dyDescent="0.25">
      <c r="A183" t="s">
        <v>303</v>
      </c>
      <c r="B183" t="s">
        <v>304</v>
      </c>
      <c r="C183" t="s">
        <v>305</v>
      </c>
      <c r="D183" s="21">
        <v>42307</v>
      </c>
      <c r="F183" s="2">
        <v>100</v>
      </c>
      <c r="G183" s="25">
        <v>44321</v>
      </c>
      <c r="H183" s="26">
        <v>44356</v>
      </c>
      <c r="I183" s="26" t="s">
        <v>600</v>
      </c>
      <c r="J183" s="26" t="s">
        <v>581</v>
      </c>
      <c r="K183" s="26" t="s">
        <v>581</v>
      </c>
      <c r="L183" s="26" t="s">
        <v>581</v>
      </c>
      <c r="M183" s="26" t="s">
        <v>581</v>
      </c>
      <c r="N183" t="s">
        <v>581</v>
      </c>
      <c r="O183" t="s">
        <v>581</v>
      </c>
      <c r="P183" s="27" t="s">
        <v>581</v>
      </c>
      <c r="Q183" s="27" t="s">
        <v>581</v>
      </c>
      <c r="R183" s="27" t="s">
        <v>581</v>
      </c>
      <c r="S183" s="19">
        <v>0</v>
      </c>
      <c r="T183" s="2">
        <v>0</v>
      </c>
    </row>
    <row r="184" spans="1:21" x14ac:dyDescent="0.25">
      <c r="A184" t="s">
        <v>303</v>
      </c>
      <c r="B184" t="s">
        <v>304</v>
      </c>
      <c r="C184" t="s">
        <v>306</v>
      </c>
      <c r="D184" s="21">
        <v>43021</v>
      </c>
      <c r="F184" s="2">
        <v>106</v>
      </c>
      <c r="G184" s="25">
        <v>44321</v>
      </c>
      <c r="H184" s="26">
        <v>44356</v>
      </c>
      <c r="I184" s="26" t="s">
        <v>600</v>
      </c>
      <c r="J184" s="26" t="s">
        <v>581</v>
      </c>
      <c r="K184" s="26" t="s">
        <v>581</v>
      </c>
      <c r="L184" s="26" t="s">
        <v>581</v>
      </c>
      <c r="M184" s="26" t="s">
        <v>581</v>
      </c>
      <c r="N184" t="s">
        <v>581</v>
      </c>
      <c r="O184" t="s">
        <v>581</v>
      </c>
      <c r="P184" s="27" t="s">
        <v>581</v>
      </c>
      <c r="Q184" s="27" t="s">
        <v>581</v>
      </c>
      <c r="R184" s="27" t="s">
        <v>581</v>
      </c>
      <c r="S184" s="19">
        <v>0</v>
      </c>
      <c r="T184" s="2">
        <v>0</v>
      </c>
    </row>
    <row r="185" spans="1:21" x14ac:dyDescent="0.25">
      <c r="A185" t="s">
        <v>303</v>
      </c>
      <c r="B185" t="s">
        <v>304</v>
      </c>
      <c r="C185" t="s">
        <v>307</v>
      </c>
      <c r="D185" s="21">
        <v>43027</v>
      </c>
      <c r="F185" s="2">
        <v>100</v>
      </c>
      <c r="G185" s="25">
        <v>44321</v>
      </c>
      <c r="H185" s="26">
        <v>44356</v>
      </c>
      <c r="I185" s="26" t="s">
        <v>600</v>
      </c>
      <c r="J185" s="26" t="s">
        <v>581</v>
      </c>
      <c r="K185" s="26" t="s">
        <v>581</v>
      </c>
      <c r="L185" s="26" t="s">
        <v>581</v>
      </c>
      <c r="M185" s="26" t="s">
        <v>581</v>
      </c>
      <c r="N185" t="s">
        <v>581</v>
      </c>
      <c r="O185" t="s">
        <v>581</v>
      </c>
      <c r="P185" s="27" t="s">
        <v>581</v>
      </c>
      <c r="Q185" s="27" t="s">
        <v>581</v>
      </c>
      <c r="R185" s="27" t="s">
        <v>581</v>
      </c>
      <c r="S185" s="19">
        <v>0</v>
      </c>
      <c r="T185" s="2">
        <v>0</v>
      </c>
    </row>
    <row r="186" spans="1:21" x14ac:dyDescent="0.25">
      <c r="A186" t="s">
        <v>303</v>
      </c>
      <c r="B186" t="s">
        <v>304</v>
      </c>
      <c r="C186" t="s">
        <v>308</v>
      </c>
      <c r="D186" s="21">
        <v>43054</v>
      </c>
      <c r="F186" s="2">
        <v>100</v>
      </c>
      <c r="G186" s="25">
        <v>44321</v>
      </c>
      <c r="H186" s="26">
        <v>44356</v>
      </c>
      <c r="I186" s="26" t="s">
        <v>600</v>
      </c>
      <c r="J186" s="26" t="s">
        <v>581</v>
      </c>
      <c r="K186" s="26" t="s">
        <v>581</v>
      </c>
      <c r="L186" s="26" t="s">
        <v>581</v>
      </c>
      <c r="M186" s="26" t="s">
        <v>581</v>
      </c>
      <c r="N186" t="s">
        <v>581</v>
      </c>
      <c r="O186" t="s">
        <v>581</v>
      </c>
      <c r="P186" s="27" t="s">
        <v>581</v>
      </c>
      <c r="Q186" s="27" t="s">
        <v>581</v>
      </c>
      <c r="R186" s="27" t="s">
        <v>581</v>
      </c>
      <c r="S186" s="19">
        <v>0</v>
      </c>
      <c r="T186" s="2">
        <v>0</v>
      </c>
    </row>
    <row r="187" spans="1:21" x14ac:dyDescent="0.25">
      <c r="A187" t="s">
        <v>303</v>
      </c>
      <c r="B187" t="s">
        <v>304</v>
      </c>
      <c r="C187" t="s">
        <v>309</v>
      </c>
      <c r="D187" s="21">
        <v>43060</v>
      </c>
      <c r="F187" s="2">
        <v>108</v>
      </c>
      <c r="G187" s="25">
        <v>44321</v>
      </c>
      <c r="H187" s="26">
        <v>44356</v>
      </c>
      <c r="I187" s="26" t="s">
        <v>600</v>
      </c>
      <c r="J187" s="26" t="s">
        <v>581</v>
      </c>
      <c r="K187" s="26" t="s">
        <v>581</v>
      </c>
      <c r="L187" s="26" t="s">
        <v>581</v>
      </c>
      <c r="M187" s="26" t="s">
        <v>581</v>
      </c>
      <c r="N187" t="s">
        <v>581</v>
      </c>
      <c r="O187" t="s">
        <v>581</v>
      </c>
      <c r="P187" s="27" t="s">
        <v>581</v>
      </c>
      <c r="Q187" s="27" t="s">
        <v>581</v>
      </c>
      <c r="R187" s="27" t="s">
        <v>581</v>
      </c>
      <c r="S187" s="19">
        <v>0</v>
      </c>
      <c r="T187" s="2">
        <v>0</v>
      </c>
    </row>
    <row r="188" spans="1:21" x14ac:dyDescent="0.25">
      <c r="A188" t="s">
        <v>310</v>
      </c>
      <c r="B188" t="s">
        <v>311</v>
      </c>
      <c r="C188" t="s">
        <v>312</v>
      </c>
      <c r="D188" s="21">
        <v>43048</v>
      </c>
      <c r="F188" s="2">
        <v>100</v>
      </c>
      <c r="G188" s="25">
        <v>44349</v>
      </c>
      <c r="H188" s="26">
        <v>44427</v>
      </c>
      <c r="I188" s="26" t="s">
        <v>599</v>
      </c>
      <c r="J188" s="26" t="s">
        <v>676</v>
      </c>
      <c r="K188" s="26" t="s">
        <v>581</v>
      </c>
      <c r="L188" s="26" t="s">
        <v>581</v>
      </c>
      <c r="M188" s="26" t="s">
        <v>581</v>
      </c>
      <c r="N188" s="26">
        <v>44427</v>
      </c>
      <c r="O188" s="26">
        <v>44428</v>
      </c>
      <c r="P188" s="27">
        <v>66</v>
      </c>
      <c r="Q188" s="27">
        <v>58</v>
      </c>
      <c r="R188" s="27">
        <v>8</v>
      </c>
      <c r="S188" s="19">
        <v>58</v>
      </c>
      <c r="T188" s="2">
        <v>0</v>
      </c>
    </row>
    <row r="189" spans="1:21" x14ac:dyDescent="0.25">
      <c r="A189" t="s">
        <v>313</v>
      </c>
      <c r="B189" t="s">
        <v>314</v>
      </c>
      <c r="C189" t="s">
        <v>315</v>
      </c>
      <c r="D189" s="21">
        <v>43056</v>
      </c>
      <c r="F189" s="2">
        <v>100</v>
      </c>
      <c r="G189" s="25">
        <v>44319</v>
      </c>
      <c r="H189" s="26">
        <v>44371</v>
      </c>
      <c r="I189" s="26" t="s">
        <v>599</v>
      </c>
      <c r="J189" s="26" t="s">
        <v>676</v>
      </c>
      <c r="K189" s="26" t="s">
        <v>581</v>
      </c>
      <c r="L189" s="26" t="s">
        <v>581</v>
      </c>
      <c r="M189" s="26" t="s">
        <v>581</v>
      </c>
      <c r="N189" s="26">
        <v>44371</v>
      </c>
      <c r="O189" s="26">
        <v>44372</v>
      </c>
      <c r="P189" s="27">
        <v>99</v>
      </c>
      <c r="Q189" s="27">
        <v>71</v>
      </c>
      <c r="R189" s="27">
        <v>28</v>
      </c>
      <c r="S189" s="19">
        <v>71</v>
      </c>
      <c r="T189" s="2">
        <v>0</v>
      </c>
    </row>
    <row r="190" spans="1:21" x14ac:dyDescent="0.25">
      <c r="A190" t="s">
        <v>316</v>
      </c>
      <c r="B190" t="s">
        <v>317</v>
      </c>
      <c r="C190" t="s">
        <v>318</v>
      </c>
      <c r="D190" s="21">
        <v>43047</v>
      </c>
      <c r="F190" s="2">
        <v>100</v>
      </c>
      <c r="G190" s="25">
        <v>44362</v>
      </c>
      <c r="H190" s="26">
        <v>44413</v>
      </c>
      <c r="I190" s="26" t="s">
        <v>599</v>
      </c>
      <c r="J190" s="26" t="s">
        <v>676</v>
      </c>
      <c r="K190" s="26" t="s">
        <v>581</v>
      </c>
      <c r="L190" s="26" t="s">
        <v>581</v>
      </c>
      <c r="M190" s="26" t="s">
        <v>581</v>
      </c>
      <c r="N190" s="26">
        <v>44413</v>
      </c>
      <c r="O190" s="26">
        <v>44414</v>
      </c>
      <c r="P190" s="27">
        <v>43</v>
      </c>
      <c r="Q190" s="27">
        <v>17</v>
      </c>
      <c r="R190" s="27">
        <v>26</v>
      </c>
      <c r="S190" s="19">
        <v>17</v>
      </c>
      <c r="T190" s="2">
        <v>0</v>
      </c>
    </row>
    <row r="191" spans="1:21" x14ac:dyDescent="0.25">
      <c r="A191" t="s">
        <v>319</v>
      </c>
      <c r="B191" t="s">
        <v>320</v>
      </c>
      <c r="C191" t="s">
        <v>321</v>
      </c>
      <c r="D191" s="21">
        <v>42641</v>
      </c>
      <c r="F191" s="2">
        <v>98</v>
      </c>
      <c r="G191" s="25">
        <v>44330</v>
      </c>
      <c r="H191" s="26">
        <v>44364</v>
      </c>
      <c r="I191" s="26" t="s">
        <v>600</v>
      </c>
      <c r="J191" s="26" t="s">
        <v>581</v>
      </c>
      <c r="K191" s="26" t="s">
        <v>581</v>
      </c>
      <c r="L191" s="26" t="s">
        <v>581</v>
      </c>
      <c r="M191" s="26" t="s">
        <v>581</v>
      </c>
      <c r="N191" t="s">
        <v>581</v>
      </c>
      <c r="O191" t="s">
        <v>581</v>
      </c>
      <c r="P191" s="27" t="s">
        <v>581</v>
      </c>
      <c r="Q191" s="27" t="s">
        <v>581</v>
      </c>
      <c r="R191" s="27" t="s">
        <v>581</v>
      </c>
      <c r="S191" s="19">
        <v>0</v>
      </c>
      <c r="T191" s="2">
        <v>0</v>
      </c>
    </row>
    <row r="192" spans="1:21" x14ac:dyDescent="0.25">
      <c r="A192" t="s">
        <v>319</v>
      </c>
      <c r="B192" t="s">
        <v>320</v>
      </c>
      <c r="C192" t="s">
        <v>322</v>
      </c>
      <c r="D192" s="21">
        <v>42997</v>
      </c>
      <c r="F192" s="2">
        <v>64</v>
      </c>
      <c r="G192" s="25">
        <v>44330</v>
      </c>
      <c r="H192" s="26">
        <v>44364</v>
      </c>
      <c r="I192" s="26" t="s">
        <v>600</v>
      </c>
      <c r="J192" s="26" t="s">
        <v>581</v>
      </c>
      <c r="K192" s="26" t="s">
        <v>581</v>
      </c>
      <c r="L192" s="26" t="s">
        <v>581</v>
      </c>
      <c r="M192" s="26" t="s">
        <v>581</v>
      </c>
      <c r="N192" t="s">
        <v>581</v>
      </c>
      <c r="O192" t="s">
        <v>581</v>
      </c>
      <c r="P192" s="27" t="s">
        <v>581</v>
      </c>
      <c r="Q192" s="27" t="s">
        <v>581</v>
      </c>
      <c r="R192" s="27" t="s">
        <v>581</v>
      </c>
      <c r="S192" s="19">
        <v>0</v>
      </c>
      <c r="T192" s="2">
        <v>0</v>
      </c>
    </row>
    <row r="193" spans="1:21" x14ac:dyDescent="0.25">
      <c r="A193" t="s">
        <v>319</v>
      </c>
      <c r="B193" t="s">
        <v>323</v>
      </c>
      <c r="C193" t="s">
        <v>324</v>
      </c>
      <c r="D193" s="21">
        <v>42632</v>
      </c>
      <c r="F193" s="2">
        <v>74</v>
      </c>
      <c r="G193" s="25">
        <v>44330</v>
      </c>
      <c r="H193" s="26">
        <v>44364</v>
      </c>
      <c r="I193" s="26" t="s">
        <v>600</v>
      </c>
      <c r="J193" s="26" t="s">
        <v>581</v>
      </c>
      <c r="K193" s="26" t="s">
        <v>581</v>
      </c>
      <c r="L193" s="26" t="s">
        <v>581</v>
      </c>
      <c r="M193" s="26" t="s">
        <v>581</v>
      </c>
      <c r="N193" t="s">
        <v>581</v>
      </c>
      <c r="O193" t="s">
        <v>581</v>
      </c>
      <c r="P193" s="27" t="s">
        <v>581</v>
      </c>
      <c r="Q193" s="27" t="s">
        <v>581</v>
      </c>
      <c r="R193" s="27" t="s">
        <v>581</v>
      </c>
      <c r="S193" s="19">
        <v>0</v>
      </c>
      <c r="T193" s="2">
        <v>0</v>
      </c>
    </row>
    <row r="194" spans="1:21" x14ac:dyDescent="0.25">
      <c r="A194" t="s">
        <v>319</v>
      </c>
      <c r="B194" t="s">
        <v>323</v>
      </c>
      <c r="C194" t="s">
        <v>325</v>
      </c>
      <c r="D194" s="21">
        <v>42632</v>
      </c>
      <c r="F194" s="2">
        <v>94</v>
      </c>
      <c r="G194" s="25">
        <v>44330</v>
      </c>
      <c r="H194" s="26">
        <v>44364</v>
      </c>
      <c r="I194" s="26" t="s">
        <v>600</v>
      </c>
      <c r="J194" s="26" t="s">
        <v>581</v>
      </c>
      <c r="K194" s="26" t="s">
        <v>581</v>
      </c>
      <c r="L194" s="26" t="s">
        <v>581</v>
      </c>
      <c r="M194" s="26" t="s">
        <v>581</v>
      </c>
      <c r="N194" t="s">
        <v>581</v>
      </c>
      <c r="O194" t="s">
        <v>581</v>
      </c>
      <c r="P194" s="27" t="s">
        <v>581</v>
      </c>
      <c r="Q194" s="27" t="s">
        <v>581</v>
      </c>
      <c r="R194" s="27" t="s">
        <v>581</v>
      </c>
      <c r="S194" s="19">
        <v>0</v>
      </c>
      <c r="T194" s="2">
        <v>0</v>
      </c>
    </row>
    <row r="195" spans="1:21" x14ac:dyDescent="0.25">
      <c r="A195" t="s">
        <v>319</v>
      </c>
      <c r="B195" t="s">
        <v>323</v>
      </c>
      <c r="C195" t="s">
        <v>326</v>
      </c>
      <c r="D195" s="21">
        <v>42649</v>
      </c>
      <c r="F195" s="2">
        <v>80</v>
      </c>
      <c r="G195" s="25">
        <v>44330</v>
      </c>
      <c r="H195" s="26">
        <v>44364</v>
      </c>
      <c r="I195" s="26" t="s">
        <v>600</v>
      </c>
      <c r="J195" s="26" t="s">
        <v>581</v>
      </c>
      <c r="K195" s="26" t="s">
        <v>581</v>
      </c>
      <c r="L195" s="26" t="s">
        <v>581</v>
      </c>
      <c r="M195" s="26" t="s">
        <v>581</v>
      </c>
      <c r="N195" t="s">
        <v>581</v>
      </c>
      <c r="O195" t="s">
        <v>581</v>
      </c>
      <c r="P195" s="27" t="s">
        <v>581</v>
      </c>
      <c r="Q195" s="27" t="s">
        <v>581</v>
      </c>
      <c r="R195" s="27" t="s">
        <v>581</v>
      </c>
      <c r="S195" s="19">
        <v>0</v>
      </c>
      <c r="T195" s="2">
        <v>0</v>
      </c>
    </row>
    <row r="196" spans="1:21" x14ac:dyDescent="0.25">
      <c r="A196" t="s">
        <v>319</v>
      </c>
      <c r="B196" t="s">
        <v>323</v>
      </c>
      <c r="C196" t="s">
        <v>327</v>
      </c>
      <c r="D196" s="21">
        <v>42661</v>
      </c>
      <c r="F196" s="2">
        <v>100</v>
      </c>
      <c r="G196" s="25">
        <v>44336</v>
      </c>
      <c r="H196" s="26">
        <v>44371</v>
      </c>
      <c r="I196" s="26" t="s">
        <v>600</v>
      </c>
      <c r="J196" s="26" t="s">
        <v>581</v>
      </c>
      <c r="K196" s="26" t="s">
        <v>581</v>
      </c>
      <c r="L196" s="26" t="s">
        <v>581</v>
      </c>
      <c r="M196" s="26" t="s">
        <v>581</v>
      </c>
      <c r="N196" t="s">
        <v>581</v>
      </c>
      <c r="O196" t="s">
        <v>581</v>
      </c>
      <c r="P196" s="27" t="s">
        <v>581</v>
      </c>
      <c r="Q196" s="27" t="s">
        <v>581</v>
      </c>
      <c r="R196" s="27" t="s">
        <v>581</v>
      </c>
      <c r="S196" s="19">
        <v>0</v>
      </c>
      <c r="T196" s="2">
        <v>0</v>
      </c>
    </row>
    <row r="197" spans="1:21" x14ac:dyDescent="0.25">
      <c r="A197" t="s">
        <v>319</v>
      </c>
      <c r="B197" t="s">
        <v>323</v>
      </c>
      <c r="C197" t="s">
        <v>328</v>
      </c>
      <c r="D197" s="21">
        <v>43040</v>
      </c>
      <c r="F197" s="2">
        <v>100</v>
      </c>
      <c r="G197" s="25">
        <v>44336</v>
      </c>
      <c r="H197" s="26">
        <v>44371</v>
      </c>
      <c r="I197" s="26" t="s">
        <v>600</v>
      </c>
      <c r="J197" s="26" t="s">
        <v>581</v>
      </c>
      <c r="K197" s="26" t="s">
        <v>581</v>
      </c>
      <c r="L197" s="26" t="s">
        <v>581</v>
      </c>
      <c r="M197" s="26" t="s">
        <v>581</v>
      </c>
      <c r="N197" t="s">
        <v>581</v>
      </c>
      <c r="O197" t="s">
        <v>581</v>
      </c>
      <c r="P197" s="27" t="s">
        <v>581</v>
      </c>
      <c r="Q197" s="27" t="s">
        <v>581</v>
      </c>
      <c r="R197" s="27" t="s">
        <v>581</v>
      </c>
      <c r="S197" s="19">
        <v>0</v>
      </c>
      <c r="T197" s="2">
        <v>0</v>
      </c>
    </row>
    <row r="198" spans="1:21" x14ac:dyDescent="0.25">
      <c r="A198" t="s">
        <v>319</v>
      </c>
      <c r="B198" t="s">
        <v>323</v>
      </c>
      <c r="C198" t="s">
        <v>329</v>
      </c>
      <c r="D198" s="21">
        <v>43053</v>
      </c>
      <c r="F198" s="2">
        <v>102</v>
      </c>
      <c r="G198" s="25">
        <v>44336</v>
      </c>
      <c r="H198" s="26">
        <v>44371</v>
      </c>
      <c r="I198" s="26" t="s">
        <v>600</v>
      </c>
      <c r="J198" s="26" t="s">
        <v>581</v>
      </c>
      <c r="K198" s="26" t="s">
        <v>581</v>
      </c>
      <c r="L198" s="26" t="s">
        <v>581</v>
      </c>
      <c r="M198" s="26" t="s">
        <v>581</v>
      </c>
      <c r="N198" t="s">
        <v>581</v>
      </c>
      <c r="O198" t="s">
        <v>581</v>
      </c>
      <c r="P198" s="27" t="s">
        <v>581</v>
      </c>
      <c r="Q198" s="27" t="s">
        <v>581</v>
      </c>
      <c r="R198" s="27" t="s">
        <v>581</v>
      </c>
      <c r="S198" s="19">
        <v>0</v>
      </c>
      <c r="T198" s="2">
        <v>1</v>
      </c>
    </row>
    <row r="199" spans="1:21" x14ac:dyDescent="0.25">
      <c r="A199" t="s">
        <v>319</v>
      </c>
      <c r="B199" t="s">
        <v>323</v>
      </c>
      <c r="C199" t="s">
        <v>330</v>
      </c>
      <c r="D199" s="21">
        <v>43060</v>
      </c>
      <c r="F199" s="2">
        <v>100</v>
      </c>
      <c r="G199" s="25">
        <v>44336</v>
      </c>
      <c r="H199" s="26">
        <v>44371</v>
      </c>
      <c r="I199" s="26" t="s">
        <v>600</v>
      </c>
      <c r="J199" s="26" t="s">
        <v>581</v>
      </c>
      <c r="K199" s="26" t="s">
        <v>581</v>
      </c>
      <c r="L199" s="26" t="s">
        <v>581</v>
      </c>
      <c r="M199" s="26" t="s">
        <v>581</v>
      </c>
      <c r="N199" t="s">
        <v>581</v>
      </c>
      <c r="O199" t="s">
        <v>581</v>
      </c>
      <c r="P199" s="27" t="s">
        <v>581</v>
      </c>
      <c r="Q199" s="27" t="s">
        <v>581</v>
      </c>
      <c r="R199" s="27" t="s">
        <v>581</v>
      </c>
      <c r="S199" s="19">
        <v>0</v>
      </c>
      <c r="T199" s="2">
        <v>0</v>
      </c>
    </row>
    <row r="200" spans="1:21" x14ac:dyDescent="0.25">
      <c r="A200" t="s">
        <v>331</v>
      </c>
      <c r="B200" t="s">
        <v>332</v>
      </c>
      <c r="C200" t="s">
        <v>333</v>
      </c>
      <c r="D200" s="21">
        <v>42661</v>
      </c>
      <c r="F200" s="2">
        <v>0</v>
      </c>
      <c r="G200" s="22" t="s">
        <v>581</v>
      </c>
      <c r="H200" s="22" t="s">
        <v>581</v>
      </c>
      <c r="I200" s="25" t="s">
        <v>581</v>
      </c>
      <c r="J200" s="22" t="s">
        <v>581</v>
      </c>
      <c r="K200" s="26" t="s">
        <v>581</v>
      </c>
      <c r="L200" s="26" t="s">
        <v>581</v>
      </c>
      <c r="M200" s="26" t="s">
        <v>581</v>
      </c>
      <c r="N200" s="22" t="s">
        <v>581</v>
      </c>
      <c r="O200" t="s">
        <v>581</v>
      </c>
      <c r="P200" s="27" t="s">
        <v>581</v>
      </c>
      <c r="Q200" s="27" t="s">
        <v>581</v>
      </c>
      <c r="R200" s="27" t="s">
        <v>581</v>
      </c>
      <c r="S200" s="19" t="s">
        <v>581</v>
      </c>
      <c r="T200" s="2" t="s">
        <v>581</v>
      </c>
      <c r="U200" t="s">
        <v>694</v>
      </c>
    </row>
    <row r="201" spans="1:21" x14ac:dyDescent="0.25">
      <c r="A201" t="s">
        <v>334</v>
      </c>
      <c r="B201" t="s">
        <v>335</v>
      </c>
      <c r="C201" t="s">
        <v>336</v>
      </c>
      <c r="D201" s="21">
        <v>42647</v>
      </c>
      <c r="F201" s="2">
        <v>100</v>
      </c>
      <c r="G201" s="25">
        <v>44368</v>
      </c>
      <c r="H201" s="26">
        <v>44431</v>
      </c>
      <c r="I201" s="26" t="s">
        <v>600</v>
      </c>
      <c r="J201" s="26" t="s">
        <v>581</v>
      </c>
      <c r="K201" s="26" t="s">
        <v>581</v>
      </c>
      <c r="L201" s="26" t="s">
        <v>581</v>
      </c>
      <c r="M201" s="26" t="s">
        <v>581</v>
      </c>
      <c r="N201" t="s">
        <v>581</v>
      </c>
      <c r="O201" t="s">
        <v>581</v>
      </c>
      <c r="P201" s="27" t="s">
        <v>581</v>
      </c>
      <c r="Q201" s="27" t="s">
        <v>581</v>
      </c>
      <c r="R201" s="27" t="s">
        <v>581</v>
      </c>
      <c r="S201" s="19">
        <v>0</v>
      </c>
      <c r="T201" s="2">
        <v>0</v>
      </c>
    </row>
    <row r="202" spans="1:21" x14ac:dyDescent="0.25">
      <c r="A202" t="s">
        <v>337</v>
      </c>
      <c r="B202" t="s">
        <v>294</v>
      </c>
      <c r="C202" t="s">
        <v>338</v>
      </c>
      <c r="D202" s="21">
        <v>42998</v>
      </c>
      <c r="E202" t="s">
        <v>581</v>
      </c>
      <c r="F202" s="2">
        <v>0</v>
      </c>
      <c r="G202" s="22" t="s">
        <v>581</v>
      </c>
      <c r="H202" s="22" t="s">
        <v>581</v>
      </c>
      <c r="I202" s="25" t="s">
        <v>581</v>
      </c>
      <c r="J202" s="22" t="s">
        <v>581</v>
      </c>
      <c r="K202" s="26" t="s">
        <v>581</v>
      </c>
      <c r="L202" s="26" t="s">
        <v>581</v>
      </c>
      <c r="M202" s="26" t="s">
        <v>581</v>
      </c>
      <c r="N202" s="22" t="s">
        <v>581</v>
      </c>
      <c r="O202" s="22" t="s">
        <v>581</v>
      </c>
      <c r="P202" s="23" t="s">
        <v>581</v>
      </c>
      <c r="Q202" s="23" t="s">
        <v>581</v>
      </c>
      <c r="R202" s="23" t="s">
        <v>581</v>
      </c>
      <c r="S202" s="19" t="s">
        <v>581</v>
      </c>
      <c r="T202" s="2" t="s">
        <v>581</v>
      </c>
      <c r="U202" s="2" t="s">
        <v>690</v>
      </c>
    </row>
    <row r="203" spans="1:21" x14ac:dyDescent="0.25">
      <c r="A203" t="s">
        <v>339</v>
      </c>
      <c r="B203" t="s">
        <v>340</v>
      </c>
      <c r="C203" t="s">
        <v>341</v>
      </c>
      <c r="D203" s="21">
        <v>42986</v>
      </c>
      <c r="F203" s="2">
        <v>100</v>
      </c>
      <c r="G203" s="25">
        <v>44368</v>
      </c>
      <c r="H203" s="26">
        <v>44413</v>
      </c>
      <c r="I203" s="26" t="s">
        <v>599</v>
      </c>
      <c r="J203" s="26" t="s">
        <v>676</v>
      </c>
      <c r="K203" s="26" t="s">
        <v>581</v>
      </c>
      <c r="L203" s="26" t="s">
        <v>581</v>
      </c>
      <c r="M203" s="26" t="s">
        <v>581</v>
      </c>
      <c r="N203" s="26">
        <v>44413</v>
      </c>
      <c r="O203" s="26">
        <v>44414</v>
      </c>
      <c r="P203" s="23">
        <v>72</v>
      </c>
      <c r="Q203" s="27">
        <v>34</v>
      </c>
      <c r="R203" s="27">
        <v>38</v>
      </c>
      <c r="S203" s="19">
        <v>34</v>
      </c>
      <c r="T203" s="2">
        <v>1</v>
      </c>
    </row>
    <row r="204" spans="1:21" x14ac:dyDescent="0.25">
      <c r="A204" t="s">
        <v>339</v>
      </c>
      <c r="B204" t="s">
        <v>340</v>
      </c>
      <c r="C204" t="s">
        <v>342</v>
      </c>
      <c r="D204" s="21">
        <v>42998</v>
      </c>
      <c r="F204" s="2">
        <v>100</v>
      </c>
      <c r="G204" s="25">
        <v>44368</v>
      </c>
      <c r="H204" s="26">
        <v>44413</v>
      </c>
      <c r="I204" s="26" t="s">
        <v>599</v>
      </c>
      <c r="J204" s="26" t="s">
        <v>676</v>
      </c>
      <c r="K204" s="26" t="s">
        <v>581</v>
      </c>
      <c r="L204" s="26" t="s">
        <v>581</v>
      </c>
      <c r="M204" s="26" t="s">
        <v>581</v>
      </c>
      <c r="N204" s="26">
        <v>44413</v>
      </c>
      <c r="O204" s="26">
        <v>44414</v>
      </c>
      <c r="P204" s="27">
        <v>83</v>
      </c>
      <c r="Q204" s="27">
        <v>41</v>
      </c>
      <c r="R204" s="27">
        <v>42</v>
      </c>
      <c r="S204" s="19">
        <v>41</v>
      </c>
      <c r="T204" s="2">
        <v>0</v>
      </c>
    </row>
    <row r="205" spans="1:21" x14ac:dyDescent="0.25">
      <c r="A205" t="s">
        <v>339</v>
      </c>
      <c r="B205" t="s">
        <v>340</v>
      </c>
      <c r="C205" t="s">
        <v>343</v>
      </c>
      <c r="D205" s="21">
        <v>43000</v>
      </c>
      <c r="F205" s="2">
        <v>100</v>
      </c>
      <c r="G205" s="25">
        <v>44372</v>
      </c>
      <c r="H205" s="26">
        <v>44413</v>
      </c>
      <c r="I205" s="26" t="s">
        <v>599</v>
      </c>
      <c r="J205" s="26" t="s">
        <v>676</v>
      </c>
      <c r="K205" s="26" t="s">
        <v>581</v>
      </c>
      <c r="L205" s="26" t="s">
        <v>581</v>
      </c>
      <c r="M205" s="26" t="s">
        <v>581</v>
      </c>
      <c r="N205" s="26">
        <v>44413</v>
      </c>
      <c r="O205" s="26">
        <v>44414</v>
      </c>
      <c r="P205" s="27">
        <v>100</v>
      </c>
      <c r="Q205" s="27">
        <v>67</v>
      </c>
      <c r="R205" s="27">
        <v>33</v>
      </c>
      <c r="S205" s="19">
        <v>67</v>
      </c>
      <c r="T205" s="2">
        <v>0</v>
      </c>
    </row>
    <row r="206" spans="1:21" x14ac:dyDescent="0.25">
      <c r="A206" t="s">
        <v>344</v>
      </c>
      <c r="B206" t="s">
        <v>345</v>
      </c>
      <c r="C206" t="s">
        <v>346</v>
      </c>
      <c r="D206" s="21">
        <v>42634</v>
      </c>
      <c r="F206" s="2">
        <v>104</v>
      </c>
      <c r="G206" s="25">
        <v>44309</v>
      </c>
      <c r="H206" s="26">
        <v>44323</v>
      </c>
      <c r="I206" s="26" t="s">
        <v>599</v>
      </c>
      <c r="J206" s="26" t="s">
        <v>685</v>
      </c>
      <c r="K206" s="27">
        <v>100</v>
      </c>
      <c r="L206" s="27">
        <v>87</v>
      </c>
      <c r="M206" s="27">
        <v>13</v>
      </c>
      <c r="N206" t="s">
        <v>581</v>
      </c>
      <c r="O206" t="s">
        <v>581</v>
      </c>
      <c r="P206" s="27" t="s">
        <v>581</v>
      </c>
      <c r="Q206" s="27" t="s">
        <v>581</v>
      </c>
      <c r="R206" s="27" t="s">
        <v>581</v>
      </c>
      <c r="S206" s="19">
        <v>87</v>
      </c>
      <c r="T206" s="2">
        <v>1</v>
      </c>
    </row>
    <row r="207" spans="1:21" x14ac:dyDescent="0.25">
      <c r="A207" t="s">
        <v>344</v>
      </c>
      <c r="B207" t="s">
        <v>345</v>
      </c>
      <c r="C207" t="s">
        <v>347</v>
      </c>
      <c r="D207" s="21">
        <v>42634</v>
      </c>
      <c r="F207" s="2">
        <v>100</v>
      </c>
      <c r="G207" s="25">
        <v>44309</v>
      </c>
      <c r="H207" s="26">
        <v>44323</v>
      </c>
      <c r="I207" t="s">
        <v>599</v>
      </c>
      <c r="J207" s="26" t="s">
        <v>685</v>
      </c>
      <c r="K207">
        <v>98</v>
      </c>
      <c r="L207">
        <v>83</v>
      </c>
      <c r="M207">
        <v>15</v>
      </c>
      <c r="N207" t="s">
        <v>581</v>
      </c>
      <c r="O207" t="s">
        <v>581</v>
      </c>
      <c r="P207" s="27" t="s">
        <v>581</v>
      </c>
      <c r="Q207" s="27" t="s">
        <v>581</v>
      </c>
      <c r="R207" s="27" t="s">
        <v>581</v>
      </c>
      <c r="S207" s="19">
        <v>83</v>
      </c>
      <c r="T207" s="2">
        <v>0</v>
      </c>
    </row>
    <row r="208" spans="1:21" x14ac:dyDescent="0.25">
      <c r="A208" t="s">
        <v>348</v>
      </c>
      <c r="B208" t="s">
        <v>349</v>
      </c>
      <c r="C208" t="s">
        <v>350</v>
      </c>
      <c r="D208" s="21">
        <v>42349</v>
      </c>
      <c r="F208" s="2">
        <v>100</v>
      </c>
      <c r="G208" s="25">
        <v>44309</v>
      </c>
      <c r="H208" s="26">
        <v>44368</v>
      </c>
      <c r="I208" s="26" t="s">
        <v>599</v>
      </c>
      <c r="J208" s="26" t="s">
        <v>676</v>
      </c>
      <c r="K208" s="26" t="s">
        <v>581</v>
      </c>
      <c r="L208" s="26" t="s">
        <v>581</v>
      </c>
      <c r="M208" s="26" t="s">
        <v>581</v>
      </c>
      <c r="N208" s="26">
        <v>44368</v>
      </c>
      <c r="O208" s="26">
        <v>44369</v>
      </c>
      <c r="P208" s="27">
        <v>28</v>
      </c>
      <c r="Q208" s="27">
        <v>15</v>
      </c>
      <c r="R208" s="27">
        <v>13</v>
      </c>
      <c r="S208" s="19">
        <v>15</v>
      </c>
      <c r="T208" s="2">
        <v>0</v>
      </c>
    </row>
    <row r="209" spans="1:21" x14ac:dyDescent="0.25">
      <c r="A209" t="s">
        <v>348</v>
      </c>
      <c r="B209" t="s">
        <v>351</v>
      </c>
      <c r="C209" t="s">
        <v>352</v>
      </c>
      <c r="D209" s="21">
        <v>42319</v>
      </c>
      <c r="F209" s="2">
        <v>100</v>
      </c>
      <c r="G209" s="25">
        <v>44309</v>
      </c>
      <c r="H209" s="26">
        <v>44368</v>
      </c>
      <c r="I209" s="26" t="s">
        <v>599</v>
      </c>
      <c r="J209" s="26" t="s">
        <v>676</v>
      </c>
      <c r="K209" s="26" t="s">
        <v>581</v>
      </c>
      <c r="L209" s="26" t="s">
        <v>581</v>
      </c>
      <c r="M209" s="26" t="s">
        <v>581</v>
      </c>
      <c r="N209" s="26">
        <v>44368</v>
      </c>
      <c r="O209" s="26">
        <v>44369</v>
      </c>
      <c r="P209" s="27">
        <v>59</v>
      </c>
      <c r="Q209" s="27">
        <v>6</v>
      </c>
      <c r="R209" s="27">
        <v>53</v>
      </c>
      <c r="S209" s="19">
        <v>6</v>
      </c>
      <c r="T209" s="2">
        <v>0</v>
      </c>
    </row>
    <row r="210" spans="1:21" x14ac:dyDescent="0.25">
      <c r="A210" t="s">
        <v>353</v>
      </c>
      <c r="B210" t="s">
        <v>354</v>
      </c>
      <c r="C210" t="s">
        <v>355</v>
      </c>
      <c r="D210" s="21">
        <v>42875</v>
      </c>
      <c r="F210" s="2">
        <v>100</v>
      </c>
      <c r="G210" s="25">
        <v>44370</v>
      </c>
      <c r="H210" s="26">
        <v>44432</v>
      </c>
      <c r="I210" s="26" t="s">
        <v>599</v>
      </c>
      <c r="J210" s="26" t="s">
        <v>676</v>
      </c>
      <c r="K210" s="26" t="s">
        <v>581</v>
      </c>
      <c r="L210" s="26" t="s">
        <v>581</v>
      </c>
      <c r="M210" s="26" t="s">
        <v>581</v>
      </c>
      <c r="N210" s="26">
        <v>44432</v>
      </c>
      <c r="O210" s="26">
        <v>44433</v>
      </c>
      <c r="P210" s="27">
        <v>45</v>
      </c>
      <c r="Q210" s="27">
        <v>20</v>
      </c>
      <c r="R210" s="27">
        <v>25</v>
      </c>
      <c r="S210" s="19">
        <v>20</v>
      </c>
      <c r="T210" s="2">
        <v>0</v>
      </c>
    </row>
    <row r="211" spans="1:21" x14ac:dyDescent="0.25">
      <c r="A211" t="s">
        <v>356</v>
      </c>
      <c r="B211" t="s">
        <v>357</v>
      </c>
      <c r="C211" t="s">
        <v>358</v>
      </c>
      <c r="D211" s="21">
        <v>42251</v>
      </c>
      <c r="F211" s="2">
        <v>100</v>
      </c>
      <c r="G211" s="25">
        <v>44370</v>
      </c>
      <c r="H211" s="26">
        <v>44432</v>
      </c>
      <c r="I211" s="26" t="s">
        <v>599</v>
      </c>
      <c r="J211" s="26" t="s">
        <v>676</v>
      </c>
      <c r="K211" s="26" t="s">
        <v>581</v>
      </c>
      <c r="L211" s="26" t="s">
        <v>581</v>
      </c>
      <c r="M211" s="26" t="s">
        <v>581</v>
      </c>
      <c r="N211" s="26">
        <v>44432</v>
      </c>
      <c r="O211" s="26">
        <v>44433</v>
      </c>
      <c r="P211" s="27">
        <v>36</v>
      </c>
      <c r="Q211" s="27">
        <v>31</v>
      </c>
      <c r="R211" s="27">
        <v>5</v>
      </c>
      <c r="S211" s="19">
        <v>31</v>
      </c>
      <c r="T211" s="2">
        <v>0</v>
      </c>
    </row>
    <row r="212" spans="1:21" x14ac:dyDescent="0.25">
      <c r="A212" t="s">
        <v>359</v>
      </c>
      <c r="B212" t="s">
        <v>360</v>
      </c>
      <c r="C212" t="s">
        <v>361</v>
      </c>
      <c r="D212" s="21">
        <v>42641</v>
      </c>
      <c r="F212" s="2">
        <v>100</v>
      </c>
      <c r="G212" s="25">
        <v>44368</v>
      </c>
      <c r="H212" s="26">
        <v>44396</v>
      </c>
      <c r="I212" s="26" t="s">
        <v>599</v>
      </c>
      <c r="J212" s="26" t="s">
        <v>676</v>
      </c>
      <c r="K212" s="26" t="s">
        <v>581</v>
      </c>
      <c r="L212" s="26" t="s">
        <v>581</v>
      </c>
      <c r="M212" s="26" t="s">
        <v>581</v>
      </c>
      <c r="N212" s="26">
        <v>44396</v>
      </c>
      <c r="O212" s="26">
        <v>44397</v>
      </c>
      <c r="P212" s="27">
        <v>63</v>
      </c>
      <c r="Q212" s="27">
        <v>8</v>
      </c>
      <c r="R212" s="27">
        <v>55</v>
      </c>
      <c r="S212" s="19">
        <v>8</v>
      </c>
      <c r="T212" s="2">
        <v>0</v>
      </c>
    </row>
    <row r="213" spans="1:21" x14ac:dyDescent="0.25">
      <c r="A213" t="s">
        <v>359</v>
      </c>
      <c r="B213" t="s">
        <v>360</v>
      </c>
      <c r="C213" t="s">
        <v>362</v>
      </c>
      <c r="D213" s="21">
        <v>42642</v>
      </c>
      <c r="F213" s="2">
        <v>100</v>
      </c>
      <c r="G213" s="25">
        <v>44368</v>
      </c>
      <c r="H213" s="26">
        <v>44396</v>
      </c>
      <c r="I213" s="26" t="s">
        <v>599</v>
      </c>
      <c r="J213" s="26" t="s">
        <v>676</v>
      </c>
      <c r="K213" s="26" t="s">
        <v>581</v>
      </c>
      <c r="L213" s="26" t="s">
        <v>581</v>
      </c>
      <c r="M213" s="26" t="s">
        <v>581</v>
      </c>
      <c r="N213" s="26">
        <v>44396</v>
      </c>
      <c r="O213" s="26">
        <v>44397</v>
      </c>
      <c r="P213" s="27">
        <v>46</v>
      </c>
      <c r="Q213" s="27">
        <v>3</v>
      </c>
      <c r="R213" s="27">
        <v>43</v>
      </c>
      <c r="S213" s="19">
        <v>3</v>
      </c>
      <c r="T213" s="2">
        <v>0</v>
      </c>
    </row>
    <row r="214" spans="1:21" x14ac:dyDescent="0.25">
      <c r="A214" t="s">
        <v>359</v>
      </c>
      <c r="B214" t="s">
        <v>360</v>
      </c>
      <c r="C214" t="s">
        <v>363</v>
      </c>
      <c r="D214" s="21">
        <v>43026</v>
      </c>
      <c r="F214" s="2">
        <v>100</v>
      </c>
      <c r="G214" s="25">
        <v>44368</v>
      </c>
      <c r="H214" s="26">
        <v>44396</v>
      </c>
      <c r="I214" s="26" t="s">
        <v>599</v>
      </c>
      <c r="J214" s="26" t="s">
        <v>676</v>
      </c>
      <c r="K214" s="26" t="s">
        <v>581</v>
      </c>
      <c r="L214" s="26" t="s">
        <v>581</v>
      </c>
      <c r="M214" s="26" t="s">
        <v>581</v>
      </c>
      <c r="N214" s="26">
        <v>44396</v>
      </c>
      <c r="O214" s="26">
        <v>44397</v>
      </c>
      <c r="P214" s="27">
        <v>80</v>
      </c>
      <c r="Q214" s="27">
        <v>6</v>
      </c>
      <c r="R214" s="27">
        <v>74</v>
      </c>
      <c r="S214" s="19">
        <v>6</v>
      </c>
      <c r="T214" s="2">
        <v>0</v>
      </c>
    </row>
    <row r="215" spans="1:21" x14ac:dyDescent="0.25">
      <c r="A215" t="s">
        <v>359</v>
      </c>
      <c r="B215" t="s">
        <v>360</v>
      </c>
      <c r="C215" t="s">
        <v>364</v>
      </c>
      <c r="D215" s="21">
        <v>43049</v>
      </c>
      <c r="F215" s="2">
        <v>100</v>
      </c>
      <c r="G215" s="25">
        <v>44368</v>
      </c>
      <c r="H215" s="26">
        <v>44396</v>
      </c>
      <c r="I215" s="26" t="s">
        <v>599</v>
      </c>
      <c r="J215" s="26" t="s">
        <v>676</v>
      </c>
      <c r="K215" s="26" t="s">
        <v>581</v>
      </c>
      <c r="L215" s="26" t="s">
        <v>581</v>
      </c>
      <c r="M215" s="26" t="s">
        <v>581</v>
      </c>
      <c r="N215" s="26">
        <v>44396</v>
      </c>
      <c r="O215" s="26">
        <v>44397</v>
      </c>
      <c r="P215" s="27">
        <v>65</v>
      </c>
      <c r="Q215" s="27">
        <v>1</v>
      </c>
      <c r="R215" s="27">
        <v>64</v>
      </c>
      <c r="S215" s="19">
        <v>1</v>
      </c>
      <c r="T215" s="2">
        <v>0</v>
      </c>
    </row>
    <row r="216" spans="1:21" x14ac:dyDescent="0.25">
      <c r="A216" t="s">
        <v>359</v>
      </c>
      <c r="B216" t="s">
        <v>360</v>
      </c>
      <c r="C216" t="s">
        <v>365</v>
      </c>
      <c r="D216" s="21">
        <v>43060</v>
      </c>
      <c r="F216" s="2">
        <v>100</v>
      </c>
      <c r="G216" s="25">
        <v>44368</v>
      </c>
      <c r="H216" s="26">
        <v>44396</v>
      </c>
      <c r="I216" s="26" t="s">
        <v>599</v>
      </c>
      <c r="J216" s="26" t="s">
        <v>676</v>
      </c>
      <c r="K216" s="26" t="s">
        <v>581</v>
      </c>
      <c r="L216" s="26" t="s">
        <v>581</v>
      </c>
      <c r="M216" s="26" t="s">
        <v>581</v>
      </c>
      <c r="N216" s="26">
        <v>44396</v>
      </c>
      <c r="O216" s="26">
        <v>44397</v>
      </c>
      <c r="P216" s="27">
        <v>11</v>
      </c>
      <c r="Q216" s="27">
        <v>1</v>
      </c>
      <c r="R216" s="27">
        <v>10</v>
      </c>
      <c r="S216" s="19">
        <v>1</v>
      </c>
      <c r="T216" s="2">
        <v>0</v>
      </c>
    </row>
    <row r="217" spans="1:21" ht="15.75" thickBot="1" x14ac:dyDescent="0.3">
      <c r="A217" t="s">
        <v>366</v>
      </c>
      <c r="B217" t="s">
        <v>351</v>
      </c>
      <c r="C217" t="s">
        <v>367</v>
      </c>
      <c r="D217" s="21">
        <v>42594</v>
      </c>
      <c r="F217" s="2">
        <v>0</v>
      </c>
      <c r="G217" s="22" t="s">
        <v>581</v>
      </c>
      <c r="H217" s="22" t="s">
        <v>581</v>
      </c>
      <c r="I217" s="25" t="s">
        <v>581</v>
      </c>
      <c r="J217" s="26" t="s">
        <v>676</v>
      </c>
      <c r="K217" s="26" t="s">
        <v>581</v>
      </c>
      <c r="L217" s="26" t="s">
        <v>581</v>
      </c>
      <c r="M217" s="26" t="s">
        <v>581</v>
      </c>
      <c r="N217" s="47">
        <v>44362</v>
      </c>
      <c r="O217" s="47">
        <v>44364</v>
      </c>
      <c r="P217" s="23">
        <v>10</v>
      </c>
      <c r="Q217" s="27">
        <v>0</v>
      </c>
      <c r="R217" s="27">
        <v>2</v>
      </c>
      <c r="S217" s="28" t="s">
        <v>581</v>
      </c>
      <c r="T217" s="2">
        <v>8</v>
      </c>
      <c r="U217" s="42" t="s">
        <v>689</v>
      </c>
    </row>
    <row r="218" spans="1:21" ht="15.75" thickBot="1" x14ac:dyDescent="0.3">
      <c r="A218" t="s">
        <v>368</v>
      </c>
      <c r="B218" t="s">
        <v>369</v>
      </c>
      <c r="C218" t="s">
        <v>370</v>
      </c>
      <c r="D218" s="21">
        <v>43049</v>
      </c>
      <c r="F218" s="2">
        <v>0</v>
      </c>
      <c r="G218" s="22" t="s">
        <v>581</v>
      </c>
      <c r="H218" s="22" t="s">
        <v>581</v>
      </c>
      <c r="I218" s="25" t="s">
        <v>581</v>
      </c>
      <c r="J218" s="26" t="s">
        <v>676</v>
      </c>
      <c r="K218" s="26" t="s">
        <v>581</v>
      </c>
      <c r="L218" s="26" t="s">
        <v>581</v>
      </c>
      <c r="M218" s="26" t="s">
        <v>581</v>
      </c>
      <c r="N218" s="43">
        <v>44319</v>
      </c>
      <c r="O218" s="43">
        <v>44321</v>
      </c>
      <c r="P218" s="23">
        <v>12</v>
      </c>
      <c r="Q218" s="27">
        <v>0</v>
      </c>
      <c r="R218" s="27">
        <v>0</v>
      </c>
      <c r="S218" s="19" t="s">
        <v>581</v>
      </c>
      <c r="T218" s="23">
        <v>12</v>
      </c>
      <c r="U218" s="42" t="s">
        <v>689</v>
      </c>
    </row>
    <row r="219" spans="1:21" ht="15.75" thickBot="1" x14ac:dyDescent="0.3">
      <c r="A219" t="s">
        <v>368</v>
      </c>
      <c r="B219" t="s">
        <v>369</v>
      </c>
      <c r="C219" t="s">
        <v>371</v>
      </c>
      <c r="D219" s="21">
        <v>43053</v>
      </c>
      <c r="F219" s="2">
        <v>0</v>
      </c>
      <c r="G219" s="22" t="s">
        <v>581</v>
      </c>
      <c r="H219" s="22" t="s">
        <v>581</v>
      </c>
      <c r="I219" s="25" t="s">
        <v>581</v>
      </c>
      <c r="J219" s="26" t="s">
        <v>676</v>
      </c>
      <c r="K219" s="26" t="s">
        <v>581</v>
      </c>
      <c r="L219" s="26" t="s">
        <v>581</v>
      </c>
      <c r="M219" s="26" t="s">
        <v>581</v>
      </c>
      <c r="N219" s="43">
        <v>44319</v>
      </c>
      <c r="O219" s="43">
        <v>44321</v>
      </c>
      <c r="P219" s="23">
        <v>11</v>
      </c>
      <c r="Q219" s="27">
        <v>0</v>
      </c>
      <c r="R219" s="27">
        <v>0</v>
      </c>
      <c r="S219" s="19" t="s">
        <v>581</v>
      </c>
      <c r="T219" s="23">
        <v>11</v>
      </c>
      <c r="U219" s="42" t="s">
        <v>689</v>
      </c>
    </row>
    <row r="220" spans="1:21" x14ac:dyDescent="0.25">
      <c r="A220" t="s">
        <v>372</v>
      </c>
      <c r="B220" t="s">
        <v>373</v>
      </c>
      <c r="C220" t="s">
        <v>374</v>
      </c>
      <c r="D220" s="21">
        <v>43012</v>
      </c>
      <c r="F220" s="2">
        <v>100</v>
      </c>
      <c r="G220" s="25">
        <v>44370</v>
      </c>
      <c r="H220" s="26">
        <v>44399</v>
      </c>
      <c r="I220" s="26" t="s">
        <v>600</v>
      </c>
      <c r="J220" s="26" t="s">
        <v>581</v>
      </c>
      <c r="K220" s="26" t="s">
        <v>581</v>
      </c>
      <c r="L220" s="26" t="s">
        <v>581</v>
      </c>
      <c r="M220" s="26" t="s">
        <v>581</v>
      </c>
      <c r="N220" t="s">
        <v>581</v>
      </c>
      <c r="O220" t="s">
        <v>581</v>
      </c>
      <c r="P220" s="23" t="s">
        <v>581</v>
      </c>
      <c r="Q220" s="23" t="s">
        <v>581</v>
      </c>
      <c r="R220" s="23" t="s">
        <v>581</v>
      </c>
      <c r="S220" s="19">
        <v>0</v>
      </c>
      <c r="T220" s="2">
        <v>0</v>
      </c>
    </row>
    <row r="221" spans="1:21" x14ac:dyDescent="0.25">
      <c r="A221" t="s">
        <v>375</v>
      </c>
      <c r="B221" t="s">
        <v>376</v>
      </c>
      <c r="C221" t="s">
        <v>377</v>
      </c>
      <c r="D221" s="21">
        <v>43053</v>
      </c>
      <c r="F221" s="2">
        <v>100</v>
      </c>
      <c r="G221" s="25">
        <v>44321</v>
      </c>
      <c r="H221" s="26">
        <v>44379</v>
      </c>
      <c r="I221" s="26" t="s">
        <v>599</v>
      </c>
      <c r="J221" s="26" t="s">
        <v>676</v>
      </c>
      <c r="K221" s="26" t="s">
        <v>581</v>
      </c>
      <c r="L221" s="26" t="s">
        <v>581</v>
      </c>
      <c r="M221" s="26" t="s">
        <v>581</v>
      </c>
      <c r="N221" s="26">
        <v>44379</v>
      </c>
      <c r="O221" s="26">
        <v>44383</v>
      </c>
      <c r="P221" s="23">
        <v>99</v>
      </c>
      <c r="Q221" s="27">
        <v>77</v>
      </c>
      <c r="R221" s="27">
        <v>22</v>
      </c>
      <c r="S221" s="19">
        <v>77</v>
      </c>
      <c r="T221" s="2">
        <v>0</v>
      </c>
    </row>
    <row r="222" spans="1:21" x14ac:dyDescent="0.25">
      <c r="A222" t="s">
        <v>375</v>
      </c>
      <c r="B222" t="s">
        <v>378</v>
      </c>
      <c r="C222" t="s">
        <v>379</v>
      </c>
      <c r="D222" s="21">
        <v>42286</v>
      </c>
      <c r="F222" s="2">
        <v>100</v>
      </c>
      <c r="G222" s="25">
        <v>44321</v>
      </c>
      <c r="H222" s="26">
        <v>44379</v>
      </c>
      <c r="I222" s="26" t="s">
        <v>599</v>
      </c>
      <c r="J222" s="26" t="s">
        <v>676</v>
      </c>
      <c r="K222" s="26" t="s">
        <v>581</v>
      </c>
      <c r="L222" s="26" t="s">
        <v>581</v>
      </c>
      <c r="M222" s="26" t="s">
        <v>581</v>
      </c>
      <c r="N222" s="26">
        <v>44379</v>
      </c>
      <c r="O222" s="26">
        <v>44383</v>
      </c>
      <c r="P222" s="27">
        <v>87</v>
      </c>
      <c r="Q222" s="27">
        <v>79</v>
      </c>
      <c r="R222" s="27">
        <v>8</v>
      </c>
      <c r="S222" s="19">
        <v>79</v>
      </c>
      <c r="T222" s="2">
        <v>0</v>
      </c>
    </row>
    <row r="223" spans="1:21" x14ac:dyDescent="0.25">
      <c r="A223" t="s">
        <v>375</v>
      </c>
      <c r="B223" t="s">
        <v>378</v>
      </c>
      <c r="C223" t="s">
        <v>380</v>
      </c>
      <c r="D223" s="21">
        <v>42657</v>
      </c>
      <c r="F223" s="2">
        <v>100</v>
      </c>
      <c r="G223" s="25">
        <v>44321</v>
      </c>
      <c r="H223" s="26">
        <v>44379</v>
      </c>
      <c r="I223" s="26" t="s">
        <v>599</v>
      </c>
      <c r="J223" s="26" t="s">
        <v>676</v>
      </c>
      <c r="K223" s="26" t="s">
        <v>581</v>
      </c>
      <c r="L223" s="26" t="s">
        <v>581</v>
      </c>
      <c r="M223" s="26" t="s">
        <v>581</v>
      </c>
      <c r="N223" s="26">
        <v>44379</v>
      </c>
      <c r="O223" s="26">
        <v>44383</v>
      </c>
      <c r="P223" s="27">
        <v>80</v>
      </c>
      <c r="Q223" s="27">
        <v>68</v>
      </c>
      <c r="R223" s="27">
        <v>12</v>
      </c>
      <c r="S223" s="19">
        <v>68</v>
      </c>
      <c r="T223" s="2">
        <v>0</v>
      </c>
    </row>
    <row r="224" spans="1:21" x14ac:dyDescent="0.25">
      <c r="A224" t="s">
        <v>375</v>
      </c>
      <c r="B224" t="s">
        <v>378</v>
      </c>
      <c r="C224" t="s">
        <v>381</v>
      </c>
      <c r="D224" s="21">
        <v>43019</v>
      </c>
      <c r="F224" s="2">
        <v>100</v>
      </c>
      <c r="G224" s="25">
        <v>44321</v>
      </c>
      <c r="H224" s="26">
        <v>44379</v>
      </c>
      <c r="I224" s="26" t="s">
        <v>599</v>
      </c>
      <c r="J224" s="26" t="s">
        <v>676</v>
      </c>
      <c r="K224" s="26" t="s">
        <v>581</v>
      </c>
      <c r="L224" s="26" t="s">
        <v>581</v>
      </c>
      <c r="M224" s="26" t="s">
        <v>581</v>
      </c>
      <c r="N224" s="26">
        <v>44379</v>
      </c>
      <c r="O224" s="26">
        <v>44383</v>
      </c>
      <c r="P224" s="27">
        <v>65</v>
      </c>
      <c r="Q224" s="27">
        <v>50</v>
      </c>
      <c r="R224" s="27">
        <v>15</v>
      </c>
      <c r="S224" s="19">
        <v>50</v>
      </c>
      <c r="T224" s="2">
        <v>0</v>
      </c>
    </row>
    <row r="225" spans="1:20" x14ac:dyDescent="0.25">
      <c r="A225" t="s">
        <v>375</v>
      </c>
      <c r="B225" t="s">
        <v>382</v>
      </c>
      <c r="C225" t="s">
        <v>383</v>
      </c>
      <c r="D225" s="21">
        <v>43060</v>
      </c>
      <c r="F225" s="2">
        <v>100</v>
      </c>
      <c r="G225" s="25">
        <v>44321</v>
      </c>
      <c r="H225" s="26">
        <v>44379</v>
      </c>
      <c r="I225" s="26" t="s">
        <v>599</v>
      </c>
      <c r="J225" s="26" t="s">
        <v>676</v>
      </c>
      <c r="K225" s="26" t="s">
        <v>581</v>
      </c>
      <c r="L225" s="26" t="s">
        <v>581</v>
      </c>
      <c r="M225" s="26" t="s">
        <v>581</v>
      </c>
      <c r="N225" s="26">
        <v>44379</v>
      </c>
      <c r="O225" s="26">
        <v>44383</v>
      </c>
      <c r="P225" s="27">
        <v>80</v>
      </c>
      <c r="Q225" s="27">
        <v>73</v>
      </c>
      <c r="R225" s="27">
        <v>7</v>
      </c>
      <c r="S225" s="19">
        <v>73</v>
      </c>
      <c r="T225" s="2">
        <v>0</v>
      </c>
    </row>
    <row r="226" spans="1:20" x14ac:dyDescent="0.25">
      <c r="A226" t="s">
        <v>384</v>
      </c>
      <c r="B226" t="s">
        <v>385</v>
      </c>
      <c r="C226" t="s">
        <v>386</v>
      </c>
      <c r="D226" s="21">
        <v>42992</v>
      </c>
      <c r="F226" s="2">
        <v>100</v>
      </c>
      <c r="G226" s="25">
        <v>44313</v>
      </c>
      <c r="H226" s="26">
        <v>44375</v>
      </c>
      <c r="I226" s="26" t="s">
        <v>599</v>
      </c>
      <c r="J226" s="26" t="s">
        <v>676</v>
      </c>
      <c r="K226" s="26" t="s">
        <v>581</v>
      </c>
      <c r="L226" s="26" t="s">
        <v>581</v>
      </c>
      <c r="M226" s="26" t="s">
        <v>581</v>
      </c>
      <c r="N226" s="26">
        <v>44375</v>
      </c>
      <c r="O226" s="26">
        <v>44376</v>
      </c>
      <c r="P226" s="27">
        <v>57</v>
      </c>
      <c r="Q226" s="27">
        <v>34</v>
      </c>
      <c r="R226" s="27">
        <v>23</v>
      </c>
      <c r="S226" s="19">
        <v>34</v>
      </c>
      <c r="T226" s="2">
        <v>0</v>
      </c>
    </row>
    <row r="227" spans="1:20" x14ac:dyDescent="0.25">
      <c r="A227" t="s">
        <v>384</v>
      </c>
      <c r="B227" t="s">
        <v>385</v>
      </c>
      <c r="C227" t="s">
        <v>387</v>
      </c>
      <c r="D227" s="21">
        <v>43000</v>
      </c>
      <c r="F227" s="2">
        <v>100</v>
      </c>
      <c r="G227" s="25">
        <v>44291</v>
      </c>
      <c r="H227" s="26">
        <v>44356</v>
      </c>
      <c r="I227" s="26" t="s">
        <v>599</v>
      </c>
      <c r="J227" s="26" t="s">
        <v>676</v>
      </c>
      <c r="K227" s="26" t="s">
        <v>581</v>
      </c>
      <c r="L227" s="26" t="s">
        <v>581</v>
      </c>
      <c r="M227" s="26" t="s">
        <v>581</v>
      </c>
      <c r="N227" s="26">
        <v>44356</v>
      </c>
      <c r="O227" s="26">
        <v>44357</v>
      </c>
      <c r="P227" s="27">
        <v>24</v>
      </c>
      <c r="Q227" s="27">
        <v>12</v>
      </c>
      <c r="R227" s="27">
        <v>12</v>
      </c>
      <c r="S227" s="19">
        <v>12</v>
      </c>
      <c r="T227" s="2">
        <v>0</v>
      </c>
    </row>
    <row r="228" spans="1:20" x14ac:dyDescent="0.25">
      <c r="A228" t="s">
        <v>384</v>
      </c>
      <c r="B228" t="s">
        <v>388</v>
      </c>
      <c r="C228" t="s">
        <v>389</v>
      </c>
      <c r="D228" s="21">
        <v>43001</v>
      </c>
      <c r="F228" s="2">
        <v>100</v>
      </c>
      <c r="G228" s="25">
        <v>44329</v>
      </c>
      <c r="H228" s="26">
        <v>44375</v>
      </c>
      <c r="I228" s="26" t="s">
        <v>599</v>
      </c>
      <c r="J228" s="26" t="s">
        <v>676</v>
      </c>
      <c r="K228" s="26" t="s">
        <v>581</v>
      </c>
      <c r="L228" s="26" t="s">
        <v>581</v>
      </c>
      <c r="M228" s="26" t="s">
        <v>581</v>
      </c>
      <c r="N228" s="26">
        <v>44375</v>
      </c>
      <c r="O228" s="26">
        <v>44376</v>
      </c>
      <c r="P228" s="27">
        <v>98</v>
      </c>
      <c r="Q228" s="27">
        <v>29</v>
      </c>
      <c r="R228" s="27">
        <v>69</v>
      </c>
      <c r="S228" s="19">
        <v>29</v>
      </c>
      <c r="T228" s="2">
        <v>0</v>
      </c>
    </row>
    <row r="229" spans="1:20" x14ac:dyDescent="0.25">
      <c r="A229" t="s">
        <v>384</v>
      </c>
      <c r="B229" t="s">
        <v>388</v>
      </c>
      <c r="C229" t="s">
        <v>390</v>
      </c>
      <c r="D229" s="21">
        <v>42632</v>
      </c>
      <c r="F229" s="2">
        <v>100</v>
      </c>
      <c r="G229" s="25">
        <v>44329</v>
      </c>
      <c r="H229" s="26">
        <v>44375</v>
      </c>
      <c r="I229" s="26" t="s">
        <v>599</v>
      </c>
      <c r="J229" s="26" t="s">
        <v>676</v>
      </c>
      <c r="K229" s="26" t="s">
        <v>581</v>
      </c>
      <c r="L229" s="26" t="s">
        <v>581</v>
      </c>
      <c r="M229" s="26" t="s">
        <v>581</v>
      </c>
      <c r="N229" s="26">
        <v>44375</v>
      </c>
      <c r="O229" s="26">
        <v>44376</v>
      </c>
      <c r="P229" s="27">
        <v>95</v>
      </c>
      <c r="Q229" s="27">
        <v>33</v>
      </c>
      <c r="R229" s="27">
        <v>62</v>
      </c>
      <c r="S229" s="19">
        <v>33</v>
      </c>
      <c r="T229" s="2">
        <v>0</v>
      </c>
    </row>
    <row r="230" spans="1:20" x14ac:dyDescent="0.25">
      <c r="A230" t="s">
        <v>391</v>
      </c>
      <c r="B230" t="s">
        <v>392</v>
      </c>
      <c r="C230" t="s">
        <v>393</v>
      </c>
      <c r="D230" s="21">
        <v>43045</v>
      </c>
      <c r="F230" s="2">
        <v>100</v>
      </c>
      <c r="G230" s="25">
        <v>44343</v>
      </c>
      <c r="H230" s="26">
        <v>44375</v>
      </c>
      <c r="I230" s="26" t="s">
        <v>599</v>
      </c>
      <c r="J230" s="26" t="s">
        <v>676</v>
      </c>
      <c r="K230" s="26" t="s">
        <v>581</v>
      </c>
      <c r="L230" s="26" t="s">
        <v>581</v>
      </c>
      <c r="M230" s="26" t="s">
        <v>581</v>
      </c>
      <c r="N230" s="26">
        <v>44375</v>
      </c>
      <c r="O230" s="26">
        <v>44376</v>
      </c>
      <c r="P230" s="27">
        <v>93</v>
      </c>
      <c r="Q230" s="27">
        <v>92</v>
      </c>
      <c r="R230" s="27">
        <v>1</v>
      </c>
      <c r="S230" s="19">
        <v>92</v>
      </c>
      <c r="T230" s="2">
        <v>0</v>
      </c>
    </row>
    <row r="231" spans="1:20" x14ac:dyDescent="0.25">
      <c r="A231" t="s">
        <v>394</v>
      </c>
      <c r="B231" t="s">
        <v>395</v>
      </c>
      <c r="C231" t="s">
        <v>396</v>
      </c>
      <c r="D231" s="21">
        <v>43027</v>
      </c>
      <c r="F231" s="2">
        <v>104</v>
      </c>
      <c r="G231" s="25">
        <v>44301</v>
      </c>
      <c r="H231" s="26">
        <v>44349</v>
      </c>
      <c r="I231" s="26" t="s">
        <v>599</v>
      </c>
      <c r="J231" s="26" t="s">
        <v>676</v>
      </c>
      <c r="K231" s="26" t="s">
        <v>581</v>
      </c>
      <c r="L231" s="26" t="s">
        <v>581</v>
      </c>
      <c r="M231" s="26" t="s">
        <v>581</v>
      </c>
      <c r="N231" s="26">
        <v>44349</v>
      </c>
      <c r="O231" s="26">
        <v>44350</v>
      </c>
      <c r="P231" s="27">
        <v>55</v>
      </c>
      <c r="Q231" s="27">
        <v>31</v>
      </c>
      <c r="R231" s="27">
        <v>24</v>
      </c>
      <c r="S231" s="19">
        <v>31</v>
      </c>
      <c r="T231" s="2">
        <v>4</v>
      </c>
    </row>
    <row r="232" spans="1:20" x14ac:dyDescent="0.25">
      <c r="A232" t="s">
        <v>394</v>
      </c>
      <c r="B232" t="s">
        <v>395</v>
      </c>
      <c r="C232" t="s">
        <v>397</v>
      </c>
      <c r="D232" s="21">
        <v>43042</v>
      </c>
      <c r="F232" s="2">
        <v>108</v>
      </c>
      <c r="G232" s="25">
        <v>44301</v>
      </c>
      <c r="H232" s="26">
        <v>44349</v>
      </c>
      <c r="I232" s="26" t="s">
        <v>599</v>
      </c>
      <c r="J232" s="26" t="s">
        <v>676</v>
      </c>
      <c r="K232" s="26" t="s">
        <v>581</v>
      </c>
      <c r="L232" s="26" t="s">
        <v>581</v>
      </c>
      <c r="M232" s="26" t="s">
        <v>581</v>
      </c>
      <c r="N232" s="26">
        <v>44349</v>
      </c>
      <c r="O232" s="26">
        <v>44350</v>
      </c>
      <c r="P232" s="27">
        <v>67</v>
      </c>
      <c r="Q232" s="27">
        <v>4</v>
      </c>
      <c r="R232" s="27">
        <v>63</v>
      </c>
      <c r="S232" s="19">
        <v>4</v>
      </c>
      <c r="T232" s="2">
        <v>8</v>
      </c>
    </row>
    <row r="233" spans="1:20" x14ac:dyDescent="0.25">
      <c r="A233" t="s">
        <v>398</v>
      </c>
      <c r="B233" t="s">
        <v>399</v>
      </c>
      <c r="C233" t="s">
        <v>400</v>
      </c>
      <c r="D233" s="21">
        <v>42888</v>
      </c>
      <c r="F233" s="2">
        <v>100</v>
      </c>
      <c r="G233" s="25">
        <v>44301</v>
      </c>
      <c r="H233" s="26">
        <v>44344</v>
      </c>
      <c r="I233" s="26" t="s">
        <v>600</v>
      </c>
      <c r="J233" s="26" t="s">
        <v>581</v>
      </c>
      <c r="K233" s="26" t="s">
        <v>581</v>
      </c>
      <c r="L233" s="26" t="s">
        <v>581</v>
      </c>
      <c r="M233" s="26" t="s">
        <v>581</v>
      </c>
      <c r="N233" t="s">
        <v>581</v>
      </c>
      <c r="O233" t="s">
        <v>581</v>
      </c>
      <c r="P233" s="27" t="s">
        <v>581</v>
      </c>
      <c r="Q233" s="27" t="s">
        <v>581</v>
      </c>
      <c r="R233" s="27" t="s">
        <v>581</v>
      </c>
      <c r="S233" s="19">
        <v>0</v>
      </c>
      <c r="T233" s="2">
        <v>0</v>
      </c>
    </row>
    <row r="234" spans="1:20" x14ac:dyDescent="0.25">
      <c r="A234" t="s">
        <v>401</v>
      </c>
      <c r="B234" t="s">
        <v>402</v>
      </c>
      <c r="C234" t="s">
        <v>403</v>
      </c>
      <c r="D234" s="21">
        <v>42678</v>
      </c>
      <c r="F234" s="2">
        <v>100</v>
      </c>
      <c r="G234" s="25">
        <v>44372</v>
      </c>
      <c r="H234" s="26">
        <v>44403</v>
      </c>
      <c r="I234" s="26" t="s">
        <v>599</v>
      </c>
      <c r="J234" s="26" t="s">
        <v>676</v>
      </c>
      <c r="K234" s="26" t="s">
        <v>581</v>
      </c>
      <c r="L234" s="26" t="s">
        <v>581</v>
      </c>
      <c r="M234" s="26" t="s">
        <v>581</v>
      </c>
      <c r="N234" s="26">
        <v>44403</v>
      </c>
      <c r="O234" s="26">
        <v>44404</v>
      </c>
      <c r="P234" s="27">
        <v>27</v>
      </c>
      <c r="Q234" s="27">
        <v>26</v>
      </c>
      <c r="R234" s="27">
        <v>1</v>
      </c>
      <c r="S234" s="19">
        <v>26</v>
      </c>
      <c r="T234" s="2">
        <v>0</v>
      </c>
    </row>
    <row r="235" spans="1:20" x14ac:dyDescent="0.25">
      <c r="A235" t="s">
        <v>401</v>
      </c>
      <c r="B235" t="s">
        <v>404</v>
      </c>
      <c r="C235" t="s">
        <v>405</v>
      </c>
      <c r="D235" s="21">
        <v>42291</v>
      </c>
      <c r="F235" s="2">
        <v>100</v>
      </c>
      <c r="G235" s="25">
        <v>44372</v>
      </c>
      <c r="H235" s="26">
        <v>44403</v>
      </c>
      <c r="I235" s="26" t="s">
        <v>600</v>
      </c>
      <c r="J235" s="26" t="s">
        <v>581</v>
      </c>
      <c r="K235" s="26" t="s">
        <v>581</v>
      </c>
      <c r="L235" s="26" t="s">
        <v>581</v>
      </c>
      <c r="M235" s="26" t="s">
        <v>581</v>
      </c>
      <c r="N235" t="s">
        <v>581</v>
      </c>
      <c r="O235" t="s">
        <v>581</v>
      </c>
      <c r="P235" s="27" t="s">
        <v>581</v>
      </c>
      <c r="Q235" s="27" t="s">
        <v>581</v>
      </c>
      <c r="R235" s="27" t="s">
        <v>581</v>
      </c>
      <c r="S235" s="19">
        <v>0</v>
      </c>
      <c r="T235" s="2">
        <v>0</v>
      </c>
    </row>
    <row r="236" spans="1:20" x14ac:dyDescent="0.25">
      <c r="A236" t="s">
        <v>401</v>
      </c>
      <c r="B236" t="s">
        <v>404</v>
      </c>
      <c r="C236" t="s">
        <v>406</v>
      </c>
      <c r="D236" s="21">
        <v>42647</v>
      </c>
      <c r="F236" s="2">
        <v>100</v>
      </c>
      <c r="G236" s="25">
        <v>44372</v>
      </c>
      <c r="H236" s="26">
        <v>44403</v>
      </c>
      <c r="I236" s="26" t="s">
        <v>600</v>
      </c>
      <c r="J236" s="26" t="s">
        <v>581</v>
      </c>
      <c r="K236" s="26" t="s">
        <v>581</v>
      </c>
      <c r="L236" s="26" t="s">
        <v>581</v>
      </c>
      <c r="M236" s="26" t="s">
        <v>581</v>
      </c>
      <c r="N236" t="s">
        <v>581</v>
      </c>
      <c r="O236" t="s">
        <v>581</v>
      </c>
      <c r="P236" s="27" t="s">
        <v>581</v>
      </c>
      <c r="Q236" s="27" t="s">
        <v>581</v>
      </c>
      <c r="R236" s="27" t="s">
        <v>581</v>
      </c>
      <c r="S236" s="19">
        <v>0</v>
      </c>
      <c r="T236" s="2">
        <v>0</v>
      </c>
    </row>
    <row r="237" spans="1:20" x14ac:dyDescent="0.25">
      <c r="A237" t="s">
        <v>401</v>
      </c>
      <c r="B237" t="s">
        <v>404</v>
      </c>
      <c r="C237" t="s">
        <v>407</v>
      </c>
      <c r="D237" s="21">
        <v>42649</v>
      </c>
      <c r="F237" s="2">
        <v>100</v>
      </c>
      <c r="G237" s="25">
        <v>44372</v>
      </c>
      <c r="H237" s="26">
        <v>44403</v>
      </c>
      <c r="I237" s="26" t="s">
        <v>599</v>
      </c>
      <c r="J237" s="26" t="s">
        <v>676</v>
      </c>
      <c r="K237" s="26" t="s">
        <v>581</v>
      </c>
      <c r="L237" s="26" t="s">
        <v>581</v>
      </c>
      <c r="M237" s="26" t="s">
        <v>581</v>
      </c>
      <c r="N237" s="26">
        <v>44403</v>
      </c>
      <c r="O237" s="26">
        <v>44404</v>
      </c>
      <c r="P237" s="27">
        <v>16</v>
      </c>
      <c r="Q237" s="27">
        <v>11</v>
      </c>
      <c r="R237" s="27">
        <v>5</v>
      </c>
      <c r="S237" s="19">
        <v>11</v>
      </c>
      <c r="T237" s="2">
        <v>2</v>
      </c>
    </row>
    <row r="238" spans="1:20" x14ac:dyDescent="0.25">
      <c r="A238" t="s">
        <v>401</v>
      </c>
      <c r="B238" t="s">
        <v>404</v>
      </c>
      <c r="C238" t="s">
        <v>408</v>
      </c>
      <c r="D238" s="21">
        <v>42650</v>
      </c>
      <c r="F238" s="2">
        <f>D238*E238</f>
        <v>0</v>
      </c>
      <c r="G238" s="25">
        <v>44291</v>
      </c>
      <c r="H238" s="26">
        <v>44327</v>
      </c>
      <c r="I238" s="26" t="s">
        <v>599</v>
      </c>
      <c r="J238" s="26" t="s">
        <v>676</v>
      </c>
      <c r="K238" s="26" t="s">
        <v>581</v>
      </c>
      <c r="L238" s="26" t="s">
        <v>581</v>
      </c>
      <c r="M238" s="26" t="s">
        <v>581</v>
      </c>
      <c r="N238" s="26">
        <v>44327</v>
      </c>
      <c r="O238" s="26">
        <v>44328</v>
      </c>
      <c r="P238" s="27">
        <v>13</v>
      </c>
      <c r="Q238" s="27">
        <v>8</v>
      </c>
      <c r="R238" s="27">
        <v>5</v>
      </c>
      <c r="S238" s="19">
        <v>8</v>
      </c>
      <c r="T238" s="2">
        <v>22</v>
      </c>
    </row>
    <row r="239" spans="1:20" x14ac:dyDescent="0.25">
      <c r="A239" t="s">
        <v>401</v>
      </c>
      <c r="B239" t="s">
        <v>404</v>
      </c>
      <c r="C239" t="s">
        <v>409</v>
      </c>
      <c r="D239" s="21">
        <v>43012</v>
      </c>
      <c r="F239" s="2">
        <v>100</v>
      </c>
      <c r="G239" s="25">
        <v>44372</v>
      </c>
      <c r="H239" s="26">
        <v>44403</v>
      </c>
      <c r="I239" s="26" t="s">
        <v>599</v>
      </c>
      <c r="J239" s="26" t="s">
        <v>676</v>
      </c>
      <c r="K239" s="26" t="s">
        <v>581</v>
      </c>
      <c r="L239" s="26" t="s">
        <v>581</v>
      </c>
      <c r="M239" s="26" t="s">
        <v>581</v>
      </c>
      <c r="N239" s="26">
        <v>44403</v>
      </c>
      <c r="O239" s="26">
        <v>44404</v>
      </c>
      <c r="P239" s="27">
        <v>12</v>
      </c>
      <c r="Q239" s="27">
        <v>11</v>
      </c>
      <c r="R239" s="27">
        <v>1</v>
      </c>
      <c r="S239" s="19">
        <v>11</v>
      </c>
      <c r="T239" s="2">
        <v>0</v>
      </c>
    </row>
    <row r="240" spans="1:20" x14ac:dyDescent="0.25">
      <c r="A240" t="s">
        <v>401</v>
      </c>
      <c r="B240" t="s">
        <v>404</v>
      </c>
      <c r="C240" t="s">
        <v>410</v>
      </c>
      <c r="D240" s="21">
        <v>43026</v>
      </c>
      <c r="F240" s="2">
        <v>100</v>
      </c>
      <c r="G240" s="25">
        <v>44372</v>
      </c>
      <c r="H240" s="26">
        <v>44403</v>
      </c>
      <c r="I240" s="26" t="s">
        <v>600</v>
      </c>
      <c r="J240" s="26" t="s">
        <v>581</v>
      </c>
      <c r="K240" s="26" t="s">
        <v>581</v>
      </c>
      <c r="L240" s="26" t="s">
        <v>581</v>
      </c>
      <c r="M240" s="26" t="s">
        <v>581</v>
      </c>
      <c r="N240" t="s">
        <v>581</v>
      </c>
      <c r="O240" t="s">
        <v>581</v>
      </c>
      <c r="P240" s="27" t="s">
        <v>581</v>
      </c>
      <c r="Q240" s="27" t="s">
        <v>581</v>
      </c>
      <c r="R240" s="27" t="s">
        <v>581</v>
      </c>
      <c r="S240" s="19">
        <v>0</v>
      </c>
      <c r="T240" s="2">
        <v>0</v>
      </c>
    </row>
    <row r="241" spans="1:20" x14ac:dyDescent="0.25">
      <c r="A241" t="s">
        <v>401</v>
      </c>
      <c r="B241" t="s">
        <v>404</v>
      </c>
      <c r="C241" t="s">
        <v>411</v>
      </c>
      <c r="D241" s="21">
        <v>43028</v>
      </c>
      <c r="F241" s="2">
        <v>99</v>
      </c>
      <c r="G241" s="25">
        <v>44291</v>
      </c>
      <c r="H241" s="26">
        <v>44327</v>
      </c>
      <c r="I241" s="26" t="s">
        <v>599</v>
      </c>
      <c r="J241" s="26" t="s">
        <v>676</v>
      </c>
      <c r="K241" s="26" t="s">
        <v>581</v>
      </c>
      <c r="L241" s="26" t="s">
        <v>581</v>
      </c>
      <c r="M241" s="26" t="s">
        <v>581</v>
      </c>
      <c r="N241" s="26">
        <v>44327</v>
      </c>
      <c r="O241" s="26">
        <v>44328</v>
      </c>
      <c r="P241" s="27">
        <v>28</v>
      </c>
      <c r="Q241" s="27">
        <v>17</v>
      </c>
      <c r="R241" s="27">
        <v>11</v>
      </c>
      <c r="S241" s="19">
        <v>17</v>
      </c>
      <c r="T241" s="2">
        <v>26</v>
      </c>
    </row>
    <row r="242" spans="1:20" x14ac:dyDescent="0.25">
      <c r="A242" t="s">
        <v>401</v>
      </c>
      <c r="B242" t="s">
        <v>404</v>
      </c>
      <c r="C242" t="s">
        <v>412</v>
      </c>
      <c r="D242" s="21">
        <v>43040</v>
      </c>
      <c r="F242" s="2">
        <v>100</v>
      </c>
      <c r="G242" s="25">
        <v>44372</v>
      </c>
      <c r="H242" s="26">
        <v>44403</v>
      </c>
      <c r="I242" s="26" t="s">
        <v>599</v>
      </c>
      <c r="J242" s="26" t="s">
        <v>676</v>
      </c>
      <c r="K242" s="26" t="s">
        <v>581</v>
      </c>
      <c r="L242" s="26" t="s">
        <v>581</v>
      </c>
      <c r="M242" s="26" t="s">
        <v>581</v>
      </c>
      <c r="N242" s="26">
        <v>44403</v>
      </c>
      <c r="O242" s="26">
        <v>44404</v>
      </c>
      <c r="P242" s="27">
        <v>24</v>
      </c>
      <c r="Q242" s="27">
        <v>20</v>
      </c>
      <c r="R242" s="27">
        <v>4</v>
      </c>
      <c r="S242" s="19">
        <v>20</v>
      </c>
      <c r="T242" s="2">
        <v>0</v>
      </c>
    </row>
    <row r="243" spans="1:20" x14ac:dyDescent="0.25">
      <c r="A243" t="s">
        <v>401</v>
      </c>
      <c r="B243" t="s">
        <v>404</v>
      </c>
      <c r="C243" t="s">
        <v>413</v>
      </c>
      <c r="D243" s="21">
        <v>43041</v>
      </c>
      <c r="F243" s="2">
        <v>100</v>
      </c>
      <c r="G243" s="25">
        <v>44372</v>
      </c>
      <c r="H243" s="26">
        <v>44403</v>
      </c>
      <c r="I243" s="26" t="s">
        <v>599</v>
      </c>
      <c r="J243" s="26" t="s">
        <v>676</v>
      </c>
      <c r="K243" s="26" t="s">
        <v>581</v>
      </c>
      <c r="L243" s="26" t="s">
        <v>581</v>
      </c>
      <c r="M243" s="26" t="s">
        <v>581</v>
      </c>
      <c r="N243" s="26">
        <v>44403</v>
      </c>
      <c r="O243" s="26">
        <v>44404</v>
      </c>
      <c r="P243" s="27">
        <v>18</v>
      </c>
      <c r="Q243" s="27">
        <v>18</v>
      </c>
      <c r="R243" s="27">
        <v>0</v>
      </c>
      <c r="S243" s="19">
        <v>18</v>
      </c>
      <c r="T243" s="2">
        <v>0</v>
      </c>
    </row>
    <row r="244" spans="1:20" x14ac:dyDescent="0.25">
      <c r="A244" t="s">
        <v>414</v>
      </c>
      <c r="B244" t="s">
        <v>311</v>
      </c>
      <c r="C244" t="s">
        <v>415</v>
      </c>
      <c r="D244" s="21">
        <v>42954</v>
      </c>
      <c r="F244" s="2">
        <v>100</v>
      </c>
      <c r="G244" s="25">
        <v>44336</v>
      </c>
      <c r="H244" s="26">
        <v>44385</v>
      </c>
      <c r="I244" s="26" t="s">
        <v>599</v>
      </c>
      <c r="J244" s="26" t="s">
        <v>676</v>
      </c>
      <c r="K244" s="26" t="s">
        <v>581</v>
      </c>
      <c r="L244" s="26" t="s">
        <v>581</v>
      </c>
      <c r="M244" s="26" t="s">
        <v>581</v>
      </c>
      <c r="N244" s="26">
        <v>44385</v>
      </c>
      <c r="O244" s="26">
        <v>44386</v>
      </c>
      <c r="P244" s="27">
        <v>69</v>
      </c>
      <c r="Q244" s="27">
        <v>29</v>
      </c>
      <c r="R244" s="27">
        <v>40</v>
      </c>
      <c r="S244" s="19">
        <v>29</v>
      </c>
      <c r="T244" s="2">
        <v>0</v>
      </c>
    </row>
    <row r="245" spans="1:20" x14ac:dyDescent="0.25">
      <c r="A245" t="s">
        <v>414</v>
      </c>
      <c r="B245" t="s">
        <v>311</v>
      </c>
      <c r="C245" t="s">
        <v>416</v>
      </c>
      <c r="D245" s="21">
        <v>42942</v>
      </c>
      <c r="F245" s="2">
        <v>100</v>
      </c>
      <c r="G245" s="25">
        <v>44336</v>
      </c>
      <c r="H245" s="26">
        <v>44385</v>
      </c>
      <c r="I245" s="26" t="s">
        <v>599</v>
      </c>
      <c r="J245" s="26" t="s">
        <v>676</v>
      </c>
      <c r="K245" s="26" t="s">
        <v>581</v>
      </c>
      <c r="L245" s="26" t="s">
        <v>581</v>
      </c>
      <c r="M245" s="26" t="s">
        <v>581</v>
      </c>
      <c r="N245" s="26">
        <v>44385</v>
      </c>
      <c r="O245" s="26">
        <v>44386</v>
      </c>
      <c r="P245" s="27">
        <v>76</v>
      </c>
      <c r="Q245" s="27">
        <v>43</v>
      </c>
      <c r="R245" s="27">
        <v>33</v>
      </c>
      <c r="S245" s="19">
        <v>43</v>
      </c>
      <c r="T245" s="2">
        <v>0</v>
      </c>
    </row>
    <row r="246" spans="1:20" x14ac:dyDescent="0.25">
      <c r="A246" t="s">
        <v>414</v>
      </c>
      <c r="B246" t="s">
        <v>311</v>
      </c>
      <c r="C246" t="s">
        <v>417</v>
      </c>
      <c r="D246" s="21">
        <v>42943</v>
      </c>
      <c r="F246" s="2">
        <v>100</v>
      </c>
      <c r="G246" s="25">
        <v>44336</v>
      </c>
      <c r="H246" s="26">
        <v>44385</v>
      </c>
      <c r="I246" s="26" t="s">
        <v>599</v>
      </c>
      <c r="J246" s="26" t="s">
        <v>676</v>
      </c>
      <c r="K246" s="26" t="s">
        <v>581</v>
      </c>
      <c r="L246" s="26" t="s">
        <v>581</v>
      </c>
      <c r="M246" s="26" t="s">
        <v>581</v>
      </c>
      <c r="N246" s="26">
        <v>44385</v>
      </c>
      <c r="O246" s="26">
        <v>44386</v>
      </c>
      <c r="P246" s="27">
        <v>97</v>
      </c>
      <c r="Q246" s="27">
        <v>81</v>
      </c>
      <c r="R246" s="27">
        <v>16</v>
      </c>
      <c r="S246" s="19">
        <v>81</v>
      </c>
      <c r="T246" s="2">
        <v>0</v>
      </c>
    </row>
    <row r="247" spans="1:20" x14ac:dyDescent="0.25">
      <c r="A247" t="s">
        <v>414</v>
      </c>
      <c r="B247" t="s">
        <v>311</v>
      </c>
      <c r="C247" t="s">
        <v>418</v>
      </c>
      <c r="D247" s="21">
        <v>42962</v>
      </c>
      <c r="F247" s="2">
        <v>102</v>
      </c>
      <c r="G247" s="25">
        <v>44336</v>
      </c>
      <c r="H247" s="26">
        <v>44385</v>
      </c>
      <c r="I247" s="26" t="s">
        <v>599</v>
      </c>
      <c r="J247" s="26" t="s">
        <v>676</v>
      </c>
      <c r="K247" s="26" t="s">
        <v>581</v>
      </c>
      <c r="L247" s="26" t="s">
        <v>581</v>
      </c>
      <c r="M247" s="26" t="s">
        <v>581</v>
      </c>
      <c r="N247" s="26">
        <v>44385</v>
      </c>
      <c r="O247" s="26">
        <v>44386</v>
      </c>
      <c r="P247" s="27">
        <v>67</v>
      </c>
      <c r="Q247" s="27">
        <v>28</v>
      </c>
      <c r="R247" s="27">
        <v>39</v>
      </c>
      <c r="S247" s="19">
        <v>28</v>
      </c>
      <c r="T247" s="2">
        <v>0</v>
      </c>
    </row>
    <row r="248" spans="1:20" x14ac:dyDescent="0.25">
      <c r="A248" t="s">
        <v>414</v>
      </c>
      <c r="B248" t="s">
        <v>311</v>
      </c>
      <c r="C248" t="s">
        <v>419</v>
      </c>
      <c r="D248" s="21">
        <v>43004</v>
      </c>
      <c r="F248" s="2">
        <v>100</v>
      </c>
      <c r="G248" s="25">
        <v>44336</v>
      </c>
      <c r="H248" s="26">
        <v>44385</v>
      </c>
      <c r="I248" s="26" t="s">
        <v>599</v>
      </c>
      <c r="J248" s="26" t="s">
        <v>676</v>
      </c>
      <c r="K248" s="26" t="s">
        <v>581</v>
      </c>
      <c r="L248" s="26" t="s">
        <v>581</v>
      </c>
      <c r="M248" s="26" t="s">
        <v>581</v>
      </c>
      <c r="N248" s="26">
        <v>44385</v>
      </c>
      <c r="O248" s="26">
        <v>44386</v>
      </c>
      <c r="P248" s="27">
        <v>95</v>
      </c>
      <c r="Q248" s="27">
        <v>61</v>
      </c>
      <c r="R248" s="27">
        <v>34</v>
      </c>
      <c r="S248" s="19">
        <v>61</v>
      </c>
      <c r="T248" s="2">
        <v>0</v>
      </c>
    </row>
    <row r="249" spans="1:20" x14ac:dyDescent="0.25">
      <c r="A249" t="s">
        <v>414</v>
      </c>
      <c r="B249" t="s">
        <v>311</v>
      </c>
      <c r="C249" t="s">
        <v>420</v>
      </c>
      <c r="D249" s="21">
        <v>43013</v>
      </c>
      <c r="F249" s="2">
        <v>100</v>
      </c>
      <c r="G249" s="25">
        <v>44313</v>
      </c>
      <c r="H249" s="26">
        <v>44385</v>
      </c>
      <c r="I249" s="26" t="s">
        <v>599</v>
      </c>
      <c r="J249" s="26" t="s">
        <v>676</v>
      </c>
      <c r="K249" s="26" t="s">
        <v>581</v>
      </c>
      <c r="L249" s="26" t="s">
        <v>581</v>
      </c>
      <c r="M249" s="26" t="s">
        <v>581</v>
      </c>
      <c r="N249" s="26">
        <v>44385</v>
      </c>
      <c r="O249" s="26">
        <v>44386</v>
      </c>
      <c r="P249" s="27">
        <v>82</v>
      </c>
      <c r="Q249" s="27">
        <v>60</v>
      </c>
      <c r="R249" s="27">
        <v>22</v>
      </c>
      <c r="S249" s="19">
        <v>60</v>
      </c>
      <c r="T249" s="2">
        <v>0</v>
      </c>
    </row>
    <row r="250" spans="1:20" x14ac:dyDescent="0.25">
      <c r="A250" t="s">
        <v>414</v>
      </c>
      <c r="B250" t="s">
        <v>421</v>
      </c>
      <c r="C250" t="s">
        <v>422</v>
      </c>
      <c r="D250" s="21">
        <v>42976</v>
      </c>
      <c r="F250" s="2">
        <v>100</v>
      </c>
      <c r="G250" s="25">
        <v>44336</v>
      </c>
      <c r="H250" s="26">
        <v>44385</v>
      </c>
      <c r="I250" s="26" t="s">
        <v>599</v>
      </c>
      <c r="J250" s="26" t="s">
        <v>676</v>
      </c>
      <c r="K250" s="26" t="s">
        <v>581</v>
      </c>
      <c r="L250" s="26" t="s">
        <v>581</v>
      </c>
      <c r="M250" s="26" t="s">
        <v>581</v>
      </c>
      <c r="N250" s="26">
        <v>44385</v>
      </c>
      <c r="O250" s="26">
        <v>44386</v>
      </c>
      <c r="P250" s="27">
        <v>99</v>
      </c>
      <c r="Q250" s="27">
        <v>84</v>
      </c>
      <c r="R250" s="27">
        <v>15</v>
      </c>
      <c r="S250" s="19">
        <v>84</v>
      </c>
      <c r="T250" s="2">
        <v>0</v>
      </c>
    </row>
    <row r="251" spans="1:20" x14ac:dyDescent="0.25">
      <c r="A251" t="s">
        <v>423</v>
      </c>
      <c r="B251" t="s">
        <v>424</v>
      </c>
      <c r="C251" t="s">
        <v>425</v>
      </c>
      <c r="D251" s="21">
        <v>42610</v>
      </c>
      <c r="F251" s="2">
        <v>100</v>
      </c>
      <c r="G251" s="25">
        <v>44355</v>
      </c>
      <c r="H251" s="26">
        <v>44432</v>
      </c>
      <c r="I251" s="26" t="s">
        <v>599</v>
      </c>
      <c r="J251" s="26" t="s">
        <v>676</v>
      </c>
      <c r="K251" s="26" t="s">
        <v>581</v>
      </c>
      <c r="L251" s="26" t="s">
        <v>581</v>
      </c>
      <c r="M251" s="26" t="s">
        <v>581</v>
      </c>
      <c r="N251" s="26">
        <v>44432</v>
      </c>
      <c r="O251" s="26">
        <v>44433</v>
      </c>
      <c r="P251" s="27">
        <v>86</v>
      </c>
      <c r="Q251" s="27">
        <v>15</v>
      </c>
      <c r="R251" s="27">
        <v>71</v>
      </c>
      <c r="S251" s="19">
        <v>15</v>
      </c>
      <c r="T251" s="2">
        <v>0</v>
      </c>
    </row>
    <row r="252" spans="1:20" x14ac:dyDescent="0.25">
      <c r="A252" t="s">
        <v>423</v>
      </c>
      <c r="B252" t="s">
        <v>424</v>
      </c>
      <c r="C252" t="s">
        <v>426</v>
      </c>
      <c r="D252" s="21">
        <v>43000</v>
      </c>
      <c r="F252" s="2">
        <v>100</v>
      </c>
      <c r="G252" s="25">
        <v>44355</v>
      </c>
      <c r="H252" s="26">
        <v>44432</v>
      </c>
      <c r="I252" s="26" t="s">
        <v>599</v>
      </c>
      <c r="J252" s="26" t="s">
        <v>676</v>
      </c>
      <c r="K252" s="26" t="s">
        <v>581</v>
      </c>
      <c r="L252" s="26" t="s">
        <v>581</v>
      </c>
      <c r="M252" s="26" t="s">
        <v>581</v>
      </c>
      <c r="N252" s="26">
        <v>44432</v>
      </c>
      <c r="O252" s="26">
        <v>44433</v>
      </c>
      <c r="P252" s="27">
        <v>79</v>
      </c>
      <c r="Q252" s="27">
        <v>42</v>
      </c>
      <c r="R252" s="27">
        <v>37</v>
      </c>
      <c r="S252" s="19">
        <v>42</v>
      </c>
      <c r="T252" s="2">
        <v>0</v>
      </c>
    </row>
    <row r="253" spans="1:20" x14ac:dyDescent="0.25">
      <c r="A253" t="s">
        <v>423</v>
      </c>
      <c r="B253" t="s">
        <v>427</v>
      </c>
      <c r="C253" t="s">
        <v>428</v>
      </c>
      <c r="D253" s="21">
        <v>42625</v>
      </c>
      <c r="F253" s="2">
        <v>100</v>
      </c>
      <c r="G253" s="25">
        <v>44355</v>
      </c>
      <c r="H253" s="26">
        <v>44432</v>
      </c>
      <c r="I253" s="26" t="s">
        <v>599</v>
      </c>
      <c r="J253" s="26" t="s">
        <v>676</v>
      </c>
      <c r="K253" s="26" t="s">
        <v>581</v>
      </c>
      <c r="L253" s="26" t="s">
        <v>581</v>
      </c>
      <c r="M253" s="26" t="s">
        <v>581</v>
      </c>
      <c r="N253" s="26">
        <v>44432</v>
      </c>
      <c r="O253" s="26">
        <v>44433</v>
      </c>
      <c r="P253" s="27">
        <v>53</v>
      </c>
      <c r="Q253" s="27">
        <v>14</v>
      </c>
      <c r="R253" s="27">
        <v>39</v>
      </c>
      <c r="S253" s="19">
        <v>14</v>
      </c>
      <c r="T253" s="2">
        <v>0</v>
      </c>
    </row>
    <row r="254" spans="1:20" x14ac:dyDescent="0.25">
      <c r="A254" t="s">
        <v>423</v>
      </c>
      <c r="B254" t="s">
        <v>427</v>
      </c>
      <c r="C254" t="s">
        <v>429</v>
      </c>
      <c r="D254" s="21">
        <v>43000</v>
      </c>
      <c r="F254" s="2">
        <v>100</v>
      </c>
      <c r="G254" s="25">
        <v>44355</v>
      </c>
      <c r="H254" s="26">
        <v>44432</v>
      </c>
      <c r="I254" s="26" t="s">
        <v>599</v>
      </c>
      <c r="J254" s="26" t="s">
        <v>676</v>
      </c>
      <c r="K254" s="26" t="s">
        <v>581</v>
      </c>
      <c r="L254" s="26" t="s">
        <v>581</v>
      </c>
      <c r="M254" s="26" t="s">
        <v>581</v>
      </c>
      <c r="N254" s="26">
        <v>44432</v>
      </c>
      <c r="O254" s="26">
        <v>44433</v>
      </c>
      <c r="P254" s="27">
        <v>12</v>
      </c>
      <c r="Q254" s="27">
        <v>2</v>
      </c>
      <c r="R254" s="27">
        <v>10</v>
      </c>
      <c r="S254" s="19">
        <v>2</v>
      </c>
      <c r="T254" s="2">
        <v>0</v>
      </c>
    </row>
    <row r="255" spans="1:20" x14ac:dyDescent="0.25">
      <c r="A255" t="s">
        <v>423</v>
      </c>
      <c r="B255" t="s">
        <v>427</v>
      </c>
      <c r="C255" t="s">
        <v>430</v>
      </c>
      <c r="D255" s="21">
        <v>43006</v>
      </c>
      <c r="F255" s="2">
        <v>100</v>
      </c>
      <c r="G255" s="25">
        <v>44355</v>
      </c>
      <c r="H255" s="26">
        <v>44432</v>
      </c>
      <c r="I255" s="26" t="s">
        <v>599</v>
      </c>
      <c r="J255" s="26" t="s">
        <v>676</v>
      </c>
      <c r="K255" s="26" t="s">
        <v>581</v>
      </c>
      <c r="L255" s="26" t="s">
        <v>581</v>
      </c>
      <c r="M255" s="26" t="s">
        <v>581</v>
      </c>
      <c r="N255" s="26">
        <v>44432</v>
      </c>
      <c r="O255" s="26">
        <v>44433</v>
      </c>
      <c r="P255" s="27">
        <v>9</v>
      </c>
      <c r="Q255" s="27">
        <v>3</v>
      </c>
      <c r="R255" s="27">
        <v>6</v>
      </c>
      <c r="S255" s="19">
        <v>3</v>
      </c>
      <c r="T255" s="2">
        <v>0</v>
      </c>
    </row>
    <row r="256" spans="1:20" x14ac:dyDescent="0.25">
      <c r="A256" t="s">
        <v>423</v>
      </c>
      <c r="B256" t="s">
        <v>427</v>
      </c>
      <c r="C256" t="s">
        <v>431</v>
      </c>
      <c r="D256" s="21">
        <v>43021</v>
      </c>
      <c r="F256" s="2">
        <v>100</v>
      </c>
      <c r="G256" s="25">
        <v>44355</v>
      </c>
      <c r="H256" s="26">
        <v>44432</v>
      </c>
      <c r="I256" s="26" t="s">
        <v>599</v>
      </c>
      <c r="J256" s="26" t="s">
        <v>676</v>
      </c>
      <c r="K256" s="26" t="s">
        <v>581</v>
      </c>
      <c r="L256" s="26" t="s">
        <v>581</v>
      </c>
      <c r="M256" s="26" t="s">
        <v>581</v>
      </c>
      <c r="N256" s="26">
        <v>44432</v>
      </c>
      <c r="O256" s="26">
        <v>44433</v>
      </c>
      <c r="P256" s="27">
        <v>8</v>
      </c>
      <c r="Q256" s="27">
        <v>1</v>
      </c>
      <c r="R256" s="27">
        <v>7</v>
      </c>
      <c r="S256" s="19">
        <v>1</v>
      </c>
      <c r="T256" s="2">
        <v>0</v>
      </c>
    </row>
    <row r="257" spans="1:21" x14ac:dyDescent="0.25">
      <c r="A257" t="s">
        <v>423</v>
      </c>
      <c r="B257" t="s">
        <v>427</v>
      </c>
      <c r="C257" t="s">
        <v>432</v>
      </c>
      <c r="D257" s="21">
        <v>43026</v>
      </c>
      <c r="F257" s="2">
        <v>100</v>
      </c>
      <c r="G257" s="25">
        <v>44355</v>
      </c>
      <c r="H257" s="26">
        <v>44432</v>
      </c>
      <c r="I257" s="26" t="s">
        <v>599</v>
      </c>
      <c r="J257" s="26" t="s">
        <v>676</v>
      </c>
      <c r="K257" s="26" t="s">
        <v>581</v>
      </c>
      <c r="L257" s="26" t="s">
        <v>581</v>
      </c>
      <c r="M257" s="26" t="s">
        <v>581</v>
      </c>
      <c r="N257" s="26">
        <v>44432</v>
      </c>
      <c r="O257" s="26">
        <v>44433</v>
      </c>
      <c r="P257" s="27">
        <v>32</v>
      </c>
      <c r="Q257" s="27">
        <v>21</v>
      </c>
      <c r="R257" s="27">
        <v>11</v>
      </c>
      <c r="S257" s="19">
        <v>21</v>
      </c>
      <c r="T257" s="2">
        <v>0</v>
      </c>
    </row>
    <row r="258" spans="1:21" ht="15.75" thickBot="1" x14ac:dyDescent="0.3">
      <c r="A258" t="s">
        <v>433</v>
      </c>
      <c r="B258" t="s">
        <v>434</v>
      </c>
      <c r="C258" t="s">
        <v>435</v>
      </c>
      <c r="D258" s="21">
        <v>43060</v>
      </c>
      <c r="F258" s="2">
        <v>0</v>
      </c>
      <c r="G258" s="22" t="s">
        <v>581</v>
      </c>
      <c r="H258" s="22" t="s">
        <v>581</v>
      </c>
      <c r="I258" s="25" t="s">
        <v>581</v>
      </c>
      <c r="J258" s="26" t="s">
        <v>676</v>
      </c>
      <c r="K258" s="26" t="s">
        <v>581</v>
      </c>
      <c r="L258" s="26" t="s">
        <v>581</v>
      </c>
      <c r="M258" s="26" t="s">
        <v>581</v>
      </c>
      <c r="N258" s="47">
        <v>44362</v>
      </c>
      <c r="O258" s="47">
        <v>44364</v>
      </c>
      <c r="P258" s="23">
        <v>10</v>
      </c>
      <c r="Q258" s="27">
        <v>0</v>
      </c>
      <c r="R258" s="27">
        <v>3</v>
      </c>
      <c r="S258" s="19" t="s">
        <v>581</v>
      </c>
      <c r="T258" s="2">
        <v>7</v>
      </c>
      <c r="U258" s="42" t="s">
        <v>689</v>
      </c>
    </row>
    <row r="259" spans="1:21" x14ac:dyDescent="0.25">
      <c r="A259" t="s">
        <v>433</v>
      </c>
      <c r="B259" t="s">
        <v>436</v>
      </c>
      <c r="C259" t="s">
        <v>437</v>
      </c>
      <c r="D259" s="21">
        <v>42285</v>
      </c>
      <c r="F259" s="2">
        <v>100</v>
      </c>
      <c r="G259" s="25">
        <v>44330</v>
      </c>
      <c r="H259" s="26">
        <v>44424</v>
      </c>
      <c r="I259" s="26" t="s">
        <v>599</v>
      </c>
      <c r="J259" s="26" t="s">
        <v>676</v>
      </c>
      <c r="K259" s="26" t="s">
        <v>581</v>
      </c>
      <c r="L259" s="26" t="s">
        <v>581</v>
      </c>
      <c r="M259" s="26" t="s">
        <v>581</v>
      </c>
      <c r="N259" s="26">
        <v>44424</v>
      </c>
      <c r="O259" s="26">
        <v>44425</v>
      </c>
      <c r="P259" s="27">
        <v>100</v>
      </c>
      <c r="Q259" s="27">
        <v>27</v>
      </c>
      <c r="R259" s="27">
        <v>73</v>
      </c>
      <c r="S259" s="19">
        <v>27</v>
      </c>
      <c r="T259" s="2">
        <v>0</v>
      </c>
    </row>
    <row r="260" spans="1:21" x14ac:dyDescent="0.25">
      <c r="A260" t="s">
        <v>433</v>
      </c>
      <c r="B260" t="s">
        <v>438</v>
      </c>
      <c r="C260" t="s">
        <v>439</v>
      </c>
      <c r="D260" s="21">
        <v>42299</v>
      </c>
      <c r="F260" s="2">
        <v>100</v>
      </c>
      <c r="G260" s="25">
        <v>44330</v>
      </c>
      <c r="H260" s="26">
        <v>44424</v>
      </c>
      <c r="I260" s="26" t="s">
        <v>599</v>
      </c>
      <c r="J260" s="26" t="s">
        <v>676</v>
      </c>
      <c r="K260" s="26" t="s">
        <v>581</v>
      </c>
      <c r="L260" s="26" t="s">
        <v>581</v>
      </c>
      <c r="M260" s="26" t="s">
        <v>581</v>
      </c>
      <c r="N260" s="26">
        <v>44424</v>
      </c>
      <c r="O260" s="26">
        <v>44425</v>
      </c>
      <c r="P260" s="27">
        <v>100</v>
      </c>
      <c r="Q260" s="27">
        <v>38</v>
      </c>
      <c r="R260" s="27">
        <v>62</v>
      </c>
      <c r="S260" s="19">
        <v>38</v>
      </c>
      <c r="T260" s="2">
        <v>0</v>
      </c>
    </row>
    <row r="261" spans="1:21" x14ac:dyDescent="0.25">
      <c r="A261" t="s">
        <v>433</v>
      </c>
      <c r="B261" t="s">
        <v>438</v>
      </c>
      <c r="C261" t="s">
        <v>440</v>
      </c>
      <c r="D261" s="21">
        <v>42684</v>
      </c>
      <c r="F261" s="2">
        <v>100</v>
      </c>
      <c r="G261" s="25">
        <v>44372</v>
      </c>
      <c r="H261" s="26">
        <v>44424</v>
      </c>
      <c r="I261" s="26" t="s">
        <v>599</v>
      </c>
      <c r="J261" s="26" t="s">
        <v>676</v>
      </c>
      <c r="K261" s="26" t="s">
        <v>581</v>
      </c>
      <c r="L261" s="26" t="s">
        <v>581</v>
      </c>
      <c r="M261" s="26" t="s">
        <v>581</v>
      </c>
      <c r="N261" s="26">
        <v>44424</v>
      </c>
      <c r="O261" s="26">
        <v>44425</v>
      </c>
      <c r="P261" s="27">
        <v>100</v>
      </c>
      <c r="Q261" s="27">
        <v>23</v>
      </c>
      <c r="R261" s="27">
        <v>77</v>
      </c>
      <c r="S261" s="19">
        <v>23</v>
      </c>
      <c r="T261" s="2">
        <v>0</v>
      </c>
    </row>
    <row r="262" spans="1:21" ht="15.75" thickBot="1" x14ac:dyDescent="0.3">
      <c r="A262" t="s">
        <v>441</v>
      </c>
      <c r="B262" t="s">
        <v>442</v>
      </c>
      <c r="C262" t="s">
        <v>443</v>
      </c>
      <c r="D262" s="21">
        <v>43028</v>
      </c>
      <c r="F262" s="2">
        <v>0</v>
      </c>
      <c r="G262" s="25" t="s">
        <v>581</v>
      </c>
      <c r="H262" t="s">
        <v>581</v>
      </c>
      <c r="I262" s="26" t="s">
        <v>581</v>
      </c>
      <c r="J262" s="26" t="s">
        <v>676</v>
      </c>
      <c r="K262" s="26" t="s">
        <v>581</v>
      </c>
      <c r="L262" s="26" t="s">
        <v>581</v>
      </c>
      <c r="M262" s="26" t="s">
        <v>581</v>
      </c>
      <c r="N262" s="43">
        <v>44321</v>
      </c>
      <c r="O262" s="43">
        <v>44323</v>
      </c>
      <c r="P262" s="23">
        <v>17</v>
      </c>
      <c r="Q262" s="27">
        <v>0</v>
      </c>
      <c r="R262" s="27">
        <v>0</v>
      </c>
      <c r="S262" s="19" t="s">
        <v>581</v>
      </c>
      <c r="T262" s="23">
        <v>17</v>
      </c>
      <c r="U262" s="42" t="s">
        <v>689</v>
      </c>
    </row>
    <row r="263" spans="1:21" x14ac:dyDescent="0.25">
      <c r="A263" t="s">
        <v>441</v>
      </c>
      <c r="B263" t="s">
        <v>442</v>
      </c>
      <c r="C263" t="s">
        <v>444</v>
      </c>
      <c r="D263" s="21">
        <v>43048</v>
      </c>
      <c r="F263" s="2">
        <v>100</v>
      </c>
      <c r="G263" s="25">
        <v>44354</v>
      </c>
      <c r="H263" s="26">
        <v>44414</v>
      </c>
      <c r="I263" s="26" t="s">
        <v>600</v>
      </c>
      <c r="J263" s="26" t="s">
        <v>581</v>
      </c>
      <c r="K263" s="26" t="s">
        <v>581</v>
      </c>
      <c r="L263" s="26" t="s">
        <v>581</v>
      </c>
      <c r="M263" s="26" t="s">
        <v>581</v>
      </c>
      <c r="N263" t="s">
        <v>581</v>
      </c>
      <c r="O263" t="s">
        <v>581</v>
      </c>
      <c r="P263" s="27" t="s">
        <v>581</v>
      </c>
      <c r="Q263" s="27" t="s">
        <v>581</v>
      </c>
      <c r="R263" s="27" t="s">
        <v>581</v>
      </c>
      <c r="S263" s="19">
        <v>0</v>
      </c>
      <c r="T263" s="2">
        <v>0</v>
      </c>
    </row>
    <row r="264" spans="1:21" x14ac:dyDescent="0.25">
      <c r="A264" t="s">
        <v>441</v>
      </c>
      <c r="B264" t="s">
        <v>442</v>
      </c>
      <c r="C264" t="s">
        <v>445</v>
      </c>
      <c r="D264" s="21">
        <v>43049</v>
      </c>
      <c r="F264" s="2">
        <v>100</v>
      </c>
      <c r="G264" s="25">
        <v>44354</v>
      </c>
      <c r="H264" s="26">
        <v>44414</v>
      </c>
      <c r="I264" s="26" t="s">
        <v>600</v>
      </c>
      <c r="J264" s="26" t="s">
        <v>581</v>
      </c>
      <c r="K264" s="26" t="s">
        <v>581</v>
      </c>
      <c r="L264" s="26" t="s">
        <v>581</v>
      </c>
      <c r="M264" s="26" t="s">
        <v>581</v>
      </c>
      <c r="N264" t="s">
        <v>581</v>
      </c>
      <c r="O264" t="s">
        <v>581</v>
      </c>
      <c r="P264" s="27" t="s">
        <v>581</v>
      </c>
      <c r="Q264" s="27" t="s">
        <v>581</v>
      </c>
      <c r="R264" s="27" t="s">
        <v>581</v>
      </c>
      <c r="S264" s="19">
        <v>0</v>
      </c>
      <c r="T264" s="2">
        <v>0</v>
      </c>
    </row>
    <row r="265" spans="1:21" x14ac:dyDescent="0.25">
      <c r="A265" t="s">
        <v>441</v>
      </c>
      <c r="B265" t="s">
        <v>446</v>
      </c>
      <c r="C265" t="s">
        <v>447</v>
      </c>
      <c r="D265" s="21">
        <v>43039</v>
      </c>
      <c r="F265" s="2">
        <v>100</v>
      </c>
      <c r="G265" s="25">
        <v>44354</v>
      </c>
      <c r="H265" s="26">
        <v>44414</v>
      </c>
      <c r="I265" s="26" t="s">
        <v>600</v>
      </c>
      <c r="J265" s="26" t="s">
        <v>581</v>
      </c>
      <c r="K265" s="26" t="s">
        <v>581</v>
      </c>
      <c r="L265" s="26" t="s">
        <v>581</v>
      </c>
      <c r="M265" s="26" t="s">
        <v>581</v>
      </c>
      <c r="N265" t="s">
        <v>581</v>
      </c>
      <c r="O265" t="s">
        <v>581</v>
      </c>
      <c r="P265" s="27" t="s">
        <v>581</v>
      </c>
      <c r="Q265" s="27" t="s">
        <v>581</v>
      </c>
      <c r="R265" s="27" t="s">
        <v>581</v>
      </c>
      <c r="S265" s="19">
        <v>0</v>
      </c>
      <c r="T265" s="2">
        <v>0</v>
      </c>
    </row>
    <row r="266" spans="1:21" x14ac:dyDescent="0.25">
      <c r="A266" t="s">
        <v>441</v>
      </c>
      <c r="B266" t="s">
        <v>218</v>
      </c>
      <c r="C266" t="s">
        <v>448</v>
      </c>
      <c r="D266" s="21">
        <v>42285</v>
      </c>
      <c r="F266" s="2">
        <v>100</v>
      </c>
      <c r="G266" s="25">
        <v>44354</v>
      </c>
      <c r="H266" s="26">
        <v>44414</v>
      </c>
      <c r="I266" s="26" t="s">
        <v>600</v>
      </c>
      <c r="J266" s="26" t="s">
        <v>581</v>
      </c>
      <c r="K266" s="26" t="s">
        <v>581</v>
      </c>
      <c r="L266" s="26" t="s">
        <v>581</v>
      </c>
      <c r="M266" s="26" t="s">
        <v>581</v>
      </c>
      <c r="N266" t="s">
        <v>581</v>
      </c>
      <c r="O266" t="s">
        <v>581</v>
      </c>
      <c r="P266" s="27" t="s">
        <v>581</v>
      </c>
      <c r="Q266" s="27" t="s">
        <v>581</v>
      </c>
      <c r="R266" s="27" t="s">
        <v>581</v>
      </c>
      <c r="S266" s="19">
        <v>0</v>
      </c>
      <c r="T266" s="2">
        <v>0</v>
      </c>
    </row>
    <row r="267" spans="1:21" ht="15.75" thickBot="1" x14ac:dyDescent="0.3">
      <c r="A267" t="s">
        <v>441</v>
      </c>
      <c r="B267" t="s">
        <v>449</v>
      </c>
      <c r="C267" t="s">
        <v>450</v>
      </c>
      <c r="D267" s="21">
        <v>42303</v>
      </c>
      <c r="F267" s="2">
        <v>0</v>
      </c>
      <c r="G267" s="22" t="s">
        <v>581</v>
      </c>
      <c r="H267" s="22" t="s">
        <v>581</v>
      </c>
      <c r="I267" s="25" t="s">
        <v>581</v>
      </c>
      <c r="J267" s="26" t="s">
        <v>676</v>
      </c>
      <c r="K267" s="26" t="s">
        <v>581</v>
      </c>
      <c r="L267" s="26" t="s">
        <v>581</v>
      </c>
      <c r="M267" s="26" t="s">
        <v>581</v>
      </c>
      <c r="N267" s="43">
        <v>44319</v>
      </c>
      <c r="O267" s="43">
        <v>44323</v>
      </c>
      <c r="P267" s="23">
        <v>11</v>
      </c>
      <c r="Q267" s="27">
        <v>0</v>
      </c>
      <c r="R267" s="27">
        <v>0</v>
      </c>
      <c r="S267" s="19" t="s">
        <v>581</v>
      </c>
      <c r="T267" s="23">
        <v>11</v>
      </c>
      <c r="U267" s="42" t="s">
        <v>689</v>
      </c>
    </row>
    <row r="268" spans="1:21" x14ac:dyDescent="0.25">
      <c r="A268" t="s">
        <v>441</v>
      </c>
      <c r="B268" t="s">
        <v>451</v>
      </c>
      <c r="C268" t="s">
        <v>452</v>
      </c>
      <c r="D268" s="21">
        <v>43012</v>
      </c>
      <c r="F268" s="2">
        <v>100</v>
      </c>
      <c r="G268" s="25">
        <v>44354</v>
      </c>
      <c r="H268" s="26">
        <v>44414</v>
      </c>
      <c r="I268" s="26" t="s">
        <v>600</v>
      </c>
      <c r="J268" s="26" t="s">
        <v>581</v>
      </c>
      <c r="K268" s="26" t="s">
        <v>581</v>
      </c>
      <c r="L268" s="26" t="s">
        <v>581</v>
      </c>
      <c r="M268" s="26" t="s">
        <v>581</v>
      </c>
      <c r="N268" t="s">
        <v>581</v>
      </c>
      <c r="O268" t="s">
        <v>581</v>
      </c>
      <c r="P268" s="27" t="s">
        <v>581</v>
      </c>
      <c r="Q268" s="23" t="s">
        <v>581</v>
      </c>
      <c r="R268" s="27" t="s">
        <v>581</v>
      </c>
      <c r="S268" s="19">
        <v>0</v>
      </c>
      <c r="T268" s="2">
        <v>0</v>
      </c>
    </row>
    <row r="269" spans="1:21" x14ac:dyDescent="0.25">
      <c r="A269" t="s">
        <v>441</v>
      </c>
      <c r="B269" t="s">
        <v>453</v>
      </c>
      <c r="C269" t="s">
        <v>454</v>
      </c>
      <c r="D269" s="21">
        <v>42300</v>
      </c>
      <c r="F269" s="2">
        <v>100</v>
      </c>
      <c r="G269" s="25">
        <v>44354</v>
      </c>
      <c r="H269" s="26">
        <v>44414</v>
      </c>
      <c r="I269" s="26" t="s">
        <v>600</v>
      </c>
      <c r="J269" s="26" t="s">
        <v>581</v>
      </c>
      <c r="K269" s="26" t="s">
        <v>581</v>
      </c>
      <c r="L269" s="26" t="s">
        <v>581</v>
      </c>
      <c r="M269" s="26" t="s">
        <v>581</v>
      </c>
      <c r="N269" t="s">
        <v>581</v>
      </c>
      <c r="O269" t="s">
        <v>581</v>
      </c>
      <c r="P269" s="27" t="s">
        <v>581</v>
      </c>
      <c r="Q269" s="23" t="s">
        <v>581</v>
      </c>
      <c r="R269" s="27" t="s">
        <v>581</v>
      </c>
      <c r="S269" s="19">
        <v>0</v>
      </c>
      <c r="T269" s="2">
        <v>0</v>
      </c>
    </row>
    <row r="270" spans="1:21" x14ac:dyDescent="0.25">
      <c r="A270" t="s">
        <v>441</v>
      </c>
      <c r="B270" t="s">
        <v>453</v>
      </c>
      <c r="C270" t="s">
        <v>455</v>
      </c>
      <c r="D270" s="21">
        <v>43021</v>
      </c>
      <c r="F270" s="2">
        <v>100</v>
      </c>
      <c r="G270" s="25">
        <v>44354</v>
      </c>
      <c r="H270" s="26">
        <v>44414</v>
      </c>
      <c r="I270" s="26" t="s">
        <v>600</v>
      </c>
      <c r="J270" s="26" t="s">
        <v>581</v>
      </c>
      <c r="K270" s="26" t="s">
        <v>581</v>
      </c>
      <c r="L270" s="26" t="s">
        <v>581</v>
      </c>
      <c r="M270" s="26" t="s">
        <v>581</v>
      </c>
      <c r="N270" t="s">
        <v>581</v>
      </c>
      <c r="O270" t="s">
        <v>581</v>
      </c>
      <c r="P270" s="27" t="s">
        <v>581</v>
      </c>
      <c r="Q270" s="23" t="s">
        <v>581</v>
      </c>
      <c r="R270" s="27" t="s">
        <v>581</v>
      </c>
      <c r="S270" s="19">
        <v>0</v>
      </c>
      <c r="T270" s="2">
        <v>0</v>
      </c>
    </row>
    <row r="271" spans="1:21" x14ac:dyDescent="0.25">
      <c r="A271" t="s">
        <v>441</v>
      </c>
      <c r="B271" t="s">
        <v>453</v>
      </c>
      <c r="C271" t="s">
        <v>456</v>
      </c>
      <c r="D271" s="21">
        <v>43041</v>
      </c>
      <c r="F271" s="2">
        <v>100</v>
      </c>
      <c r="G271" s="25">
        <v>44354</v>
      </c>
      <c r="H271" s="26">
        <v>44414</v>
      </c>
      <c r="I271" s="26" t="s">
        <v>600</v>
      </c>
      <c r="J271" s="26" t="s">
        <v>581</v>
      </c>
      <c r="K271" s="26" t="s">
        <v>581</v>
      </c>
      <c r="L271" s="26" t="s">
        <v>581</v>
      </c>
      <c r="M271" s="26" t="s">
        <v>581</v>
      </c>
      <c r="N271" t="s">
        <v>581</v>
      </c>
      <c r="O271" t="s">
        <v>581</v>
      </c>
      <c r="P271" s="27" t="s">
        <v>581</v>
      </c>
      <c r="Q271" s="23" t="s">
        <v>581</v>
      </c>
      <c r="R271" s="27" t="s">
        <v>581</v>
      </c>
      <c r="S271" s="19">
        <v>0</v>
      </c>
      <c r="T271" s="2">
        <v>0</v>
      </c>
    </row>
    <row r="272" spans="1:21" x14ac:dyDescent="0.25">
      <c r="A272" t="s">
        <v>441</v>
      </c>
      <c r="B272" t="s">
        <v>453</v>
      </c>
      <c r="C272" t="s">
        <v>457</v>
      </c>
      <c r="D272" s="21">
        <v>43046</v>
      </c>
      <c r="F272" s="2">
        <v>100</v>
      </c>
      <c r="G272" s="25">
        <v>44354</v>
      </c>
      <c r="H272" s="26">
        <v>44414</v>
      </c>
      <c r="I272" s="26" t="s">
        <v>600</v>
      </c>
      <c r="J272" s="26" t="s">
        <v>581</v>
      </c>
      <c r="K272" s="26" t="s">
        <v>581</v>
      </c>
      <c r="L272" s="26" t="s">
        <v>581</v>
      </c>
      <c r="M272" s="26" t="s">
        <v>581</v>
      </c>
      <c r="N272" t="s">
        <v>581</v>
      </c>
      <c r="O272" t="s">
        <v>581</v>
      </c>
      <c r="P272" s="27" t="s">
        <v>581</v>
      </c>
      <c r="Q272" s="23" t="s">
        <v>581</v>
      </c>
      <c r="R272" s="27" t="s">
        <v>581</v>
      </c>
      <c r="S272" s="19">
        <v>0</v>
      </c>
      <c r="T272" s="2">
        <v>0</v>
      </c>
    </row>
    <row r="273" spans="1:20" x14ac:dyDescent="0.25">
      <c r="A273" t="s">
        <v>441</v>
      </c>
      <c r="B273" t="s">
        <v>453</v>
      </c>
      <c r="C273" t="s">
        <v>458</v>
      </c>
      <c r="D273" s="21">
        <v>43047</v>
      </c>
      <c r="F273" s="2">
        <v>100</v>
      </c>
      <c r="G273" s="25">
        <v>44354</v>
      </c>
      <c r="H273" s="26">
        <v>44414</v>
      </c>
      <c r="I273" s="26" t="s">
        <v>600</v>
      </c>
      <c r="J273" s="26" t="s">
        <v>581</v>
      </c>
      <c r="K273" s="26" t="s">
        <v>581</v>
      </c>
      <c r="L273" s="26" t="s">
        <v>581</v>
      </c>
      <c r="M273" s="26" t="s">
        <v>581</v>
      </c>
      <c r="N273" t="s">
        <v>581</v>
      </c>
      <c r="O273" t="s">
        <v>581</v>
      </c>
      <c r="P273" s="27" t="s">
        <v>581</v>
      </c>
      <c r="Q273" s="23" t="s">
        <v>581</v>
      </c>
      <c r="R273" s="27" t="s">
        <v>581</v>
      </c>
      <c r="S273" s="19">
        <v>0</v>
      </c>
      <c r="T273" s="2">
        <v>0</v>
      </c>
    </row>
    <row r="274" spans="1:20" x14ac:dyDescent="0.25">
      <c r="A274" t="s">
        <v>441</v>
      </c>
      <c r="B274" t="s">
        <v>453</v>
      </c>
      <c r="C274" t="s">
        <v>459</v>
      </c>
      <c r="D274" s="21">
        <v>43049</v>
      </c>
      <c r="F274" s="2">
        <v>100</v>
      </c>
      <c r="G274" s="25">
        <v>44354</v>
      </c>
      <c r="H274" s="26">
        <v>44414</v>
      </c>
      <c r="I274" s="26" t="s">
        <v>600</v>
      </c>
      <c r="J274" s="26" t="s">
        <v>581</v>
      </c>
      <c r="K274" s="26" t="s">
        <v>581</v>
      </c>
      <c r="L274" s="26" t="s">
        <v>581</v>
      </c>
      <c r="M274" s="26" t="s">
        <v>581</v>
      </c>
      <c r="N274" t="s">
        <v>581</v>
      </c>
      <c r="O274" t="s">
        <v>581</v>
      </c>
      <c r="P274" s="27" t="s">
        <v>581</v>
      </c>
      <c r="Q274" s="23" t="s">
        <v>581</v>
      </c>
      <c r="R274" s="27" t="s">
        <v>581</v>
      </c>
      <c r="S274" s="19">
        <v>0</v>
      </c>
      <c r="T274" s="2">
        <v>0</v>
      </c>
    </row>
    <row r="275" spans="1:20" x14ac:dyDescent="0.25">
      <c r="A275" t="s">
        <v>441</v>
      </c>
      <c r="B275" t="s">
        <v>453</v>
      </c>
      <c r="C275" t="s">
        <v>460</v>
      </c>
      <c r="D275" s="21">
        <v>43054</v>
      </c>
      <c r="F275" s="2">
        <v>100</v>
      </c>
      <c r="G275" s="25">
        <v>44354</v>
      </c>
      <c r="H275" s="26">
        <v>44414</v>
      </c>
      <c r="I275" s="26" t="s">
        <v>600</v>
      </c>
      <c r="J275" s="26" t="s">
        <v>581</v>
      </c>
      <c r="K275" s="26" t="s">
        <v>581</v>
      </c>
      <c r="L275" s="26" t="s">
        <v>581</v>
      </c>
      <c r="M275" s="26" t="s">
        <v>581</v>
      </c>
      <c r="N275" t="s">
        <v>581</v>
      </c>
      <c r="O275" t="s">
        <v>581</v>
      </c>
      <c r="P275" s="27" t="s">
        <v>581</v>
      </c>
      <c r="Q275" s="23" t="s">
        <v>581</v>
      </c>
      <c r="R275" s="27" t="s">
        <v>581</v>
      </c>
      <c r="S275" s="19">
        <v>0</v>
      </c>
      <c r="T275" s="2">
        <v>0</v>
      </c>
    </row>
    <row r="276" spans="1:20" x14ac:dyDescent="0.25">
      <c r="A276" t="s">
        <v>441</v>
      </c>
      <c r="B276" t="s">
        <v>461</v>
      </c>
      <c r="C276" t="s">
        <v>462</v>
      </c>
      <c r="D276" s="21">
        <v>43026</v>
      </c>
      <c r="F276" s="2">
        <v>100</v>
      </c>
      <c r="G276" s="25">
        <v>44354</v>
      </c>
      <c r="H276" s="26">
        <v>44414</v>
      </c>
      <c r="I276" s="26" t="s">
        <v>600</v>
      </c>
      <c r="J276" s="26" t="s">
        <v>581</v>
      </c>
      <c r="K276" s="26" t="s">
        <v>581</v>
      </c>
      <c r="L276" s="26" t="s">
        <v>581</v>
      </c>
      <c r="M276" s="26" t="s">
        <v>581</v>
      </c>
      <c r="N276" t="s">
        <v>581</v>
      </c>
      <c r="O276" t="s">
        <v>581</v>
      </c>
      <c r="P276" s="27" t="s">
        <v>581</v>
      </c>
      <c r="Q276" s="23" t="s">
        <v>581</v>
      </c>
      <c r="R276" s="27" t="s">
        <v>581</v>
      </c>
      <c r="S276" s="19">
        <v>0</v>
      </c>
      <c r="T276" s="2">
        <v>0</v>
      </c>
    </row>
    <row r="277" spans="1:20" x14ac:dyDescent="0.25">
      <c r="A277" t="s">
        <v>441</v>
      </c>
      <c r="B277" t="s">
        <v>461</v>
      </c>
      <c r="C277" t="s">
        <v>463</v>
      </c>
      <c r="D277" s="21">
        <v>43027</v>
      </c>
      <c r="F277" s="2">
        <v>100</v>
      </c>
      <c r="G277" s="25">
        <v>44354</v>
      </c>
      <c r="H277" s="26">
        <v>44414</v>
      </c>
      <c r="I277" s="26" t="s">
        <v>600</v>
      </c>
      <c r="J277" s="26" t="s">
        <v>581</v>
      </c>
      <c r="K277" s="26" t="s">
        <v>581</v>
      </c>
      <c r="L277" s="26" t="s">
        <v>581</v>
      </c>
      <c r="M277" s="26" t="s">
        <v>581</v>
      </c>
      <c r="N277" t="s">
        <v>581</v>
      </c>
      <c r="O277" t="s">
        <v>581</v>
      </c>
      <c r="P277" s="27" t="s">
        <v>581</v>
      </c>
      <c r="Q277" s="23" t="s">
        <v>581</v>
      </c>
      <c r="R277" s="27" t="s">
        <v>581</v>
      </c>
      <c r="S277" s="19">
        <v>0</v>
      </c>
      <c r="T277" s="2">
        <v>0</v>
      </c>
    </row>
    <row r="278" spans="1:20" x14ac:dyDescent="0.25">
      <c r="A278" t="s">
        <v>441</v>
      </c>
      <c r="B278" t="s">
        <v>461</v>
      </c>
      <c r="C278" t="s">
        <v>464</v>
      </c>
      <c r="D278" s="21">
        <v>43042</v>
      </c>
      <c r="F278" s="2">
        <v>100</v>
      </c>
      <c r="G278" s="25">
        <v>44354</v>
      </c>
      <c r="H278" s="26">
        <v>44414</v>
      </c>
      <c r="I278" s="26" t="s">
        <v>600</v>
      </c>
      <c r="J278" s="26" t="s">
        <v>581</v>
      </c>
      <c r="K278" s="26" t="s">
        <v>581</v>
      </c>
      <c r="L278" s="26" t="s">
        <v>581</v>
      </c>
      <c r="M278" s="26" t="s">
        <v>581</v>
      </c>
      <c r="N278" t="s">
        <v>581</v>
      </c>
      <c r="O278" t="s">
        <v>581</v>
      </c>
      <c r="P278" s="27" t="s">
        <v>581</v>
      </c>
      <c r="Q278" s="23" t="s">
        <v>581</v>
      </c>
      <c r="R278" s="27" t="s">
        <v>581</v>
      </c>
      <c r="S278" s="19">
        <v>0</v>
      </c>
      <c r="T278" s="2">
        <v>0</v>
      </c>
    </row>
    <row r="279" spans="1:20" x14ac:dyDescent="0.25">
      <c r="A279" t="s">
        <v>441</v>
      </c>
      <c r="B279" t="s">
        <v>461</v>
      </c>
      <c r="C279" t="s">
        <v>465</v>
      </c>
      <c r="D279" s="21">
        <v>43046</v>
      </c>
      <c r="F279" s="2">
        <v>100</v>
      </c>
      <c r="G279" s="25">
        <v>44354</v>
      </c>
      <c r="H279" s="26">
        <v>44414</v>
      </c>
      <c r="I279" s="26" t="s">
        <v>600</v>
      </c>
      <c r="J279" s="26" t="s">
        <v>581</v>
      </c>
      <c r="K279" s="26" t="s">
        <v>581</v>
      </c>
      <c r="L279" s="26" t="s">
        <v>581</v>
      </c>
      <c r="M279" s="26" t="s">
        <v>581</v>
      </c>
      <c r="N279" t="s">
        <v>581</v>
      </c>
      <c r="O279" t="s">
        <v>581</v>
      </c>
      <c r="P279" s="27" t="s">
        <v>581</v>
      </c>
      <c r="Q279" s="23" t="s">
        <v>581</v>
      </c>
      <c r="R279" s="27" t="s">
        <v>581</v>
      </c>
      <c r="S279" s="19">
        <v>0</v>
      </c>
      <c r="T279" s="2">
        <v>0</v>
      </c>
    </row>
    <row r="280" spans="1:20" x14ac:dyDescent="0.25">
      <c r="A280" t="s">
        <v>441</v>
      </c>
      <c r="B280" t="s">
        <v>461</v>
      </c>
      <c r="C280" t="s">
        <v>466</v>
      </c>
      <c r="D280" s="21">
        <v>43049</v>
      </c>
      <c r="F280" s="2">
        <v>100</v>
      </c>
      <c r="G280" s="25">
        <v>44354</v>
      </c>
      <c r="H280" s="26">
        <v>44414</v>
      </c>
      <c r="I280" s="26" t="s">
        <v>600</v>
      </c>
      <c r="J280" s="26" t="s">
        <v>581</v>
      </c>
      <c r="K280" s="26" t="s">
        <v>581</v>
      </c>
      <c r="L280" s="26" t="s">
        <v>581</v>
      </c>
      <c r="M280" s="26" t="s">
        <v>581</v>
      </c>
      <c r="N280" t="s">
        <v>581</v>
      </c>
      <c r="O280" t="s">
        <v>581</v>
      </c>
      <c r="P280" s="27" t="s">
        <v>581</v>
      </c>
      <c r="Q280" s="23" t="s">
        <v>581</v>
      </c>
      <c r="R280" s="27" t="s">
        <v>581</v>
      </c>
      <c r="S280" s="19">
        <v>0</v>
      </c>
      <c r="T280" s="2">
        <v>0</v>
      </c>
    </row>
    <row r="281" spans="1:20" x14ac:dyDescent="0.25">
      <c r="A281" t="s">
        <v>441</v>
      </c>
      <c r="B281" t="s">
        <v>461</v>
      </c>
      <c r="C281" t="s">
        <v>467</v>
      </c>
      <c r="D281" s="21">
        <v>43053</v>
      </c>
      <c r="F281" s="2">
        <v>100</v>
      </c>
      <c r="G281" s="25">
        <v>44354</v>
      </c>
      <c r="H281" s="26">
        <v>44414</v>
      </c>
      <c r="I281" s="26" t="s">
        <v>600</v>
      </c>
      <c r="J281" s="26" t="s">
        <v>581</v>
      </c>
      <c r="K281" s="26" t="s">
        <v>581</v>
      </c>
      <c r="L281" s="26" t="s">
        <v>581</v>
      </c>
      <c r="M281" s="26" t="s">
        <v>581</v>
      </c>
      <c r="N281" t="s">
        <v>581</v>
      </c>
      <c r="O281" t="s">
        <v>581</v>
      </c>
      <c r="P281" s="27" t="s">
        <v>581</v>
      </c>
      <c r="Q281" s="23" t="s">
        <v>581</v>
      </c>
      <c r="R281" s="27" t="s">
        <v>581</v>
      </c>
      <c r="S281" s="19">
        <v>0</v>
      </c>
      <c r="T281" s="2">
        <v>0</v>
      </c>
    </row>
    <row r="282" spans="1:20" x14ac:dyDescent="0.25">
      <c r="A282" t="s">
        <v>441</v>
      </c>
      <c r="B282" t="s">
        <v>461</v>
      </c>
      <c r="C282" t="s">
        <v>468</v>
      </c>
      <c r="D282" s="21">
        <v>43054</v>
      </c>
      <c r="F282" s="2">
        <v>100</v>
      </c>
      <c r="G282" s="25">
        <v>44354</v>
      </c>
      <c r="H282" s="26">
        <v>44414</v>
      </c>
      <c r="I282" s="26" t="s">
        <v>600</v>
      </c>
      <c r="J282" s="26" t="s">
        <v>581</v>
      </c>
      <c r="K282" s="26" t="s">
        <v>581</v>
      </c>
      <c r="L282" s="26" t="s">
        <v>581</v>
      </c>
      <c r="M282" s="26" t="s">
        <v>581</v>
      </c>
      <c r="N282" t="s">
        <v>581</v>
      </c>
      <c r="O282" t="s">
        <v>581</v>
      </c>
      <c r="P282" s="27" t="s">
        <v>581</v>
      </c>
      <c r="Q282" s="23" t="s">
        <v>581</v>
      </c>
      <c r="R282" s="27" t="s">
        <v>581</v>
      </c>
      <c r="S282" s="19">
        <v>0</v>
      </c>
      <c r="T282" s="2">
        <v>0</v>
      </c>
    </row>
    <row r="283" spans="1:20" x14ac:dyDescent="0.25">
      <c r="A283" t="s">
        <v>441</v>
      </c>
      <c r="B283" t="s">
        <v>461</v>
      </c>
      <c r="C283" t="s">
        <v>469</v>
      </c>
      <c r="D283" s="21">
        <v>43060</v>
      </c>
      <c r="F283" s="2">
        <v>100</v>
      </c>
      <c r="G283" s="25">
        <v>44354</v>
      </c>
      <c r="H283" s="26">
        <v>44414</v>
      </c>
      <c r="I283" s="26" t="s">
        <v>600</v>
      </c>
      <c r="J283" s="26" t="s">
        <v>581</v>
      </c>
      <c r="K283" s="26" t="s">
        <v>581</v>
      </c>
      <c r="L283" s="26" t="s">
        <v>581</v>
      </c>
      <c r="M283" s="26" t="s">
        <v>581</v>
      </c>
      <c r="N283" t="s">
        <v>581</v>
      </c>
      <c r="O283" t="s">
        <v>581</v>
      </c>
      <c r="P283" s="27" t="s">
        <v>581</v>
      </c>
      <c r="Q283" s="23" t="s">
        <v>581</v>
      </c>
      <c r="R283" s="27" t="s">
        <v>581</v>
      </c>
      <c r="S283" s="19">
        <v>0</v>
      </c>
      <c r="T283" s="2">
        <v>0</v>
      </c>
    </row>
    <row r="284" spans="1:20" x14ac:dyDescent="0.25">
      <c r="A284" t="s">
        <v>470</v>
      </c>
      <c r="B284" t="s">
        <v>471</v>
      </c>
      <c r="C284" t="s">
        <v>472</v>
      </c>
      <c r="D284" s="21">
        <v>42304</v>
      </c>
      <c r="F284" s="2">
        <v>100</v>
      </c>
      <c r="G284" s="25">
        <v>44343</v>
      </c>
      <c r="H284" s="26">
        <v>44391</v>
      </c>
      <c r="I284" s="26" t="s">
        <v>600</v>
      </c>
      <c r="J284" s="26" t="s">
        <v>581</v>
      </c>
      <c r="K284" s="26" t="s">
        <v>581</v>
      </c>
      <c r="L284" s="26" t="s">
        <v>581</v>
      </c>
      <c r="M284" s="26" t="s">
        <v>581</v>
      </c>
      <c r="N284" t="s">
        <v>581</v>
      </c>
      <c r="O284" t="s">
        <v>581</v>
      </c>
      <c r="P284" s="27" t="s">
        <v>581</v>
      </c>
      <c r="Q284" s="23" t="s">
        <v>581</v>
      </c>
      <c r="R284" s="27" t="s">
        <v>581</v>
      </c>
      <c r="S284" s="19">
        <v>0</v>
      </c>
      <c r="T284" s="2">
        <v>0</v>
      </c>
    </row>
    <row r="285" spans="1:20" x14ac:dyDescent="0.25">
      <c r="A285" t="s">
        <v>470</v>
      </c>
      <c r="B285" t="s">
        <v>471</v>
      </c>
      <c r="C285" t="s">
        <v>473</v>
      </c>
      <c r="D285" s="21">
        <v>42294</v>
      </c>
      <c r="F285" s="2">
        <v>94</v>
      </c>
      <c r="G285" s="25">
        <v>44343</v>
      </c>
      <c r="H285" s="26">
        <v>44391</v>
      </c>
      <c r="I285" s="26" t="s">
        <v>600</v>
      </c>
      <c r="J285" s="26" t="s">
        <v>581</v>
      </c>
      <c r="K285" s="26" t="s">
        <v>581</v>
      </c>
      <c r="L285" s="26" t="s">
        <v>581</v>
      </c>
      <c r="M285" s="26" t="s">
        <v>581</v>
      </c>
      <c r="N285" t="s">
        <v>581</v>
      </c>
      <c r="O285" t="s">
        <v>581</v>
      </c>
      <c r="P285" s="27" t="s">
        <v>581</v>
      </c>
      <c r="Q285" s="23" t="s">
        <v>581</v>
      </c>
      <c r="R285" s="27" t="s">
        <v>581</v>
      </c>
      <c r="S285" s="19">
        <v>0</v>
      </c>
      <c r="T285" s="2">
        <v>0</v>
      </c>
    </row>
    <row r="286" spans="1:20" x14ac:dyDescent="0.25">
      <c r="A286" t="s">
        <v>470</v>
      </c>
      <c r="B286" t="s">
        <v>471</v>
      </c>
      <c r="C286" t="s">
        <v>474</v>
      </c>
      <c r="D286" s="21">
        <v>42303</v>
      </c>
      <c r="F286" s="2">
        <v>100</v>
      </c>
      <c r="G286" s="25">
        <v>44343</v>
      </c>
      <c r="H286" s="26">
        <v>44391</v>
      </c>
      <c r="I286" s="26" t="s">
        <v>600</v>
      </c>
      <c r="J286" s="26" t="s">
        <v>581</v>
      </c>
      <c r="K286" s="26" t="s">
        <v>581</v>
      </c>
      <c r="L286" s="26" t="s">
        <v>581</v>
      </c>
      <c r="M286" s="26" t="s">
        <v>581</v>
      </c>
      <c r="N286" t="s">
        <v>581</v>
      </c>
      <c r="O286" t="s">
        <v>581</v>
      </c>
      <c r="P286" s="27" t="s">
        <v>581</v>
      </c>
      <c r="Q286" s="23" t="s">
        <v>581</v>
      </c>
      <c r="R286" s="27" t="s">
        <v>581</v>
      </c>
      <c r="S286" s="19">
        <v>0</v>
      </c>
      <c r="T286" s="2">
        <v>0</v>
      </c>
    </row>
    <row r="287" spans="1:20" x14ac:dyDescent="0.25">
      <c r="A287" t="s">
        <v>470</v>
      </c>
      <c r="B287" t="s">
        <v>471</v>
      </c>
      <c r="C287" t="s">
        <v>475</v>
      </c>
      <c r="D287" s="21">
        <v>42295</v>
      </c>
      <c r="F287" s="2">
        <v>100</v>
      </c>
      <c r="G287" s="25">
        <v>44343</v>
      </c>
      <c r="H287" s="26">
        <v>44391</v>
      </c>
      <c r="I287" s="26" t="s">
        <v>600</v>
      </c>
      <c r="J287" s="26" t="s">
        <v>581</v>
      </c>
      <c r="K287" s="26" t="s">
        <v>581</v>
      </c>
      <c r="L287" s="26" t="s">
        <v>581</v>
      </c>
      <c r="M287" s="26" t="s">
        <v>581</v>
      </c>
      <c r="N287" t="s">
        <v>581</v>
      </c>
      <c r="O287" t="s">
        <v>581</v>
      </c>
      <c r="P287" s="27" t="s">
        <v>581</v>
      </c>
      <c r="Q287" s="27" t="s">
        <v>581</v>
      </c>
      <c r="R287" s="27" t="s">
        <v>581</v>
      </c>
      <c r="S287" s="19">
        <v>0</v>
      </c>
      <c r="T287" s="2">
        <v>0</v>
      </c>
    </row>
    <row r="288" spans="1:20" x14ac:dyDescent="0.25">
      <c r="A288" t="s">
        <v>476</v>
      </c>
      <c r="B288" t="s">
        <v>477</v>
      </c>
      <c r="C288" t="s">
        <v>478</v>
      </c>
      <c r="D288" s="21">
        <v>42984</v>
      </c>
      <c r="F288" s="2">
        <v>100</v>
      </c>
      <c r="G288" s="25">
        <v>44362</v>
      </c>
      <c r="H288" s="26">
        <v>44438</v>
      </c>
      <c r="I288" s="26" t="s">
        <v>599</v>
      </c>
      <c r="J288" s="26" t="s">
        <v>676</v>
      </c>
      <c r="K288" s="26" t="s">
        <v>581</v>
      </c>
      <c r="L288" s="26" t="s">
        <v>581</v>
      </c>
      <c r="M288" s="26" t="s">
        <v>581</v>
      </c>
      <c r="N288" s="26">
        <v>44438</v>
      </c>
      <c r="O288" s="26">
        <v>44439</v>
      </c>
      <c r="P288" s="27">
        <v>72</v>
      </c>
      <c r="Q288" s="27">
        <v>17</v>
      </c>
      <c r="R288" s="27">
        <v>55</v>
      </c>
      <c r="S288" s="19">
        <v>17</v>
      </c>
      <c r="T288" s="2">
        <v>0</v>
      </c>
    </row>
    <row r="289" spans="1:20" x14ac:dyDescent="0.25">
      <c r="A289" t="s">
        <v>476</v>
      </c>
      <c r="B289" t="s">
        <v>477</v>
      </c>
      <c r="C289" t="s">
        <v>479</v>
      </c>
      <c r="D289" s="21">
        <v>43000</v>
      </c>
      <c r="F289" s="2">
        <v>100</v>
      </c>
      <c r="G289" s="25">
        <v>44362</v>
      </c>
      <c r="H289" s="26">
        <v>44438</v>
      </c>
      <c r="I289" s="26" t="s">
        <v>599</v>
      </c>
      <c r="J289" s="26" t="s">
        <v>676</v>
      </c>
      <c r="K289" s="26" t="s">
        <v>581</v>
      </c>
      <c r="L289" s="26" t="s">
        <v>581</v>
      </c>
      <c r="M289" s="26" t="s">
        <v>581</v>
      </c>
      <c r="N289" s="26">
        <v>44438</v>
      </c>
      <c r="O289" s="26">
        <v>44439</v>
      </c>
      <c r="P289" s="27">
        <v>80</v>
      </c>
      <c r="Q289" s="27">
        <v>40</v>
      </c>
      <c r="R289" s="27">
        <v>40</v>
      </c>
      <c r="S289" s="19">
        <v>40</v>
      </c>
      <c r="T289" s="2">
        <v>0</v>
      </c>
    </row>
    <row r="290" spans="1:20" x14ac:dyDescent="0.25">
      <c r="A290" t="s">
        <v>476</v>
      </c>
      <c r="B290" t="s">
        <v>477</v>
      </c>
      <c r="C290" t="s">
        <v>480</v>
      </c>
      <c r="D290" s="21">
        <v>43006</v>
      </c>
      <c r="F290" s="2">
        <v>100</v>
      </c>
      <c r="G290" s="25">
        <v>44362</v>
      </c>
      <c r="H290" s="26">
        <v>44438</v>
      </c>
      <c r="I290" s="26" t="s">
        <v>599</v>
      </c>
      <c r="J290" s="26" t="s">
        <v>676</v>
      </c>
      <c r="K290" s="26" t="s">
        <v>581</v>
      </c>
      <c r="L290" s="26" t="s">
        <v>581</v>
      </c>
      <c r="M290" s="26" t="s">
        <v>581</v>
      </c>
      <c r="N290" s="26">
        <v>44438</v>
      </c>
      <c r="O290" s="26">
        <v>44439</v>
      </c>
      <c r="P290" s="27">
        <v>83</v>
      </c>
      <c r="Q290" s="27">
        <v>33</v>
      </c>
      <c r="R290" s="27">
        <v>50</v>
      </c>
      <c r="S290" s="19">
        <v>33</v>
      </c>
      <c r="T290" s="2">
        <v>0</v>
      </c>
    </row>
    <row r="291" spans="1:20" x14ac:dyDescent="0.25">
      <c r="A291" t="s">
        <v>481</v>
      </c>
      <c r="B291" t="s">
        <v>482</v>
      </c>
      <c r="C291" t="s">
        <v>483</v>
      </c>
      <c r="D291" s="21">
        <v>42299</v>
      </c>
      <c r="F291" s="2">
        <v>100</v>
      </c>
      <c r="G291" s="25">
        <v>44343</v>
      </c>
      <c r="H291" s="26">
        <v>44405</v>
      </c>
      <c r="I291" s="26" t="s">
        <v>600</v>
      </c>
      <c r="J291" s="26" t="s">
        <v>581</v>
      </c>
      <c r="K291" s="26" t="s">
        <v>581</v>
      </c>
      <c r="L291" s="26" t="s">
        <v>581</v>
      </c>
      <c r="M291" s="26" t="s">
        <v>581</v>
      </c>
      <c r="N291" t="s">
        <v>581</v>
      </c>
      <c r="O291" t="s">
        <v>581</v>
      </c>
      <c r="P291" s="27" t="s">
        <v>581</v>
      </c>
      <c r="Q291" s="27" t="s">
        <v>581</v>
      </c>
      <c r="R291" s="27" t="s">
        <v>581</v>
      </c>
      <c r="S291" s="19">
        <v>0</v>
      </c>
      <c r="T291" s="2">
        <v>0</v>
      </c>
    </row>
    <row r="292" spans="1:20" x14ac:dyDescent="0.25">
      <c r="A292" t="s">
        <v>481</v>
      </c>
      <c r="B292" t="s">
        <v>484</v>
      </c>
      <c r="C292" t="s">
        <v>485</v>
      </c>
      <c r="D292" s="21">
        <v>43004</v>
      </c>
      <c r="F292" s="2">
        <v>100</v>
      </c>
      <c r="G292" s="25">
        <v>44343</v>
      </c>
      <c r="H292" s="26">
        <v>44405</v>
      </c>
      <c r="I292" s="26" t="s">
        <v>600</v>
      </c>
      <c r="J292" s="26" t="s">
        <v>581</v>
      </c>
      <c r="K292" s="26" t="s">
        <v>581</v>
      </c>
      <c r="L292" s="26" t="s">
        <v>581</v>
      </c>
      <c r="M292" s="26" t="s">
        <v>581</v>
      </c>
      <c r="N292" t="s">
        <v>581</v>
      </c>
      <c r="O292" t="s">
        <v>581</v>
      </c>
      <c r="P292" s="27" t="s">
        <v>581</v>
      </c>
      <c r="Q292" s="27" t="s">
        <v>581</v>
      </c>
      <c r="R292" s="27" t="s">
        <v>581</v>
      </c>
      <c r="S292" s="19">
        <v>0</v>
      </c>
      <c r="T292" s="2">
        <v>0</v>
      </c>
    </row>
    <row r="293" spans="1:20" x14ac:dyDescent="0.25">
      <c r="A293" t="s">
        <v>481</v>
      </c>
      <c r="B293" t="s">
        <v>484</v>
      </c>
      <c r="C293" t="s">
        <v>486</v>
      </c>
      <c r="D293" s="21">
        <v>43026</v>
      </c>
      <c r="F293" s="2">
        <v>100</v>
      </c>
      <c r="G293" s="25">
        <v>44343</v>
      </c>
      <c r="H293" s="26">
        <v>44405</v>
      </c>
      <c r="I293" s="26" t="s">
        <v>600</v>
      </c>
      <c r="J293" s="26" t="s">
        <v>581</v>
      </c>
      <c r="K293" s="26" t="s">
        <v>581</v>
      </c>
      <c r="L293" s="26" t="s">
        <v>581</v>
      </c>
      <c r="M293" s="26" t="s">
        <v>581</v>
      </c>
      <c r="N293" t="s">
        <v>581</v>
      </c>
      <c r="O293" t="s">
        <v>581</v>
      </c>
      <c r="P293" s="27" t="s">
        <v>581</v>
      </c>
      <c r="Q293" s="27" t="s">
        <v>581</v>
      </c>
      <c r="R293" s="27" t="s">
        <v>581</v>
      </c>
      <c r="S293" s="19">
        <v>0</v>
      </c>
      <c r="T293" s="2">
        <v>0</v>
      </c>
    </row>
    <row r="294" spans="1:20" x14ac:dyDescent="0.25">
      <c r="A294" t="s">
        <v>481</v>
      </c>
      <c r="B294" t="s">
        <v>484</v>
      </c>
      <c r="C294" t="s">
        <v>487</v>
      </c>
      <c r="D294" s="21">
        <v>43030</v>
      </c>
      <c r="F294" s="2">
        <v>100</v>
      </c>
      <c r="G294" s="25">
        <v>44343</v>
      </c>
      <c r="H294" s="26">
        <v>44405</v>
      </c>
      <c r="I294" s="26" t="s">
        <v>600</v>
      </c>
      <c r="J294" s="26" t="s">
        <v>581</v>
      </c>
      <c r="K294" s="26" t="s">
        <v>581</v>
      </c>
      <c r="L294" s="26" t="s">
        <v>581</v>
      </c>
      <c r="M294" s="26" t="s">
        <v>581</v>
      </c>
      <c r="N294" t="s">
        <v>581</v>
      </c>
      <c r="O294" t="s">
        <v>581</v>
      </c>
      <c r="P294" s="27" t="s">
        <v>581</v>
      </c>
      <c r="Q294" s="27" t="s">
        <v>581</v>
      </c>
      <c r="R294" s="27" t="s">
        <v>581</v>
      </c>
      <c r="S294" s="19">
        <v>0</v>
      </c>
      <c r="T294" s="2">
        <v>0</v>
      </c>
    </row>
    <row r="295" spans="1:20" x14ac:dyDescent="0.25">
      <c r="A295" t="s">
        <v>481</v>
      </c>
      <c r="B295" t="s">
        <v>488</v>
      </c>
      <c r="C295" t="s">
        <v>489</v>
      </c>
      <c r="D295" s="21">
        <v>43026</v>
      </c>
      <c r="F295" s="2">
        <v>100</v>
      </c>
      <c r="G295" s="25">
        <v>44343</v>
      </c>
      <c r="H295" s="26">
        <v>44405</v>
      </c>
      <c r="I295" s="26" t="s">
        <v>600</v>
      </c>
      <c r="J295" s="26" t="s">
        <v>581</v>
      </c>
      <c r="K295" s="26" t="s">
        <v>581</v>
      </c>
      <c r="L295" s="26" t="s">
        <v>581</v>
      </c>
      <c r="M295" s="26" t="s">
        <v>581</v>
      </c>
      <c r="N295" t="s">
        <v>581</v>
      </c>
      <c r="O295" t="s">
        <v>581</v>
      </c>
      <c r="P295" s="27" t="s">
        <v>581</v>
      </c>
      <c r="Q295" s="27" t="s">
        <v>581</v>
      </c>
      <c r="R295" s="27" t="s">
        <v>581</v>
      </c>
      <c r="S295" s="19">
        <v>0</v>
      </c>
      <c r="T295" s="2">
        <v>0</v>
      </c>
    </row>
    <row r="296" spans="1:20" x14ac:dyDescent="0.25">
      <c r="A296" t="s">
        <v>490</v>
      </c>
      <c r="B296" t="s">
        <v>385</v>
      </c>
      <c r="C296" t="s">
        <v>491</v>
      </c>
      <c r="D296" s="21">
        <v>43041</v>
      </c>
      <c r="F296" s="2">
        <v>91</v>
      </c>
      <c r="G296" s="25">
        <v>44291</v>
      </c>
      <c r="H296" s="26">
        <v>44349</v>
      </c>
      <c r="I296" s="26" t="s">
        <v>600</v>
      </c>
      <c r="J296" s="26" t="s">
        <v>581</v>
      </c>
      <c r="K296" s="26" t="s">
        <v>581</v>
      </c>
      <c r="L296" s="26" t="s">
        <v>581</v>
      </c>
      <c r="M296" s="26" t="s">
        <v>581</v>
      </c>
      <c r="N296" t="s">
        <v>581</v>
      </c>
      <c r="O296" t="s">
        <v>581</v>
      </c>
      <c r="P296" s="27" t="s">
        <v>581</v>
      </c>
      <c r="Q296" s="27" t="s">
        <v>581</v>
      </c>
      <c r="R296" s="27" t="s">
        <v>581</v>
      </c>
      <c r="S296" s="19">
        <v>0</v>
      </c>
      <c r="T296" s="2">
        <v>1</v>
      </c>
    </row>
    <row r="297" spans="1:20" x14ac:dyDescent="0.25">
      <c r="A297" t="s">
        <v>490</v>
      </c>
      <c r="B297" t="s">
        <v>385</v>
      </c>
      <c r="C297" t="s">
        <v>492</v>
      </c>
      <c r="D297" s="21">
        <v>43066</v>
      </c>
      <c r="F297" s="2">
        <v>100</v>
      </c>
      <c r="G297" s="25">
        <v>44343</v>
      </c>
      <c r="H297" s="26">
        <v>44383</v>
      </c>
      <c r="I297" s="26" t="s">
        <v>600</v>
      </c>
      <c r="J297" s="26" t="s">
        <v>581</v>
      </c>
      <c r="K297" s="26" t="s">
        <v>581</v>
      </c>
      <c r="L297" s="26" t="s">
        <v>581</v>
      </c>
      <c r="M297" s="26" t="s">
        <v>581</v>
      </c>
      <c r="N297" t="s">
        <v>581</v>
      </c>
      <c r="O297" t="s">
        <v>581</v>
      </c>
      <c r="P297" s="27" t="s">
        <v>581</v>
      </c>
      <c r="Q297" s="27" t="s">
        <v>581</v>
      </c>
      <c r="R297" s="27" t="s">
        <v>581</v>
      </c>
      <c r="S297" s="19">
        <v>0</v>
      </c>
      <c r="T297" s="2">
        <v>0</v>
      </c>
    </row>
    <row r="298" spans="1:20" x14ac:dyDescent="0.25">
      <c r="A298" t="s">
        <v>490</v>
      </c>
      <c r="B298" t="s">
        <v>236</v>
      </c>
      <c r="C298" t="s">
        <v>493</v>
      </c>
      <c r="D298" s="21">
        <v>43006</v>
      </c>
      <c r="F298" s="2">
        <v>83</v>
      </c>
      <c r="G298" s="25">
        <v>44291</v>
      </c>
      <c r="H298" s="26">
        <v>44349</v>
      </c>
      <c r="I298" s="26" t="s">
        <v>600</v>
      </c>
      <c r="J298" s="26" t="s">
        <v>581</v>
      </c>
      <c r="K298" s="26" t="s">
        <v>581</v>
      </c>
      <c r="L298" s="26" t="s">
        <v>581</v>
      </c>
      <c r="M298" s="26" t="s">
        <v>581</v>
      </c>
      <c r="N298" t="s">
        <v>581</v>
      </c>
      <c r="O298" t="s">
        <v>581</v>
      </c>
      <c r="P298" s="27" t="s">
        <v>581</v>
      </c>
      <c r="Q298" s="27" t="s">
        <v>581</v>
      </c>
      <c r="R298" s="27" t="s">
        <v>581</v>
      </c>
      <c r="S298" s="19">
        <v>0</v>
      </c>
      <c r="T298" s="2">
        <v>0</v>
      </c>
    </row>
    <row r="299" spans="1:20" x14ac:dyDescent="0.25">
      <c r="A299" t="s">
        <v>490</v>
      </c>
      <c r="B299" t="s">
        <v>236</v>
      </c>
      <c r="C299" t="s">
        <v>494</v>
      </c>
      <c r="D299" s="21">
        <v>43041</v>
      </c>
      <c r="F299" s="2">
        <f>D299*E299</f>
        <v>0</v>
      </c>
      <c r="G299" s="25">
        <v>44291</v>
      </c>
      <c r="H299" s="26">
        <v>44349</v>
      </c>
      <c r="I299" s="26" t="s">
        <v>600</v>
      </c>
      <c r="J299" s="26" t="s">
        <v>581</v>
      </c>
      <c r="K299" s="26" t="s">
        <v>581</v>
      </c>
      <c r="L299" s="26" t="s">
        <v>581</v>
      </c>
      <c r="M299" s="26" t="s">
        <v>581</v>
      </c>
      <c r="N299" t="s">
        <v>581</v>
      </c>
      <c r="O299" t="s">
        <v>581</v>
      </c>
      <c r="P299" s="27" t="s">
        <v>581</v>
      </c>
      <c r="Q299" s="27" t="s">
        <v>581</v>
      </c>
      <c r="R299" s="27" t="s">
        <v>581</v>
      </c>
      <c r="S299" s="19">
        <v>0</v>
      </c>
      <c r="T299" s="2">
        <v>5</v>
      </c>
    </row>
    <row r="300" spans="1:20" x14ac:dyDescent="0.25">
      <c r="A300" t="s">
        <v>490</v>
      </c>
      <c r="B300" t="s">
        <v>236</v>
      </c>
      <c r="C300" t="s">
        <v>495</v>
      </c>
      <c r="D300" s="21">
        <v>43066</v>
      </c>
      <c r="F300" s="2">
        <v>100</v>
      </c>
      <c r="G300" s="25">
        <v>44343</v>
      </c>
      <c r="H300" s="26">
        <v>44383</v>
      </c>
      <c r="I300" s="26" t="s">
        <v>600</v>
      </c>
      <c r="J300" s="26" t="s">
        <v>581</v>
      </c>
      <c r="K300" s="26" t="s">
        <v>581</v>
      </c>
      <c r="L300" s="26" t="s">
        <v>581</v>
      </c>
      <c r="M300" s="26" t="s">
        <v>581</v>
      </c>
      <c r="N300" t="s">
        <v>581</v>
      </c>
      <c r="O300" t="s">
        <v>581</v>
      </c>
      <c r="P300" s="27" t="s">
        <v>581</v>
      </c>
      <c r="Q300" s="27" t="s">
        <v>581</v>
      </c>
      <c r="R300" s="27" t="s">
        <v>581</v>
      </c>
      <c r="S300" s="19">
        <v>0</v>
      </c>
      <c r="T300" s="2">
        <v>0</v>
      </c>
    </row>
    <row r="301" spans="1:20" x14ac:dyDescent="0.25">
      <c r="A301" t="s">
        <v>496</v>
      </c>
      <c r="B301" t="s">
        <v>4</v>
      </c>
      <c r="C301" t="s">
        <v>497</v>
      </c>
      <c r="D301" s="21">
        <v>43019</v>
      </c>
      <c r="F301" s="2">
        <v>112</v>
      </c>
      <c r="G301" s="25">
        <v>44302</v>
      </c>
      <c r="H301" s="26">
        <v>44349</v>
      </c>
      <c r="I301" s="26" t="s">
        <v>599</v>
      </c>
      <c r="J301" s="26" t="s">
        <v>676</v>
      </c>
      <c r="K301" s="26" t="s">
        <v>581</v>
      </c>
      <c r="L301" s="26" t="s">
        <v>581</v>
      </c>
      <c r="M301" s="26" t="s">
        <v>581</v>
      </c>
      <c r="N301" s="26">
        <v>44349</v>
      </c>
      <c r="O301" s="26">
        <v>44350</v>
      </c>
      <c r="P301" s="27">
        <v>10</v>
      </c>
      <c r="Q301" s="27">
        <v>6</v>
      </c>
      <c r="R301" s="27">
        <v>4</v>
      </c>
      <c r="S301" s="19">
        <v>6</v>
      </c>
      <c r="T301" s="2">
        <v>9</v>
      </c>
    </row>
    <row r="302" spans="1:20" x14ac:dyDescent="0.25">
      <c r="A302" t="s">
        <v>496</v>
      </c>
      <c r="B302" t="s">
        <v>4</v>
      </c>
      <c r="C302" t="s">
        <v>498</v>
      </c>
      <c r="D302" s="21">
        <v>43042</v>
      </c>
      <c r="F302" s="2">
        <v>103</v>
      </c>
      <c r="G302" s="25">
        <v>44302</v>
      </c>
      <c r="H302" s="26">
        <v>44349</v>
      </c>
      <c r="I302" s="26" t="s">
        <v>599</v>
      </c>
      <c r="J302" s="26" t="s">
        <v>676</v>
      </c>
      <c r="K302" s="26" t="s">
        <v>581</v>
      </c>
      <c r="L302" s="26" t="s">
        <v>581</v>
      </c>
      <c r="M302" s="26" t="s">
        <v>581</v>
      </c>
      <c r="N302" s="26">
        <v>44349</v>
      </c>
      <c r="O302" s="26">
        <v>44350</v>
      </c>
      <c r="P302" s="27">
        <v>28</v>
      </c>
      <c r="Q302" s="27">
        <v>21</v>
      </c>
      <c r="R302" s="27">
        <v>7</v>
      </c>
      <c r="S302" s="19">
        <v>21</v>
      </c>
      <c r="T302" s="2">
        <v>7</v>
      </c>
    </row>
    <row r="303" spans="1:20" x14ac:dyDescent="0.25">
      <c r="A303" t="s">
        <v>499</v>
      </c>
      <c r="B303" t="s">
        <v>500</v>
      </c>
      <c r="C303" t="s">
        <v>501</v>
      </c>
      <c r="D303" s="21">
        <v>42641</v>
      </c>
      <c r="F303" s="2">
        <v>100</v>
      </c>
      <c r="G303" s="25">
        <v>44355</v>
      </c>
      <c r="H303" s="25">
        <v>44398</v>
      </c>
      <c r="I303" s="25" t="s">
        <v>600</v>
      </c>
      <c r="J303" s="25" t="s">
        <v>581</v>
      </c>
      <c r="K303" s="26" t="s">
        <v>581</v>
      </c>
      <c r="L303" s="26" t="s">
        <v>581</v>
      </c>
      <c r="M303" s="26" t="s">
        <v>581</v>
      </c>
      <c r="N303" t="s">
        <v>581</v>
      </c>
      <c r="O303" t="s">
        <v>581</v>
      </c>
      <c r="P303" s="27" t="s">
        <v>581</v>
      </c>
      <c r="Q303" s="27" t="s">
        <v>581</v>
      </c>
      <c r="R303" s="27" t="s">
        <v>581</v>
      </c>
      <c r="S303" s="19">
        <v>0</v>
      </c>
      <c r="T303" s="2">
        <v>0</v>
      </c>
    </row>
    <row r="304" spans="1:20" x14ac:dyDescent="0.25">
      <c r="A304" t="s">
        <v>499</v>
      </c>
      <c r="B304" t="s">
        <v>500</v>
      </c>
      <c r="C304" t="s">
        <v>502</v>
      </c>
      <c r="D304" s="21">
        <v>43049</v>
      </c>
      <c r="F304" s="2">
        <v>100</v>
      </c>
      <c r="G304" s="25">
        <v>44355</v>
      </c>
      <c r="H304" s="25">
        <v>44398</v>
      </c>
      <c r="I304" s="25" t="s">
        <v>600</v>
      </c>
      <c r="J304" s="25" t="s">
        <v>581</v>
      </c>
      <c r="K304" s="26" t="s">
        <v>581</v>
      </c>
      <c r="L304" s="26" t="s">
        <v>581</v>
      </c>
      <c r="M304" s="26" t="s">
        <v>581</v>
      </c>
      <c r="N304" t="s">
        <v>581</v>
      </c>
      <c r="O304" t="s">
        <v>581</v>
      </c>
      <c r="P304" s="27" t="s">
        <v>581</v>
      </c>
      <c r="Q304" s="27" t="s">
        <v>581</v>
      </c>
      <c r="R304" s="27" t="s">
        <v>581</v>
      </c>
      <c r="S304" s="19">
        <v>0</v>
      </c>
      <c r="T304" s="2">
        <v>0</v>
      </c>
    </row>
    <row r="305" spans="1:21" x14ac:dyDescent="0.25">
      <c r="A305" t="s">
        <v>499</v>
      </c>
      <c r="B305" t="s">
        <v>503</v>
      </c>
      <c r="C305" t="s">
        <v>504</v>
      </c>
      <c r="D305" s="21">
        <v>42642</v>
      </c>
      <c r="F305" s="2">
        <v>100</v>
      </c>
      <c r="G305" s="25">
        <v>44355</v>
      </c>
      <c r="H305" s="25">
        <v>44398</v>
      </c>
      <c r="I305" s="25" t="s">
        <v>600</v>
      </c>
      <c r="J305" s="25" t="s">
        <v>581</v>
      </c>
      <c r="K305" s="26" t="s">
        <v>581</v>
      </c>
      <c r="L305" s="26" t="s">
        <v>581</v>
      </c>
      <c r="M305" s="26" t="s">
        <v>581</v>
      </c>
      <c r="N305" t="s">
        <v>581</v>
      </c>
      <c r="O305" t="s">
        <v>581</v>
      </c>
      <c r="P305" s="27" t="s">
        <v>581</v>
      </c>
      <c r="Q305" s="27" t="s">
        <v>581</v>
      </c>
      <c r="R305" s="27" t="s">
        <v>581</v>
      </c>
      <c r="S305" s="19">
        <v>0</v>
      </c>
      <c r="T305" s="2">
        <v>0</v>
      </c>
    </row>
    <row r="306" spans="1:21" x14ac:dyDescent="0.25">
      <c r="A306" t="s">
        <v>499</v>
      </c>
      <c r="B306" t="s">
        <v>503</v>
      </c>
      <c r="C306" t="s">
        <v>505</v>
      </c>
      <c r="D306" s="21">
        <v>43004</v>
      </c>
      <c r="F306" s="2">
        <v>100</v>
      </c>
      <c r="G306" s="25">
        <v>44355</v>
      </c>
      <c r="H306" s="25">
        <v>44398</v>
      </c>
      <c r="I306" s="25" t="s">
        <v>600</v>
      </c>
      <c r="J306" s="25" t="s">
        <v>581</v>
      </c>
      <c r="K306" s="26" t="s">
        <v>581</v>
      </c>
      <c r="L306" s="26" t="s">
        <v>581</v>
      </c>
      <c r="M306" s="26" t="s">
        <v>581</v>
      </c>
      <c r="N306" t="s">
        <v>581</v>
      </c>
      <c r="O306" t="s">
        <v>581</v>
      </c>
      <c r="P306" s="27" t="s">
        <v>581</v>
      </c>
      <c r="Q306" s="27" t="s">
        <v>581</v>
      </c>
      <c r="R306" s="27" t="s">
        <v>581</v>
      </c>
      <c r="S306" s="19">
        <v>0</v>
      </c>
      <c r="T306" s="2">
        <v>0</v>
      </c>
    </row>
    <row r="307" spans="1:21" x14ac:dyDescent="0.25">
      <c r="A307" t="s">
        <v>499</v>
      </c>
      <c r="B307" t="s">
        <v>503</v>
      </c>
      <c r="C307" t="s">
        <v>506</v>
      </c>
      <c r="D307" s="21">
        <v>43013</v>
      </c>
      <c r="F307" s="2">
        <v>100</v>
      </c>
      <c r="G307" s="25">
        <v>44355</v>
      </c>
      <c r="H307" s="25">
        <v>44398</v>
      </c>
      <c r="I307" s="25" t="s">
        <v>600</v>
      </c>
      <c r="J307" s="25" t="s">
        <v>581</v>
      </c>
      <c r="K307" s="26" t="s">
        <v>581</v>
      </c>
      <c r="L307" s="26" t="s">
        <v>581</v>
      </c>
      <c r="M307" s="26" t="s">
        <v>581</v>
      </c>
      <c r="N307" t="s">
        <v>581</v>
      </c>
      <c r="O307" t="s">
        <v>581</v>
      </c>
      <c r="P307" s="27" t="s">
        <v>581</v>
      </c>
      <c r="Q307" s="27" t="s">
        <v>581</v>
      </c>
      <c r="R307" s="27" t="s">
        <v>581</v>
      </c>
      <c r="S307" s="19">
        <v>0</v>
      </c>
      <c r="T307" s="2">
        <v>0</v>
      </c>
    </row>
    <row r="308" spans="1:21" x14ac:dyDescent="0.25">
      <c r="A308" t="s">
        <v>499</v>
      </c>
      <c r="B308" t="s">
        <v>503</v>
      </c>
      <c r="C308" t="s">
        <v>507</v>
      </c>
      <c r="D308" s="21">
        <v>43054</v>
      </c>
      <c r="F308" s="2">
        <v>100</v>
      </c>
      <c r="G308" s="25">
        <v>44355</v>
      </c>
      <c r="H308" s="25">
        <v>44398</v>
      </c>
      <c r="I308" s="25" t="s">
        <v>600</v>
      </c>
      <c r="J308" s="25" t="s">
        <v>581</v>
      </c>
      <c r="K308" s="26" t="s">
        <v>581</v>
      </c>
      <c r="L308" s="26" t="s">
        <v>581</v>
      </c>
      <c r="M308" s="26" t="s">
        <v>581</v>
      </c>
      <c r="N308" t="s">
        <v>581</v>
      </c>
      <c r="O308" t="s">
        <v>581</v>
      </c>
      <c r="P308" s="27" t="s">
        <v>581</v>
      </c>
      <c r="Q308" s="27" t="s">
        <v>581</v>
      </c>
      <c r="R308" s="27" t="s">
        <v>581</v>
      </c>
      <c r="S308" s="19">
        <v>0</v>
      </c>
      <c r="T308" s="2">
        <v>0</v>
      </c>
    </row>
    <row r="309" spans="1:21" x14ac:dyDescent="0.25">
      <c r="A309" t="s">
        <v>508</v>
      </c>
      <c r="B309" t="s">
        <v>509</v>
      </c>
      <c r="C309" t="s">
        <v>510</v>
      </c>
      <c r="D309" s="21">
        <v>42278</v>
      </c>
      <c r="F309" s="2">
        <v>100</v>
      </c>
      <c r="G309" s="25">
        <v>44372</v>
      </c>
      <c r="H309" s="26">
        <v>44434</v>
      </c>
      <c r="I309" s="26" t="s">
        <v>599</v>
      </c>
      <c r="J309" s="26" t="s">
        <v>676</v>
      </c>
      <c r="K309" s="26" t="s">
        <v>581</v>
      </c>
      <c r="L309" s="26" t="s">
        <v>581</v>
      </c>
      <c r="M309" s="26" t="s">
        <v>581</v>
      </c>
      <c r="N309" s="26">
        <v>44434</v>
      </c>
      <c r="O309" s="26">
        <v>44435</v>
      </c>
      <c r="P309" s="27">
        <v>71</v>
      </c>
      <c r="Q309" s="27">
        <v>21</v>
      </c>
      <c r="R309" s="27">
        <v>50</v>
      </c>
      <c r="S309" s="19">
        <v>21</v>
      </c>
      <c r="T309" s="2">
        <v>0</v>
      </c>
    </row>
    <row r="310" spans="1:21" x14ac:dyDescent="0.25">
      <c r="A310" t="s">
        <v>511</v>
      </c>
      <c r="B310" t="s">
        <v>244</v>
      </c>
      <c r="C310" t="s">
        <v>512</v>
      </c>
      <c r="D310" s="21">
        <v>42613</v>
      </c>
      <c r="F310" s="2">
        <v>0</v>
      </c>
      <c r="G310" s="22" t="s">
        <v>581</v>
      </c>
      <c r="H310" s="22" t="s">
        <v>581</v>
      </c>
      <c r="I310" s="25" t="s">
        <v>581</v>
      </c>
      <c r="J310" s="22" t="s">
        <v>581</v>
      </c>
      <c r="K310" s="26" t="s">
        <v>581</v>
      </c>
      <c r="L310" s="26" t="s">
        <v>581</v>
      </c>
      <c r="M310" s="26" t="s">
        <v>581</v>
      </c>
      <c r="N310" s="22" t="s">
        <v>581</v>
      </c>
      <c r="O310" s="22" t="s">
        <v>581</v>
      </c>
      <c r="P310" s="23" t="s">
        <v>581</v>
      </c>
      <c r="Q310" s="27" t="s">
        <v>581</v>
      </c>
      <c r="R310" s="27" t="s">
        <v>581</v>
      </c>
      <c r="S310" s="19" t="s">
        <v>581</v>
      </c>
      <c r="T310" s="2" t="s">
        <v>581</v>
      </c>
      <c r="U310" s="2" t="s">
        <v>690</v>
      </c>
    </row>
    <row r="311" spans="1:21" ht="15.75" thickBot="1" x14ac:dyDescent="0.3">
      <c r="A311" t="s">
        <v>513</v>
      </c>
      <c r="B311" t="s">
        <v>514</v>
      </c>
      <c r="C311" t="s">
        <v>515</v>
      </c>
      <c r="D311" s="21">
        <v>42671</v>
      </c>
      <c r="F311" s="2">
        <v>0</v>
      </c>
      <c r="G311" s="22" t="s">
        <v>581</v>
      </c>
      <c r="H311" s="22" t="s">
        <v>581</v>
      </c>
      <c r="I311" s="25" t="s">
        <v>581</v>
      </c>
      <c r="J311" s="26" t="s">
        <v>676</v>
      </c>
      <c r="K311" s="26" t="s">
        <v>581</v>
      </c>
      <c r="L311" s="26" t="s">
        <v>581</v>
      </c>
      <c r="M311" s="26" t="s">
        <v>581</v>
      </c>
      <c r="N311" s="43">
        <v>44362</v>
      </c>
      <c r="O311" s="43">
        <v>44364</v>
      </c>
      <c r="P311" s="23">
        <v>10</v>
      </c>
      <c r="Q311" s="27">
        <v>0</v>
      </c>
      <c r="R311" s="45">
        <v>3</v>
      </c>
      <c r="S311" s="46" t="s">
        <v>581</v>
      </c>
      <c r="T311" s="45">
        <v>7</v>
      </c>
      <c r="U311" s="42" t="s">
        <v>689</v>
      </c>
    </row>
    <row r="312" spans="1:21" x14ac:dyDescent="0.25">
      <c r="A312" t="s">
        <v>513</v>
      </c>
      <c r="B312" t="s">
        <v>165</v>
      </c>
      <c r="C312" t="s">
        <v>516</v>
      </c>
      <c r="D312" s="21">
        <v>42641</v>
      </c>
      <c r="F312" s="2">
        <v>105</v>
      </c>
      <c r="G312" s="25">
        <v>44362</v>
      </c>
      <c r="H312" s="26">
        <v>44424</v>
      </c>
      <c r="I312" s="26" t="s">
        <v>599</v>
      </c>
      <c r="J312" s="26" t="s">
        <v>676</v>
      </c>
      <c r="K312" s="26" t="s">
        <v>581</v>
      </c>
      <c r="L312" s="26" t="s">
        <v>581</v>
      </c>
      <c r="M312" s="26" t="s">
        <v>581</v>
      </c>
      <c r="N312" s="26">
        <v>44424</v>
      </c>
      <c r="O312" s="26">
        <v>44425</v>
      </c>
      <c r="P312" s="27">
        <v>91</v>
      </c>
      <c r="Q312" s="27">
        <v>14</v>
      </c>
      <c r="R312" s="27">
        <v>77</v>
      </c>
      <c r="S312" s="19">
        <v>14</v>
      </c>
      <c r="T312" s="2">
        <v>5</v>
      </c>
    </row>
    <row r="313" spans="1:21" x14ac:dyDescent="0.25">
      <c r="A313" t="s">
        <v>513</v>
      </c>
      <c r="B313" t="s">
        <v>165</v>
      </c>
      <c r="C313" t="s">
        <v>517</v>
      </c>
      <c r="D313" s="21">
        <v>42646</v>
      </c>
      <c r="F313" s="2">
        <v>100</v>
      </c>
      <c r="G313" s="25">
        <v>44362</v>
      </c>
      <c r="H313" s="26">
        <v>44424</v>
      </c>
      <c r="I313" s="26" t="s">
        <v>599</v>
      </c>
      <c r="J313" s="26" t="s">
        <v>676</v>
      </c>
      <c r="K313" s="26" t="s">
        <v>581</v>
      </c>
      <c r="L313" s="26" t="s">
        <v>581</v>
      </c>
      <c r="M313" s="26" t="s">
        <v>581</v>
      </c>
      <c r="N313" s="26">
        <v>44424</v>
      </c>
      <c r="O313" s="26">
        <v>44425</v>
      </c>
      <c r="P313" s="27">
        <v>94</v>
      </c>
      <c r="Q313" s="27">
        <v>10</v>
      </c>
      <c r="R313" s="27">
        <v>84</v>
      </c>
      <c r="S313" s="19">
        <v>10</v>
      </c>
      <c r="T313" s="2">
        <v>0</v>
      </c>
    </row>
    <row r="314" spans="1:21" x14ac:dyDescent="0.25">
      <c r="A314" t="s">
        <v>513</v>
      </c>
      <c r="B314" t="s">
        <v>518</v>
      </c>
      <c r="C314" t="s">
        <v>519</v>
      </c>
      <c r="D314" s="21">
        <v>43000</v>
      </c>
      <c r="F314" s="2">
        <v>102</v>
      </c>
      <c r="G314" s="25">
        <v>44291</v>
      </c>
      <c r="H314" s="26">
        <v>44356</v>
      </c>
      <c r="I314" s="26" t="s">
        <v>599</v>
      </c>
      <c r="J314" s="26" t="s">
        <v>676</v>
      </c>
      <c r="K314" s="26" t="s">
        <v>581</v>
      </c>
      <c r="L314" s="26" t="s">
        <v>581</v>
      </c>
      <c r="M314" s="26" t="s">
        <v>581</v>
      </c>
      <c r="N314" s="26">
        <v>44356</v>
      </c>
      <c r="O314" s="26">
        <v>44357</v>
      </c>
      <c r="P314" s="27">
        <v>40</v>
      </c>
      <c r="Q314" s="27">
        <v>4</v>
      </c>
      <c r="R314" s="27">
        <v>36</v>
      </c>
      <c r="S314" s="19">
        <v>4</v>
      </c>
      <c r="T314" s="2">
        <v>0</v>
      </c>
    </row>
    <row r="315" spans="1:21" x14ac:dyDescent="0.25">
      <c r="A315" t="s">
        <v>520</v>
      </c>
      <c r="B315" t="s">
        <v>521</v>
      </c>
      <c r="C315" t="s">
        <v>522</v>
      </c>
      <c r="D315" s="21">
        <v>42306</v>
      </c>
      <c r="F315" s="2">
        <v>100</v>
      </c>
      <c r="G315" s="25">
        <v>44369</v>
      </c>
      <c r="H315" s="26">
        <v>44431</v>
      </c>
      <c r="I315" s="26" t="s">
        <v>599</v>
      </c>
      <c r="J315" s="26" t="s">
        <v>676</v>
      </c>
      <c r="K315" s="26" t="s">
        <v>581</v>
      </c>
      <c r="L315" s="26" t="s">
        <v>581</v>
      </c>
      <c r="M315" s="26" t="s">
        <v>581</v>
      </c>
      <c r="N315" s="26">
        <v>44431</v>
      </c>
      <c r="O315" s="26">
        <v>44432</v>
      </c>
      <c r="P315" s="27">
        <v>17</v>
      </c>
      <c r="Q315" s="27">
        <v>16</v>
      </c>
      <c r="R315" s="27">
        <v>1</v>
      </c>
      <c r="S315" s="19">
        <v>16</v>
      </c>
      <c r="T315" s="2">
        <v>0</v>
      </c>
    </row>
    <row r="316" spans="1:21" x14ac:dyDescent="0.25">
      <c r="A316" t="s">
        <v>520</v>
      </c>
      <c r="B316" t="s">
        <v>521</v>
      </c>
      <c r="C316" t="s">
        <v>523</v>
      </c>
      <c r="D316" s="21">
        <v>42647</v>
      </c>
      <c r="F316" s="2">
        <v>100</v>
      </c>
      <c r="G316" s="25">
        <v>44369</v>
      </c>
      <c r="H316" s="26">
        <v>44431</v>
      </c>
      <c r="I316" s="26" t="s">
        <v>599</v>
      </c>
      <c r="J316" s="26" t="s">
        <v>676</v>
      </c>
      <c r="K316" s="26" t="s">
        <v>581</v>
      </c>
      <c r="L316" s="26" t="s">
        <v>581</v>
      </c>
      <c r="M316" s="26" t="s">
        <v>581</v>
      </c>
      <c r="N316" s="26">
        <v>44431</v>
      </c>
      <c r="O316" s="26">
        <v>44432</v>
      </c>
      <c r="P316" s="27">
        <v>34</v>
      </c>
      <c r="Q316" s="27">
        <v>29</v>
      </c>
      <c r="R316" s="27">
        <v>5</v>
      </c>
      <c r="S316" s="19">
        <v>29</v>
      </c>
      <c r="T316" s="2">
        <v>0</v>
      </c>
    </row>
    <row r="317" spans="1:21" x14ac:dyDescent="0.25">
      <c r="A317" t="s">
        <v>524</v>
      </c>
      <c r="B317" t="s">
        <v>4</v>
      </c>
      <c r="C317" t="s">
        <v>525</v>
      </c>
      <c r="D317" s="21">
        <v>42941</v>
      </c>
      <c r="F317" s="2">
        <v>100</v>
      </c>
      <c r="G317" s="25">
        <v>44362</v>
      </c>
      <c r="H317" s="26">
        <v>44434</v>
      </c>
      <c r="I317" s="26" t="s">
        <v>600</v>
      </c>
      <c r="J317" s="26" t="s">
        <v>581</v>
      </c>
      <c r="K317" s="26" t="s">
        <v>581</v>
      </c>
      <c r="L317" s="26" t="s">
        <v>581</v>
      </c>
      <c r="M317" s="26" t="s">
        <v>581</v>
      </c>
      <c r="N317" t="s">
        <v>581</v>
      </c>
      <c r="O317" t="s">
        <v>581</v>
      </c>
      <c r="P317" s="27" t="s">
        <v>581</v>
      </c>
      <c r="Q317" s="27" t="s">
        <v>581</v>
      </c>
      <c r="R317" s="27" t="s">
        <v>581</v>
      </c>
      <c r="S317" s="19">
        <v>0</v>
      </c>
      <c r="T317" s="2">
        <v>0</v>
      </c>
    </row>
    <row r="318" spans="1:21" x14ac:dyDescent="0.25">
      <c r="A318" t="s">
        <v>524</v>
      </c>
      <c r="B318" t="s">
        <v>4</v>
      </c>
      <c r="C318" t="s">
        <v>526</v>
      </c>
      <c r="D318" s="21">
        <v>42943</v>
      </c>
      <c r="F318" s="2">
        <v>100</v>
      </c>
      <c r="G318" s="25">
        <v>44362</v>
      </c>
      <c r="H318" s="26">
        <v>44434</v>
      </c>
      <c r="I318" s="26" t="s">
        <v>600</v>
      </c>
      <c r="J318" s="26" t="s">
        <v>581</v>
      </c>
      <c r="K318" s="26" t="s">
        <v>581</v>
      </c>
      <c r="L318" s="26" t="s">
        <v>581</v>
      </c>
      <c r="M318" s="26" t="s">
        <v>581</v>
      </c>
      <c r="N318" t="s">
        <v>581</v>
      </c>
      <c r="O318" t="s">
        <v>581</v>
      </c>
      <c r="P318" s="27" t="s">
        <v>581</v>
      </c>
      <c r="Q318" s="27" t="s">
        <v>581</v>
      </c>
      <c r="R318" s="27" t="s">
        <v>581</v>
      </c>
      <c r="S318" s="19">
        <v>0</v>
      </c>
      <c r="T318" s="2">
        <v>0</v>
      </c>
    </row>
    <row r="319" spans="1:21" ht="15.75" thickBot="1" x14ac:dyDescent="0.3">
      <c r="A319" t="s">
        <v>527</v>
      </c>
      <c r="B319" t="s">
        <v>528</v>
      </c>
      <c r="C319" t="s">
        <v>529</v>
      </c>
      <c r="D319" s="21">
        <v>42633</v>
      </c>
      <c r="F319" s="2">
        <v>0</v>
      </c>
      <c r="G319" s="22" t="s">
        <v>581</v>
      </c>
      <c r="H319" s="22" t="s">
        <v>581</v>
      </c>
      <c r="I319" s="25" t="s">
        <v>581</v>
      </c>
      <c r="J319" s="26" t="s">
        <v>676</v>
      </c>
      <c r="K319" s="26" t="s">
        <v>581</v>
      </c>
      <c r="L319" s="26" t="s">
        <v>581</v>
      </c>
      <c r="M319" s="26" t="s">
        <v>581</v>
      </c>
      <c r="N319" s="43">
        <v>44312</v>
      </c>
      <c r="O319" s="43">
        <v>44314</v>
      </c>
      <c r="P319" s="23">
        <v>10</v>
      </c>
      <c r="Q319" s="27">
        <v>0</v>
      </c>
      <c r="R319" s="45">
        <v>2</v>
      </c>
      <c r="S319" s="46" t="s">
        <v>581</v>
      </c>
      <c r="T319" s="45">
        <v>8</v>
      </c>
      <c r="U319" s="42" t="s">
        <v>689</v>
      </c>
    </row>
    <row r="320" spans="1:21" ht="15.75" thickBot="1" x14ac:dyDescent="0.3">
      <c r="A320" t="s">
        <v>530</v>
      </c>
      <c r="B320" t="s">
        <v>218</v>
      </c>
      <c r="C320" t="s">
        <v>531</v>
      </c>
      <c r="D320" s="21">
        <v>43041</v>
      </c>
      <c r="F320" s="2">
        <v>0</v>
      </c>
      <c r="G320" s="22" t="s">
        <v>581</v>
      </c>
      <c r="H320" s="22" t="s">
        <v>581</v>
      </c>
      <c r="I320" s="25" t="s">
        <v>581</v>
      </c>
      <c r="J320" s="26" t="s">
        <v>676</v>
      </c>
      <c r="K320" s="26" t="s">
        <v>581</v>
      </c>
      <c r="L320" s="26" t="s">
        <v>581</v>
      </c>
      <c r="M320" s="26" t="s">
        <v>581</v>
      </c>
      <c r="N320" s="43">
        <v>44306</v>
      </c>
      <c r="O320" s="43">
        <v>44308</v>
      </c>
      <c r="P320" s="23">
        <v>12</v>
      </c>
      <c r="Q320" s="45">
        <v>0</v>
      </c>
      <c r="R320" s="45">
        <v>1</v>
      </c>
      <c r="S320" s="46" t="s">
        <v>581</v>
      </c>
      <c r="T320" s="45">
        <v>11</v>
      </c>
      <c r="U320" s="42" t="s">
        <v>689</v>
      </c>
    </row>
    <row r="321" spans="1:20" x14ac:dyDescent="0.25">
      <c r="A321" t="s">
        <v>532</v>
      </c>
      <c r="B321" t="s">
        <v>288</v>
      </c>
      <c r="C321" t="s">
        <v>533</v>
      </c>
      <c r="D321" s="21">
        <v>42642</v>
      </c>
      <c r="F321" s="2">
        <v>100</v>
      </c>
      <c r="G321" s="25">
        <v>44344</v>
      </c>
      <c r="H321" s="26">
        <v>44406</v>
      </c>
      <c r="I321" s="26" t="s">
        <v>599</v>
      </c>
      <c r="J321" s="26" t="s">
        <v>676</v>
      </c>
      <c r="K321" s="26" t="s">
        <v>581</v>
      </c>
      <c r="L321" s="26" t="s">
        <v>581</v>
      </c>
      <c r="M321" s="26" t="s">
        <v>581</v>
      </c>
      <c r="N321" s="26">
        <v>44406</v>
      </c>
      <c r="O321" s="26">
        <v>44407</v>
      </c>
      <c r="P321" s="27">
        <v>60</v>
      </c>
      <c r="Q321" s="27">
        <v>22</v>
      </c>
      <c r="R321" s="27">
        <v>38</v>
      </c>
      <c r="S321" s="19">
        <v>22</v>
      </c>
      <c r="T321" s="2">
        <v>0</v>
      </c>
    </row>
    <row r="322" spans="1:20" x14ac:dyDescent="0.25">
      <c r="A322" t="s">
        <v>532</v>
      </c>
      <c r="B322" t="s">
        <v>288</v>
      </c>
      <c r="C322" t="s">
        <v>534</v>
      </c>
      <c r="D322" s="21">
        <v>42621</v>
      </c>
      <c r="F322" s="2">
        <v>100</v>
      </c>
      <c r="G322" s="25">
        <v>44344</v>
      </c>
      <c r="H322" s="26">
        <v>44406</v>
      </c>
      <c r="I322" s="26" t="s">
        <v>599</v>
      </c>
      <c r="J322" s="26" t="s">
        <v>676</v>
      </c>
      <c r="K322" s="26" t="s">
        <v>581</v>
      </c>
      <c r="L322" s="26" t="s">
        <v>581</v>
      </c>
      <c r="M322" s="26" t="s">
        <v>581</v>
      </c>
      <c r="N322" s="26">
        <v>44406</v>
      </c>
      <c r="O322" s="26">
        <v>44407</v>
      </c>
      <c r="P322" s="27">
        <v>94</v>
      </c>
      <c r="Q322" s="27">
        <v>13</v>
      </c>
      <c r="R322" s="27">
        <v>81</v>
      </c>
      <c r="S322" s="19">
        <v>13</v>
      </c>
      <c r="T322" s="2">
        <v>0</v>
      </c>
    </row>
    <row r="323" spans="1:20" x14ac:dyDescent="0.25">
      <c r="A323" t="s">
        <v>532</v>
      </c>
      <c r="B323" t="s">
        <v>288</v>
      </c>
      <c r="C323" t="s">
        <v>535</v>
      </c>
      <c r="D323" s="21">
        <v>42632</v>
      </c>
      <c r="F323" s="2">
        <v>100</v>
      </c>
      <c r="G323" s="25">
        <v>44344</v>
      </c>
      <c r="H323" s="26">
        <v>44406</v>
      </c>
      <c r="I323" s="26" t="s">
        <v>599</v>
      </c>
      <c r="J323" s="26" t="s">
        <v>676</v>
      </c>
      <c r="K323" s="26" t="s">
        <v>581</v>
      </c>
      <c r="L323" s="26" t="s">
        <v>581</v>
      </c>
      <c r="M323" s="26" t="s">
        <v>581</v>
      </c>
      <c r="N323" s="26">
        <v>44406</v>
      </c>
      <c r="O323" s="26">
        <v>44407</v>
      </c>
      <c r="P323" s="27">
        <v>21</v>
      </c>
      <c r="Q323" s="27">
        <v>6</v>
      </c>
      <c r="R323" s="27">
        <v>15</v>
      </c>
      <c r="S323" s="19">
        <v>6</v>
      </c>
      <c r="T323" s="2">
        <v>0</v>
      </c>
    </row>
    <row r="324" spans="1:20" x14ac:dyDescent="0.25">
      <c r="A324" t="s">
        <v>532</v>
      </c>
      <c r="B324" t="s">
        <v>288</v>
      </c>
      <c r="C324" t="s">
        <v>536</v>
      </c>
      <c r="D324" s="21">
        <v>42633</v>
      </c>
      <c r="F324" s="2">
        <v>100</v>
      </c>
      <c r="G324" s="25">
        <v>44344</v>
      </c>
      <c r="H324" s="26">
        <v>44406</v>
      </c>
      <c r="I324" s="26" t="s">
        <v>599</v>
      </c>
      <c r="J324" s="26" t="s">
        <v>676</v>
      </c>
      <c r="K324" s="26" t="s">
        <v>581</v>
      </c>
      <c r="L324" s="26" t="s">
        <v>581</v>
      </c>
      <c r="M324" s="26" t="s">
        <v>581</v>
      </c>
      <c r="N324" s="26">
        <v>44406</v>
      </c>
      <c r="O324" s="26">
        <v>44407</v>
      </c>
      <c r="P324" s="27">
        <v>87</v>
      </c>
      <c r="Q324" s="27">
        <v>29</v>
      </c>
      <c r="R324" s="27">
        <v>58</v>
      </c>
      <c r="S324" s="19">
        <v>29</v>
      </c>
      <c r="T324" s="2">
        <v>0</v>
      </c>
    </row>
    <row r="325" spans="1:20" x14ac:dyDescent="0.25">
      <c r="A325" t="s">
        <v>532</v>
      </c>
      <c r="B325" t="s">
        <v>288</v>
      </c>
      <c r="C325" t="s">
        <v>537</v>
      </c>
      <c r="D325" s="21">
        <v>42634</v>
      </c>
      <c r="F325" s="2">
        <v>100</v>
      </c>
      <c r="G325" s="25">
        <v>44344</v>
      </c>
      <c r="H325" s="26">
        <v>44406</v>
      </c>
      <c r="I325" s="26" t="s">
        <v>599</v>
      </c>
      <c r="J325" s="26" t="s">
        <v>676</v>
      </c>
      <c r="K325" s="26" t="s">
        <v>581</v>
      </c>
      <c r="L325" s="26" t="s">
        <v>581</v>
      </c>
      <c r="M325" s="26" t="s">
        <v>581</v>
      </c>
      <c r="N325" s="26">
        <v>44406</v>
      </c>
      <c r="O325" s="26">
        <v>44407</v>
      </c>
      <c r="P325" s="27">
        <v>80</v>
      </c>
      <c r="Q325" s="27">
        <v>26</v>
      </c>
      <c r="R325" s="27">
        <v>54</v>
      </c>
      <c r="S325" s="19">
        <v>26</v>
      </c>
      <c r="T325" s="2">
        <v>0</v>
      </c>
    </row>
    <row r="326" spans="1:20" x14ac:dyDescent="0.25">
      <c r="A326" t="s">
        <v>532</v>
      </c>
      <c r="B326" t="s">
        <v>288</v>
      </c>
      <c r="C326" t="s">
        <v>538</v>
      </c>
      <c r="D326" s="21">
        <v>42634</v>
      </c>
      <c r="F326" s="2">
        <v>100</v>
      </c>
      <c r="G326" s="25">
        <v>44344</v>
      </c>
      <c r="H326" s="26">
        <v>44406</v>
      </c>
      <c r="I326" s="26" t="s">
        <v>599</v>
      </c>
      <c r="J326" s="26" t="s">
        <v>676</v>
      </c>
      <c r="K326" s="26" t="s">
        <v>581</v>
      </c>
      <c r="L326" s="26" t="s">
        <v>581</v>
      </c>
      <c r="M326" s="26" t="s">
        <v>581</v>
      </c>
      <c r="N326" s="26">
        <v>44406</v>
      </c>
      <c r="O326" s="26">
        <v>44407</v>
      </c>
      <c r="P326" s="27">
        <v>31</v>
      </c>
      <c r="Q326" s="27">
        <v>13</v>
      </c>
      <c r="R326" s="27">
        <v>18</v>
      </c>
      <c r="S326" s="19">
        <v>13</v>
      </c>
      <c r="T326" s="2">
        <v>0</v>
      </c>
    </row>
    <row r="327" spans="1:20" x14ac:dyDescent="0.25">
      <c r="A327" t="s">
        <v>532</v>
      </c>
      <c r="B327" t="s">
        <v>288</v>
      </c>
      <c r="C327" t="s">
        <v>539</v>
      </c>
      <c r="D327" s="21">
        <v>42634</v>
      </c>
      <c r="F327" s="2">
        <v>100</v>
      </c>
      <c r="G327" s="25">
        <v>44344</v>
      </c>
      <c r="H327" s="26">
        <v>44406</v>
      </c>
      <c r="I327" s="26" t="s">
        <v>599</v>
      </c>
      <c r="J327" s="26" t="s">
        <v>676</v>
      </c>
      <c r="K327" s="26" t="s">
        <v>581</v>
      </c>
      <c r="L327" s="26" t="s">
        <v>581</v>
      </c>
      <c r="M327" s="26" t="s">
        <v>581</v>
      </c>
      <c r="N327" s="26">
        <v>44406</v>
      </c>
      <c r="O327" s="26">
        <v>44407</v>
      </c>
      <c r="P327" s="27">
        <v>91</v>
      </c>
      <c r="Q327" s="27">
        <v>25</v>
      </c>
      <c r="R327" s="27">
        <v>66</v>
      </c>
      <c r="S327" s="19">
        <v>25</v>
      </c>
      <c r="T327" s="2">
        <v>0</v>
      </c>
    </row>
    <row r="328" spans="1:20" x14ac:dyDescent="0.25">
      <c r="A328" t="s">
        <v>532</v>
      </c>
      <c r="B328" t="s">
        <v>288</v>
      </c>
      <c r="C328" t="s">
        <v>540</v>
      </c>
      <c r="D328" s="21">
        <v>42635</v>
      </c>
      <c r="F328" s="2">
        <v>100</v>
      </c>
      <c r="G328" s="25">
        <v>44344</v>
      </c>
      <c r="H328" s="26">
        <v>44406</v>
      </c>
      <c r="I328" s="26" t="s">
        <v>599</v>
      </c>
      <c r="J328" s="26" t="s">
        <v>676</v>
      </c>
      <c r="K328" s="26" t="s">
        <v>581</v>
      </c>
      <c r="L328" s="26" t="s">
        <v>581</v>
      </c>
      <c r="M328" s="26" t="s">
        <v>581</v>
      </c>
      <c r="N328" s="26">
        <v>44406</v>
      </c>
      <c r="O328" s="26">
        <v>44407</v>
      </c>
      <c r="P328" s="27">
        <v>70</v>
      </c>
      <c r="Q328" s="27">
        <v>19</v>
      </c>
      <c r="R328" s="27">
        <v>51</v>
      </c>
      <c r="S328" s="19">
        <v>19</v>
      </c>
      <c r="T328" s="2">
        <v>0</v>
      </c>
    </row>
    <row r="329" spans="1:20" x14ac:dyDescent="0.25">
      <c r="A329" t="s">
        <v>532</v>
      </c>
      <c r="B329" t="s">
        <v>288</v>
      </c>
      <c r="C329" t="s">
        <v>541</v>
      </c>
      <c r="D329" s="21">
        <v>42635</v>
      </c>
      <c r="F329" s="2">
        <v>100</v>
      </c>
      <c r="G329" s="25">
        <v>44344</v>
      </c>
      <c r="H329" s="26">
        <v>44406</v>
      </c>
      <c r="I329" s="26" t="s">
        <v>599</v>
      </c>
      <c r="J329" s="26" t="s">
        <v>676</v>
      </c>
      <c r="K329" s="26" t="s">
        <v>581</v>
      </c>
      <c r="L329" s="26" t="s">
        <v>581</v>
      </c>
      <c r="M329" s="26" t="s">
        <v>581</v>
      </c>
      <c r="N329" s="26">
        <v>44406</v>
      </c>
      <c r="O329" s="26">
        <v>44407</v>
      </c>
      <c r="P329" s="27">
        <v>60</v>
      </c>
      <c r="Q329" s="27">
        <v>32</v>
      </c>
      <c r="R329" s="27">
        <v>28</v>
      </c>
      <c r="S329" s="19">
        <v>32</v>
      </c>
      <c r="T329" s="2">
        <v>0</v>
      </c>
    </row>
    <row r="330" spans="1:20" x14ac:dyDescent="0.25">
      <c r="A330" t="s">
        <v>532</v>
      </c>
      <c r="B330" t="s">
        <v>288</v>
      </c>
      <c r="C330" t="s">
        <v>542</v>
      </c>
      <c r="D330" s="21">
        <v>42641</v>
      </c>
      <c r="F330" s="2">
        <v>100</v>
      </c>
      <c r="G330" s="25">
        <v>44344</v>
      </c>
      <c r="H330" s="26">
        <v>44406</v>
      </c>
      <c r="I330" s="26" t="s">
        <v>599</v>
      </c>
      <c r="J330" s="26" t="s">
        <v>676</v>
      </c>
      <c r="K330" s="26" t="s">
        <v>581</v>
      </c>
      <c r="L330" s="26" t="s">
        <v>581</v>
      </c>
      <c r="M330" s="26" t="s">
        <v>581</v>
      </c>
      <c r="N330" s="26">
        <v>44406</v>
      </c>
      <c r="O330" s="26">
        <v>44407</v>
      </c>
      <c r="P330" s="27">
        <v>85</v>
      </c>
      <c r="Q330" s="27">
        <v>70</v>
      </c>
      <c r="R330" s="27">
        <v>15</v>
      </c>
      <c r="S330" s="19">
        <v>70</v>
      </c>
      <c r="T330" s="2">
        <v>0</v>
      </c>
    </row>
    <row r="331" spans="1:20" x14ac:dyDescent="0.25">
      <c r="A331" t="s">
        <v>532</v>
      </c>
      <c r="B331" t="s">
        <v>288</v>
      </c>
      <c r="C331" t="s">
        <v>543</v>
      </c>
      <c r="D331" s="21">
        <v>42647</v>
      </c>
      <c r="F331" s="2">
        <v>100</v>
      </c>
      <c r="G331" s="25">
        <v>44344</v>
      </c>
      <c r="H331" s="26">
        <v>44406</v>
      </c>
      <c r="I331" s="26" t="s">
        <v>599</v>
      </c>
      <c r="J331" s="26" t="s">
        <v>676</v>
      </c>
      <c r="K331" s="26" t="s">
        <v>581</v>
      </c>
      <c r="L331" s="26" t="s">
        <v>581</v>
      </c>
      <c r="M331" s="26" t="s">
        <v>581</v>
      </c>
      <c r="N331" s="26">
        <v>44406</v>
      </c>
      <c r="O331" s="26">
        <v>44407</v>
      </c>
      <c r="P331" s="27">
        <v>62</v>
      </c>
      <c r="Q331" s="27">
        <v>41</v>
      </c>
      <c r="R331" s="27">
        <v>21</v>
      </c>
      <c r="S331" s="19">
        <v>41</v>
      </c>
      <c r="T331" s="2">
        <v>0</v>
      </c>
    </row>
    <row r="332" spans="1:20" x14ac:dyDescent="0.25">
      <c r="A332" t="s">
        <v>532</v>
      </c>
      <c r="B332" t="s">
        <v>544</v>
      </c>
      <c r="C332" t="s">
        <v>545</v>
      </c>
      <c r="D332" s="21">
        <v>42233</v>
      </c>
      <c r="F332" s="2">
        <v>100</v>
      </c>
      <c r="G332" s="25">
        <v>44344</v>
      </c>
      <c r="H332" s="26">
        <v>44406</v>
      </c>
      <c r="I332" s="26" t="s">
        <v>599</v>
      </c>
      <c r="J332" s="26" t="s">
        <v>676</v>
      </c>
      <c r="K332" s="26" t="s">
        <v>581</v>
      </c>
      <c r="L332" s="26" t="s">
        <v>581</v>
      </c>
      <c r="M332" s="26" t="s">
        <v>581</v>
      </c>
      <c r="N332" s="26">
        <v>44406</v>
      </c>
      <c r="O332" s="26">
        <v>44407</v>
      </c>
      <c r="P332" s="27">
        <v>78</v>
      </c>
      <c r="Q332" s="27">
        <v>23</v>
      </c>
      <c r="R332" s="27">
        <v>55</v>
      </c>
      <c r="S332" s="19">
        <v>23</v>
      </c>
      <c r="T332" s="2">
        <v>0</v>
      </c>
    </row>
    <row r="333" spans="1:20" x14ac:dyDescent="0.25">
      <c r="A333" t="s">
        <v>532</v>
      </c>
      <c r="B333" t="s">
        <v>544</v>
      </c>
      <c r="C333" t="s">
        <v>546</v>
      </c>
      <c r="D333" s="21">
        <v>42233</v>
      </c>
      <c r="F333" s="2">
        <v>100</v>
      </c>
      <c r="G333" s="25">
        <v>44344</v>
      </c>
      <c r="H333" s="26">
        <v>44406</v>
      </c>
      <c r="I333" s="26" t="s">
        <v>599</v>
      </c>
      <c r="J333" s="26" t="s">
        <v>676</v>
      </c>
      <c r="K333" s="26" t="s">
        <v>581</v>
      </c>
      <c r="L333" s="26" t="s">
        <v>581</v>
      </c>
      <c r="M333" s="26" t="s">
        <v>581</v>
      </c>
      <c r="N333" s="26">
        <v>44406</v>
      </c>
      <c r="O333" s="26">
        <v>44407</v>
      </c>
      <c r="P333" s="27">
        <v>53</v>
      </c>
      <c r="Q333" s="27">
        <v>51</v>
      </c>
      <c r="R333" s="27">
        <v>2</v>
      </c>
      <c r="S333" s="19">
        <v>51</v>
      </c>
      <c r="T333" s="2">
        <v>0</v>
      </c>
    </row>
    <row r="334" spans="1:20" x14ac:dyDescent="0.25">
      <c r="A334" t="s">
        <v>532</v>
      </c>
      <c r="B334" t="s">
        <v>544</v>
      </c>
      <c r="C334" t="s">
        <v>547</v>
      </c>
      <c r="D334" s="21">
        <v>42234</v>
      </c>
      <c r="F334" s="2">
        <v>100</v>
      </c>
      <c r="G334" s="25">
        <v>44344</v>
      </c>
      <c r="H334" s="26">
        <v>44406</v>
      </c>
      <c r="I334" s="26" t="s">
        <v>599</v>
      </c>
      <c r="J334" s="26" t="s">
        <v>676</v>
      </c>
      <c r="K334" s="26" t="s">
        <v>581</v>
      </c>
      <c r="L334" s="26" t="s">
        <v>581</v>
      </c>
      <c r="M334" s="26" t="s">
        <v>581</v>
      </c>
      <c r="N334" s="26">
        <v>44406</v>
      </c>
      <c r="O334" s="26">
        <v>44407</v>
      </c>
      <c r="P334" s="27">
        <v>83</v>
      </c>
      <c r="Q334" s="27">
        <v>44</v>
      </c>
      <c r="R334" s="27">
        <v>39</v>
      </c>
      <c r="S334" s="19">
        <v>44</v>
      </c>
      <c r="T334" s="2">
        <v>0</v>
      </c>
    </row>
    <row r="335" spans="1:20" x14ac:dyDescent="0.25">
      <c r="A335" t="s">
        <v>532</v>
      </c>
      <c r="B335" t="s">
        <v>544</v>
      </c>
      <c r="C335" t="s">
        <v>548</v>
      </c>
      <c r="D335" s="21">
        <v>42234</v>
      </c>
      <c r="F335" s="2">
        <v>100</v>
      </c>
      <c r="G335" s="25">
        <v>44344</v>
      </c>
      <c r="H335" s="26">
        <v>44406</v>
      </c>
      <c r="I335" s="26" t="s">
        <v>599</v>
      </c>
      <c r="J335" s="26" t="s">
        <v>676</v>
      </c>
      <c r="K335" s="26" t="s">
        <v>581</v>
      </c>
      <c r="L335" s="26" t="s">
        <v>581</v>
      </c>
      <c r="M335" s="26" t="s">
        <v>581</v>
      </c>
      <c r="N335" s="26">
        <v>44406</v>
      </c>
      <c r="O335" s="26">
        <v>44407</v>
      </c>
      <c r="P335" s="27">
        <v>100</v>
      </c>
      <c r="Q335" s="27">
        <v>11</v>
      </c>
      <c r="R335" s="27">
        <v>89</v>
      </c>
      <c r="S335" s="19">
        <v>11</v>
      </c>
      <c r="T335" s="2">
        <v>0</v>
      </c>
    </row>
    <row r="336" spans="1:20" x14ac:dyDescent="0.25">
      <c r="A336" t="s">
        <v>532</v>
      </c>
      <c r="B336" t="s">
        <v>544</v>
      </c>
      <c r="C336" t="s">
        <v>549</v>
      </c>
      <c r="D336" s="21">
        <v>42234</v>
      </c>
      <c r="F336" s="2">
        <v>100</v>
      </c>
      <c r="G336" s="25">
        <v>44344</v>
      </c>
      <c r="H336" s="26">
        <v>44406</v>
      </c>
      <c r="I336" s="26" t="s">
        <v>599</v>
      </c>
      <c r="J336" s="26" t="s">
        <v>676</v>
      </c>
      <c r="K336" s="26" t="s">
        <v>581</v>
      </c>
      <c r="L336" s="26" t="s">
        <v>581</v>
      </c>
      <c r="M336" s="26" t="s">
        <v>581</v>
      </c>
      <c r="N336" s="26">
        <v>44406</v>
      </c>
      <c r="O336" s="26">
        <v>44407</v>
      </c>
      <c r="P336" s="27">
        <v>90</v>
      </c>
      <c r="Q336" s="27">
        <v>35</v>
      </c>
      <c r="R336" s="27">
        <v>55</v>
      </c>
      <c r="S336" s="19">
        <v>35</v>
      </c>
      <c r="T336" s="2">
        <v>0</v>
      </c>
    </row>
    <row r="337" spans="1:21" x14ac:dyDescent="0.25">
      <c r="A337" t="s">
        <v>532</v>
      </c>
      <c r="B337" t="s">
        <v>544</v>
      </c>
      <c r="C337" t="s">
        <v>550</v>
      </c>
      <c r="D337" s="21">
        <v>42242</v>
      </c>
      <c r="F337" s="2">
        <v>100</v>
      </c>
      <c r="G337" s="25">
        <v>44344</v>
      </c>
      <c r="H337" s="26">
        <v>44406</v>
      </c>
      <c r="I337" s="26" t="s">
        <v>599</v>
      </c>
      <c r="J337" s="26" t="s">
        <v>676</v>
      </c>
      <c r="K337" s="26" t="s">
        <v>581</v>
      </c>
      <c r="L337" s="26" t="s">
        <v>581</v>
      </c>
      <c r="M337" s="26" t="s">
        <v>581</v>
      </c>
      <c r="N337" s="26">
        <v>44406</v>
      </c>
      <c r="O337" s="26">
        <v>44407</v>
      </c>
      <c r="P337" s="27">
        <v>86</v>
      </c>
      <c r="Q337" s="27">
        <v>9</v>
      </c>
      <c r="R337" s="27">
        <v>77</v>
      </c>
      <c r="S337" s="19">
        <v>9</v>
      </c>
      <c r="T337" s="2">
        <v>0</v>
      </c>
    </row>
    <row r="338" spans="1:21" x14ac:dyDescent="0.25">
      <c r="A338" t="s">
        <v>532</v>
      </c>
      <c r="B338" t="s">
        <v>544</v>
      </c>
      <c r="C338" t="s">
        <v>551</v>
      </c>
      <c r="D338" s="21">
        <v>42641</v>
      </c>
      <c r="F338" s="2">
        <v>100</v>
      </c>
      <c r="G338" s="25">
        <v>44344</v>
      </c>
      <c r="H338" s="26">
        <v>44406</v>
      </c>
      <c r="I338" s="26" t="s">
        <v>599</v>
      </c>
      <c r="J338" s="26" t="s">
        <v>676</v>
      </c>
      <c r="K338" s="26" t="s">
        <v>581</v>
      </c>
      <c r="L338" s="26" t="s">
        <v>581</v>
      </c>
      <c r="M338" s="26" t="s">
        <v>581</v>
      </c>
      <c r="N338" s="26">
        <v>44406</v>
      </c>
      <c r="O338" s="26">
        <v>44407</v>
      </c>
      <c r="P338" s="27">
        <v>46</v>
      </c>
      <c r="Q338" s="27">
        <v>7</v>
      </c>
      <c r="R338" s="27">
        <v>39</v>
      </c>
      <c r="S338" s="19">
        <v>7</v>
      </c>
      <c r="T338" s="2">
        <v>0</v>
      </c>
    </row>
    <row r="339" spans="1:21" x14ac:dyDescent="0.25">
      <c r="A339" t="s">
        <v>532</v>
      </c>
      <c r="B339" t="s">
        <v>544</v>
      </c>
      <c r="C339" t="s">
        <v>552</v>
      </c>
      <c r="D339" s="21">
        <v>42647</v>
      </c>
      <c r="F339" s="2">
        <v>100</v>
      </c>
      <c r="G339" s="25">
        <v>44344</v>
      </c>
      <c r="H339" s="26">
        <v>44406</v>
      </c>
      <c r="I339" s="26" t="s">
        <v>599</v>
      </c>
      <c r="J339" s="26" t="s">
        <v>676</v>
      </c>
      <c r="K339" s="26" t="s">
        <v>581</v>
      </c>
      <c r="L339" s="26" t="s">
        <v>581</v>
      </c>
      <c r="M339" s="26" t="s">
        <v>581</v>
      </c>
      <c r="N339" s="26">
        <v>44406</v>
      </c>
      <c r="O339" s="26">
        <v>44407</v>
      </c>
      <c r="P339" s="27">
        <v>36</v>
      </c>
      <c r="Q339" s="27">
        <v>29</v>
      </c>
      <c r="R339" s="27">
        <v>7</v>
      </c>
      <c r="S339" s="19">
        <v>29</v>
      </c>
      <c r="T339" s="2">
        <v>0</v>
      </c>
    </row>
    <row r="340" spans="1:21" x14ac:dyDescent="0.25">
      <c r="A340" t="s">
        <v>532</v>
      </c>
      <c r="B340" t="s">
        <v>544</v>
      </c>
      <c r="C340" t="s">
        <v>553</v>
      </c>
      <c r="D340" s="21">
        <v>43019</v>
      </c>
      <c r="F340" s="2">
        <v>100</v>
      </c>
      <c r="G340" s="25">
        <v>44344</v>
      </c>
      <c r="H340" s="26">
        <v>44406</v>
      </c>
      <c r="I340" s="26" t="s">
        <v>599</v>
      </c>
      <c r="J340" s="26" t="s">
        <v>676</v>
      </c>
      <c r="K340" s="26" t="s">
        <v>581</v>
      </c>
      <c r="L340" s="26" t="s">
        <v>581</v>
      </c>
      <c r="M340" s="26" t="s">
        <v>581</v>
      </c>
      <c r="N340" s="26">
        <v>44406</v>
      </c>
      <c r="O340" s="26">
        <v>44407</v>
      </c>
      <c r="P340" s="27">
        <v>38</v>
      </c>
      <c r="Q340" s="27">
        <v>15</v>
      </c>
      <c r="R340" s="27">
        <v>23</v>
      </c>
      <c r="S340" s="19">
        <v>15</v>
      </c>
      <c r="T340" s="2">
        <v>0</v>
      </c>
    </row>
    <row r="341" spans="1:21" x14ac:dyDescent="0.25">
      <c r="A341" t="s">
        <v>554</v>
      </c>
      <c r="B341" t="s">
        <v>555</v>
      </c>
      <c r="C341" t="s">
        <v>556</v>
      </c>
      <c r="D341" s="21">
        <v>43017</v>
      </c>
      <c r="F341" s="2">
        <v>100</v>
      </c>
      <c r="G341" s="25">
        <v>44343</v>
      </c>
      <c r="H341" s="26">
        <v>44405</v>
      </c>
      <c r="I341" s="26" t="s">
        <v>599</v>
      </c>
      <c r="J341" s="26" t="s">
        <v>676</v>
      </c>
      <c r="K341" s="26" t="s">
        <v>581</v>
      </c>
      <c r="L341" s="26" t="s">
        <v>581</v>
      </c>
      <c r="M341" s="26" t="s">
        <v>581</v>
      </c>
      <c r="N341" s="26">
        <v>44405</v>
      </c>
      <c r="O341" s="26">
        <v>44406</v>
      </c>
      <c r="P341" s="27">
        <v>17</v>
      </c>
      <c r="Q341" s="27">
        <v>3</v>
      </c>
      <c r="R341" s="27">
        <v>14</v>
      </c>
      <c r="S341" s="19">
        <v>3</v>
      </c>
      <c r="T341" s="2">
        <v>0</v>
      </c>
    </row>
    <row r="342" spans="1:21" x14ac:dyDescent="0.25">
      <c r="A342" t="s">
        <v>557</v>
      </c>
      <c r="B342" t="s">
        <v>288</v>
      </c>
      <c r="C342" t="s">
        <v>558</v>
      </c>
      <c r="D342" s="21">
        <v>42223</v>
      </c>
      <c r="F342" s="2">
        <f>D342*E342</f>
        <v>0</v>
      </c>
      <c r="G342" s="25">
        <v>44350</v>
      </c>
      <c r="H342" s="26">
        <v>44385</v>
      </c>
      <c r="I342" s="26" t="s">
        <v>599</v>
      </c>
      <c r="J342" s="26" t="s">
        <v>676</v>
      </c>
      <c r="K342" s="26" t="s">
        <v>581</v>
      </c>
      <c r="L342" s="26" t="s">
        <v>581</v>
      </c>
      <c r="M342" s="26" t="s">
        <v>581</v>
      </c>
      <c r="N342" s="26">
        <v>44385</v>
      </c>
      <c r="O342" s="26">
        <v>44386</v>
      </c>
      <c r="P342" s="27">
        <v>68</v>
      </c>
      <c r="Q342" s="27">
        <v>7</v>
      </c>
      <c r="R342" s="27">
        <v>61</v>
      </c>
      <c r="S342" s="19">
        <v>7</v>
      </c>
      <c r="T342" s="2">
        <v>0</v>
      </c>
    </row>
    <row r="343" spans="1:21" x14ac:dyDescent="0.25">
      <c r="A343" t="s">
        <v>557</v>
      </c>
      <c r="B343" t="s">
        <v>288</v>
      </c>
      <c r="C343" t="s">
        <v>559</v>
      </c>
      <c r="D343" s="21">
        <v>42598</v>
      </c>
      <c r="F343" s="2">
        <f>D343*E343</f>
        <v>0</v>
      </c>
      <c r="G343" s="25">
        <v>44350</v>
      </c>
      <c r="H343" s="26">
        <v>44385</v>
      </c>
      <c r="I343" s="26" t="s">
        <v>599</v>
      </c>
      <c r="J343" s="26" t="s">
        <v>676</v>
      </c>
      <c r="K343" s="26" t="s">
        <v>581</v>
      </c>
      <c r="L343" s="26" t="s">
        <v>581</v>
      </c>
      <c r="M343" s="26" t="s">
        <v>581</v>
      </c>
      <c r="N343" s="26">
        <v>44385</v>
      </c>
      <c r="O343" s="26">
        <v>44386</v>
      </c>
      <c r="P343" s="27">
        <v>61</v>
      </c>
      <c r="Q343" s="27">
        <v>21</v>
      </c>
      <c r="R343" s="27">
        <v>40</v>
      </c>
      <c r="S343" s="19">
        <v>21</v>
      </c>
      <c r="T343" s="2">
        <v>0</v>
      </c>
    </row>
    <row r="344" spans="1:21" x14ac:dyDescent="0.25">
      <c r="A344" t="s">
        <v>557</v>
      </c>
      <c r="B344" t="s">
        <v>560</v>
      </c>
      <c r="C344" t="s">
        <v>561</v>
      </c>
      <c r="D344" s="21">
        <v>42598</v>
      </c>
      <c r="F344" s="2">
        <v>0</v>
      </c>
      <c r="G344" s="22" t="s">
        <v>581</v>
      </c>
      <c r="H344" s="22" t="s">
        <v>581</v>
      </c>
      <c r="I344" s="25" t="s">
        <v>581</v>
      </c>
      <c r="J344" s="22" t="s">
        <v>581</v>
      </c>
      <c r="K344" s="26" t="s">
        <v>581</v>
      </c>
      <c r="L344" s="26" t="s">
        <v>581</v>
      </c>
      <c r="M344" s="26" t="s">
        <v>581</v>
      </c>
      <c r="N344" s="22" t="s">
        <v>581</v>
      </c>
      <c r="O344" s="22" t="s">
        <v>581</v>
      </c>
      <c r="P344" s="23" t="s">
        <v>581</v>
      </c>
      <c r="Q344" s="23" t="s">
        <v>581</v>
      </c>
      <c r="R344" s="23" t="s">
        <v>581</v>
      </c>
      <c r="S344" s="19" t="s">
        <v>581</v>
      </c>
      <c r="T344" s="2" t="s">
        <v>581</v>
      </c>
      <c r="U344" t="s">
        <v>694</v>
      </c>
    </row>
    <row r="345" spans="1:21" x14ac:dyDescent="0.25">
      <c r="A345" t="s">
        <v>557</v>
      </c>
      <c r="B345" t="s">
        <v>562</v>
      </c>
      <c r="C345" t="s">
        <v>563</v>
      </c>
      <c r="D345" s="21">
        <v>42654</v>
      </c>
      <c r="F345" s="2">
        <v>0</v>
      </c>
      <c r="G345" s="22" t="s">
        <v>581</v>
      </c>
      <c r="H345" s="22" t="s">
        <v>581</v>
      </c>
      <c r="I345" s="25" t="s">
        <v>581</v>
      </c>
      <c r="J345" s="22" t="s">
        <v>581</v>
      </c>
      <c r="K345" s="26" t="s">
        <v>581</v>
      </c>
      <c r="L345" s="26" t="s">
        <v>581</v>
      </c>
      <c r="M345" s="26" t="s">
        <v>581</v>
      </c>
      <c r="N345" s="22" t="s">
        <v>581</v>
      </c>
      <c r="O345" s="22" t="s">
        <v>581</v>
      </c>
      <c r="P345" s="23" t="s">
        <v>581</v>
      </c>
      <c r="Q345" s="23" t="s">
        <v>581</v>
      </c>
      <c r="R345" s="23" t="s">
        <v>581</v>
      </c>
      <c r="S345" s="19" t="s">
        <v>581</v>
      </c>
      <c r="T345" s="2" t="s">
        <v>581</v>
      </c>
      <c r="U345" t="s">
        <v>694</v>
      </c>
    </row>
    <row r="346" spans="1:21" x14ac:dyDescent="0.25">
      <c r="A346" t="s">
        <v>557</v>
      </c>
      <c r="B346" t="s">
        <v>562</v>
      </c>
      <c r="C346" t="s">
        <v>564</v>
      </c>
      <c r="D346" s="21">
        <v>42661</v>
      </c>
      <c r="F346" s="2">
        <v>0</v>
      </c>
      <c r="G346" s="22" t="s">
        <v>581</v>
      </c>
      <c r="H346" s="22" t="s">
        <v>581</v>
      </c>
      <c r="I346" s="25" t="s">
        <v>581</v>
      </c>
      <c r="J346" s="22" t="s">
        <v>581</v>
      </c>
      <c r="K346" s="26" t="s">
        <v>581</v>
      </c>
      <c r="L346" s="26" t="s">
        <v>581</v>
      </c>
      <c r="M346" s="26" t="s">
        <v>581</v>
      </c>
      <c r="N346" s="22" t="s">
        <v>581</v>
      </c>
      <c r="O346" s="22" t="s">
        <v>581</v>
      </c>
      <c r="P346" s="23" t="s">
        <v>581</v>
      </c>
      <c r="Q346" s="23" t="s">
        <v>581</v>
      </c>
      <c r="R346" s="23" t="s">
        <v>581</v>
      </c>
      <c r="S346" s="19" t="s">
        <v>581</v>
      </c>
      <c r="T346" s="2" t="s">
        <v>581</v>
      </c>
      <c r="U346" t="s">
        <v>694</v>
      </c>
    </row>
    <row r="347" spans="1:21" x14ac:dyDescent="0.25">
      <c r="A347" t="s">
        <v>557</v>
      </c>
      <c r="B347" t="s">
        <v>562</v>
      </c>
      <c r="C347" t="s">
        <v>565</v>
      </c>
      <c r="D347" s="21">
        <v>43026</v>
      </c>
      <c r="F347" s="2">
        <v>0</v>
      </c>
      <c r="G347" s="22" t="s">
        <v>581</v>
      </c>
      <c r="H347" s="22" t="s">
        <v>581</v>
      </c>
      <c r="I347" s="25" t="s">
        <v>581</v>
      </c>
      <c r="J347" s="22" t="s">
        <v>581</v>
      </c>
      <c r="K347" s="26" t="s">
        <v>581</v>
      </c>
      <c r="L347" s="26" t="s">
        <v>581</v>
      </c>
      <c r="M347" s="26" t="s">
        <v>581</v>
      </c>
      <c r="N347" s="22" t="s">
        <v>581</v>
      </c>
      <c r="O347" s="22" t="s">
        <v>581</v>
      </c>
      <c r="P347" s="23" t="s">
        <v>581</v>
      </c>
      <c r="Q347" s="23" t="s">
        <v>581</v>
      </c>
      <c r="R347" s="23" t="s">
        <v>581</v>
      </c>
      <c r="S347" s="19" t="s">
        <v>581</v>
      </c>
      <c r="T347" s="2" t="s">
        <v>581</v>
      </c>
      <c r="U347" t="s">
        <v>694</v>
      </c>
    </row>
    <row r="348" spans="1:21" x14ac:dyDescent="0.25">
      <c r="A348" t="s">
        <v>557</v>
      </c>
      <c r="B348" t="s">
        <v>566</v>
      </c>
      <c r="C348" t="s">
        <v>567</v>
      </c>
      <c r="D348" s="21">
        <v>42598</v>
      </c>
      <c r="F348" s="2">
        <v>0</v>
      </c>
      <c r="G348" s="22" t="s">
        <v>581</v>
      </c>
      <c r="H348" s="22" t="s">
        <v>581</v>
      </c>
      <c r="I348" s="25" t="s">
        <v>581</v>
      </c>
      <c r="J348" s="22" t="s">
        <v>581</v>
      </c>
      <c r="K348" s="26" t="s">
        <v>581</v>
      </c>
      <c r="L348" s="26" t="s">
        <v>581</v>
      </c>
      <c r="M348" s="26" t="s">
        <v>581</v>
      </c>
      <c r="N348" s="22" t="s">
        <v>581</v>
      </c>
      <c r="O348" s="22" t="s">
        <v>581</v>
      </c>
      <c r="P348" s="23" t="s">
        <v>581</v>
      </c>
      <c r="Q348" s="23" t="s">
        <v>581</v>
      </c>
      <c r="R348" s="23" t="s">
        <v>581</v>
      </c>
      <c r="S348" s="19" t="s">
        <v>581</v>
      </c>
      <c r="T348" s="2" t="s">
        <v>581</v>
      </c>
      <c r="U348" t="s">
        <v>694</v>
      </c>
    </row>
    <row r="349" spans="1:21" x14ac:dyDescent="0.25">
      <c r="A349" t="s">
        <v>568</v>
      </c>
      <c r="B349" t="s">
        <v>569</v>
      </c>
      <c r="C349" t="s">
        <v>570</v>
      </c>
      <c r="D349" s="21">
        <v>43021</v>
      </c>
      <c r="F349" s="2">
        <v>104</v>
      </c>
      <c r="G349" s="25">
        <v>44336</v>
      </c>
      <c r="H349" s="26">
        <v>44377</v>
      </c>
      <c r="I349" s="26" t="s">
        <v>599</v>
      </c>
      <c r="J349" s="26" t="s">
        <v>676</v>
      </c>
      <c r="K349" s="26" t="s">
        <v>581</v>
      </c>
      <c r="L349" s="26" t="s">
        <v>581</v>
      </c>
      <c r="M349" s="26" t="s">
        <v>581</v>
      </c>
      <c r="N349" s="26">
        <v>44377</v>
      </c>
      <c r="O349" s="26">
        <v>44378</v>
      </c>
      <c r="P349" s="27">
        <v>104</v>
      </c>
      <c r="Q349" s="27">
        <v>30</v>
      </c>
      <c r="R349" s="27">
        <v>74</v>
      </c>
      <c r="S349" s="19">
        <v>36</v>
      </c>
      <c r="T349" s="2">
        <v>0</v>
      </c>
    </row>
    <row r="350" spans="1:21" x14ac:dyDescent="0.25">
      <c r="A350" t="s">
        <v>568</v>
      </c>
      <c r="B350" t="s">
        <v>569</v>
      </c>
      <c r="C350" t="s">
        <v>571</v>
      </c>
      <c r="D350" s="21">
        <v>43046</v>
      </c>
      <c r="F350" s="2">
        <v>104</v>
      </c>
      <c r="G350" s="25">
        <v>44336</v>
      </c>
      <c r="H350" s="26">
        <v>44377</v>
      </c>
      <c r="I350" s="26" t="s">
        <v>599</v>
      </c>
      <c r="J350" s="26" t="s">
        <v>676</v>
      </c>
      <c r="K350" s="26" t="s">
        <v>581</v>
      </c>
      <c r="L350" s="26" t="s">
        <v>581</v>
      </c>
      <c r="M350" s="26" t="s">
        <v>581</v>
      </c>
      <c r="N350" s="26">
        <v>44377</v>
      </c>
      <c r="O350" s="26">
        <v>44378</v>
      </c>
      <c r="P350" s="27">
        <v>104</v>
      </c>
      <c r="Q350" s="27">
        <v>36</v>
      </c>
      <c r="R350" s="27">
        <v>68</v>
      </c>
      <c r="S350" s="19">
        <v>30</v>
      </c>
      <c r="T350" s="2">
        <v>0</v>
      </c>
    </row>
    <row r="351" spans="1:21" x14ac:dyDescent="0.25">
      <c r="A351" t="s">
        <v>568</v>
      </c>
      <c r="B351" t="s">
        <v>569</v>
      </c>
      <c r="C351" t="s">
        <v>572</v>
      </c>
      <c r="D351" s="21">
        <v>43048</v>
      </c>
      <c r="F351" s="2">
        <v>104</v>
      </c>
      <c r="G351" s="25">
        <v>44336</v>
      </c>
      <c r="H351" s="26">
        <v>44377</v>
      </c>
      <c r="I351" s="26" t="s">
        <v>599</v>
      </c>
      <c r="J351" s="26" t="s">
        <v>676</v>
      </c>
      <c r="K351" s="26" t="s">
        <v>581</v>
      </c>
      <c r="L351" s="26" t="s">
        <v>581</v>
      </c>
      <c r="M351" s="26" t="s">
        <v>581</v>
      </c>
      <c r="N351" s="26">
        <v>44377</v>
      </c>
      <c r="O351" s="26">
        <v>44378</v>
      </c>
      <c r="P351" s="27">
        <v>104</v>
      </c>
      <c r="Q351" s="27">
        <v>32</v>
      </c>
      <c r="R351" s="27">
        <v>72</v>
      </c>
      <c r="S351" s="19">
        <v>32</v>
      </c>
      <c r="T351" s="2">
        <v>0</v>
      </c>
    </row>
    <row r="352" spans="1:21" x14ac:dyDescent="0.25">
      <c r="A352" t="s">
        <v>573</v>
      </c>
      <c r="B352" t="s">
        <v>574</v>
      </c>
      <c r="C352" t="s">
        <v>575</v>
      </c>
      <c r="D352" s="21">
        <v>42296</v>
      </c>
      <c r="F352" s="2">
        <v>100</v>
      </c>
      <c r="G352" s="25">
        <v>44340</v>
      </c>
      <c r="H352" s="26">
        <v>44431</v>
      </c>
      <c r="I352" s="26" t="s">
        <v>599</v>
      </c>
      <c r="J352" s="26" t="s">
        <v>676</v>
      </c>
      <c r="K352" s="26" t="s">
        <v>581</v>
      </c>
      <c r="L352" s="26" t="s">
        <v>581</v>
      </c>
      <c r="M352" s="26" t="s">
        <v>581</v>
      </c>
      <c r="N352" s="26">
        <v>44431</v>
      </c>
      <c r="O352" s="26">
        <v>44432</v>
      </c>
      <c r="P352" s="27">
        <v>76</v>
      </c>
      <c r="Q352" s="27">
        <v>46</v>
      </c>
      <c r="R352" s="27">
        <v>30</v>
      </c>
      <c r="S352" s="19">
        <v>46</v>
      </c>
      <c r="T352" s="2">
        <v>0</v>
      </c>
    </row>
    <row r="353" spans="1:20" x14ac:dyDescent="0.25">
      <c r="A353" t="s">
        <v>576</v>
      </c>
      <c r="B353" t="s">
        <v>577</v>
      </c>
      <c r="C353" t="s">
        <v>578</v>
      </c>
      <c r="D353" s="21">
        <v>42620</v>
      </c>
      <c r="F353" s="2">
        <v>100</v>
      </c>
      <c r="G353" s="25">
        <v>44329</v>
      </c>
      <c r="H353" s="26">
        <v>44391</v>
      </c>
      <c r="I353" s="26" t="s">
        <v>599</v>
      </c>
      <c r="J353" s="26" t="s">
        <v>676</v>
      </c>
      <c r="K353" s="26" t="s">
        <v>581</v>
      </c>
      <c r="L353" s="26" t="s">
        <v>581</v>
      </c>
      <c r="M353" s="26" t="s">
        <v>581</v>
      </c>
      <c r="N353" s="26">
        <v>44391</v>
      </c>
      <c r="O353" s="26">
        <v>44392</v>
      </c>
      <c r="P353" s="27">
        <v>98</v>
      </c>
      <c r="Q353" s="27">
        <v>89</v>
      </c>
      <c r="R353" s="27">
        <v>9</v>
      </c>
      <c r="S353" s="19">
        <v>89</v>
      </c>
      <c r="T353" s="2">
        <v>0</v>
      </c>
    </row>
    <row r="354" spans="1:20" x14ac:dyDescent="0.25">
      <c r="A354" t="s">
        <v>576</v>
      </c>
      <c r="B354" t="s">
        <v>577</v>
      </c>
      <c r="C354" t="s">
        <v>579</v>
      </c>
      <c r="D354" s="21">
        <v>42629</v>
      </c>
      <c r="F354" s="2">
        <v>100</v>
      </c>
      <c r="G354" s="25">
        <v>44329</v>
      </c>
      <c r="H354" s="26">
        <v>44391</v>
      </c>
      <c r="I354" s="26" t="s">
        <v>599</v>
      </c>
      <c r="J354" s="26" t="s">
        <v>676</v>
      </c>
      <c r="K354" s="26" t="s">
        <v>581</v>
      </c>
      <c r="L354" s="26" t="s">
        <v>581</v>
      </c>
      <c r="M354" s="26" t="s">
        <v>581</v>
      </c>
      <c r="N354" s="26">
        <v>44391</v>
      </c>
      <c r="O354" s="26">
        <v>44392</v>
      </c>
      <c r="P354" s="27">
        <v>100</v>
      </c>
      <c r="Q354" s="27">
        <v>96</v>
      </c>
      <c r="R354" s="27">
        <v>4</v>
      </c>
      <c r="S354" s="19">
        <v>96</v>
      </c>
      <c r="T354" s="2">
        <v>0</v>
      </c>
    </row>
  </sheetData>
  <autoFilter ref="A1:U354" xr:uid="{00000000-0009-0000-0000-000003000000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54"/>
  <sheetViews>
    <sheetView topLeftCell="I76" workbookViewId="0">
      <selection activeCell="L97" sqref="L97"/>
    </sheetView>
  </sheetViews>
  <sheetFormatPr defaultColWidth="9.140625" defaultRowHeight="15" x14ac:dyDescent="0.25"/>
  <cols>
    <col min="1" max="1" width="9.5703125" style="2" customWidth="1"/>
    <col min="2" max="2" width="13.5703125" style="2" customWidth="1"/>
    <col min="3" max="3" width="10.42578125" style="2" customWidth="1"/>
    <col min="4" max="6" width="8.85546875" style="2" customWidth="1"/>
    <col min="7" max="7" width="7.140625" style="2" customWidth="1"/>
    <col min="8" max="8" width="6.85546875" style="2" customWidth="1"/>
    <col min="9" max="9" width="8.140625" style="2" customWidth="1"/>
    <col min="10" max="10" width="6.5703125" style="2" customWidth="1"/>
    <col min="11" max="11" width="7.5703125" style="2" customWidth="1"/>
    <col min="12" max="25" width="9.140625" style="2"/>
    <col min="26" max="26" width="23.5703125" style="2" customWidth="1"/>
    <col min="27" max="27" width="9.140625" style="2"/>
    <col min="28" max="28" width="158.42578125" style="2" customWidth="1"/>
    <col min="29" max="31" width="9.140625" style="2"/>
    <col min="32" max="32" width="9.42578125" style="2" bestFit="1" customWidth="1"/>
    <col min="33" max="16384" width="9.140625" style="2"/>
  </cols>
  <sheetData>
    <row r="1" spans="1:32" s="16" customFormat="1" ht="120" x14ac:dyDescent="0.25">
      <c r="A1" s="15" t="s">
        <v>0</v>
      </c>
      <c r="B1" s="15" t="s">
        <v>645</v>
      </c>
      <c r="C1" s="15" t="s">
        <v>2</v>
      </c>
      <c r="D1" s="17" t="s">
        <v>680</v>
      </c>
      <c r="E1" s="17" t="s">
        <v>681</v>
      </c>
      <c r="F1" s="17" t="s">
        <v>682</v>
      </c>
      <c r="G1" s="15" t="s">
        <v>647</v>
      </c>
      <c r="H1" s="15" t="s">
        <v>648</v>
      </c>
      <c r="I1" s="15" t="s">
        <v>649</v>
      </c>
      <c r="J1" s="17" t="s">
        <v>683</v>
      </c>
      <c r="K1" s="17" t="s">
        <v>684</v>
      </c>
      <c r="L1" s="35" t="s">
        <v>686</v>
      </c>
      <c r="M1" s="35" t="s">
        <v>687</v>
      </c>
      <c r="N1" s="15" t="s">
        <v>650</v>
      </c>
      <c r="O1" s="12" t="s">
        <v>673</v>
      </c>
      <c r="P1" s="39" t="s">
        <v>688</v>
      </c>
      <c r="Q1" s="49" t="s">
        <v>656</v>
      </c>
      <c r="R1" s="49" t="s">
        <v>692</v>
      </c>
      <c r="S1" s="49" t="s">
        <v>658</v>
      </c>
      <c r="T1" s="49" t="s">
        <v>691</v>
      </c>
      <c r="U1" s="49" t="s">
        <v>657</v>
      </c>
      <c r="V1" s="49" t="s">
        <v>709</v>
      </c>
      <c r="W1" s="49" t="s">
        <v>711</v>
      </c>
      <c r="X1" s="12" t="s">
        <v>695</v>
      </c>
      <c r="Y1" s="56" t="s">
        <v>696</v>
      </c>
      <c r="Z1" s="17" t="s">
        <v>693</v>
      </c>
    </row>
    <row r="2" spans="1:32" ht="30" x14ac:dyDescent="0.25">
      <c r="A2" s="2" t="s">
        <v>3</v>
      </c>
      <c r="B2" s="2" t="s">
        <v>4</v>
      </c>
      <c r="C2" s="2" t="s">
        <v>5</v>
      </c>
      <c r="D2" s="32">
        <f>MATCH(Xtradata!C2,Xtradata!C$2:C397,0)</f>
        <v>1</v>
      </c>
      <c r="E2" s="33" t="str">
        <f>INDEX(Xtradata!G$2:G$397,$D2)</f>
        <v>N/A</v>
      </c>
      <c r="F2" s="33" t="str">
        <f>INDEX(Xtradata!H$2:H$397,$D2)</f>
        <v>N/A</v>
      </c>
      <c r="G2" s="2">
        <v>0</v>
      </c>
      <c r="H2" s="2" t="s">
        <v>581</v>
      </c>
      <c r="I2" s="2" t="s">
        <v>581</v>
      </c>
      <c r="J2" s="33" t="str">
        <f>INDEX(Xtradata!J$2:J$397,$D2)</f>
        <v>N/A</v>
      </c>
      <c r="K2" s="34" t="str">
        <f>IF(J2="TZ",INDEX(Xtradata!P$2:P$397,$D2),IF(J2="clip",INDEX(Xtradata!K$2:K$397,$D2),""))</f>
        <v/>
      </c>
      <c r="L2" s="34" t="str">
        <f>IF($J2="TZ",INDEX(Xtradata!Q$2:Q$397,$D2),IF($J2="clip",INDEX(Xtradata!L$2:L$397,$D2),""))</f>
        <v/>
      </c>
      <c r="M2" s="34" t="str">
        <f>IF($J2="TZ",INDEX(Xtradata!R$2:R$397,$D2),IF($J2="clip",INDEX(Xtradata!M$2:M$397,$D2),""))</f>
        <v/>
      </c>
      <c r="N2" s="2" t="s">
        <v>581</v>
      </c>
      <c r="O2" s="34" t="str">
        <f>INDEX(Xtradata!T$2:T$397,$D2)</f>
        <v>N/A</v>
      </c>
      <c r="P2" s="38" t="e">
        <f>IF(G2=0,K2-SUM(L2,M2,N2,O2),G2-SUM(H2,I2,L2,M2,N2,O2))</f>
        <v>#VALUE!</v>
      </c>
      <c r="Q2" s="48" t="str">
        <f>IF($G2=0,"",H2/$G2)</f>
        <v/>
      </c>
      <c r="R2" s="48" t="str">
        <f>IF($G2=0,"",IF(J2="clip",(H2+I2+L2)/$G2,(H2+I2)/$G2))</f>
        <v/>
      </c>
      <c r="S2" s="48" t="str">
        <f t="shared" ref="S2:S6" si="0">IF($G2=0,"",IF(J2="N/A",0,L2/$G2))</f>
        <v/>
      </c>
      <c r="T2" s="48" t="str">
        <f>IF($G2=0,IF(J2="TZ",(L2)/$K2,""),IF(J2="N/A",(H2+I2)/$G2, (H2+I2+L2)/$G2))</f>
        <v/>
      </c>
      <c r="U2" s="48" t="str">
        <f t="shared" ref="U2:U33" si="1">IFERROR(N2/G2,IFERROR(N2/K2,""))</f>
        <v/>
      </c>
      <c r="V2" s="48" t="str">
        <f>IFERROR(1-T2-U2,IFERROR(1-T2,""))</f>
        <v/>
      </c>
      <c r="W2" s="48"/>
      <c r="X2" s="14">
        <f>MATCH(C2,'Weights and Seed Amounts'!C$2:C$400,0)</f>
        <v>1</v>
      </c>
      <c r="Y2" s="58">
        <f>INDEX('Weights and Seed Amounts'!D$2:D$400,$X2)</f>
        <v>0.08</v>
      </c>
      <c r="Z2" s="34" t="str">
        <f>INDEX(Xtradata!U$2:U$397,$D2)</f>
        <v>Seeds appear to be moldy and cracked from either age or damage from poor handling and/or storage. This sample was not tested as obtaining a quality sub-sample without empty and damaged seeds was impossible.</v>
      </c>
      <c r="AC2" s="61" t="s">
        <v>703</v>
      </c>
      <c r="AD2" s="61" t="s">
        <v>702</v>
      </c>
      <c r="AE2" s="57" t="s">
        <v>704</v>
      </c>
      <c r="AF2" s="18" t="s">
        <v>712</v>
      </c>
    </row>
    <row r="3" spans="1:32" x14ac:dyDescent="0.25">
      <c r="A3" s="2" t="s">
        <v>3</v>
      </c>
      <c r="B3" s="2" t="s">
        <v>4</v>
      </c>
      <c r="C3" s="2" t="s">
        <v>6</v>
      </c>
      <c r="D3" s="32">
        <f>MATCH(Xtradata!C3,Xtradata!C$2:C398,0)</f>
        <v>2</v>
      </c>
      <c r="E3" s="33" t="str">
        <f>INDEX(Xtradata!G$2:G$397,$D3)</f>
        <v>N/A</v>
      </c>
      <c r="F3" s="33" t="str">
        <f>INDEX(Xtradata!H$2:H$397,$D3)</f>
        <v>N/A</v>
      </c>
      <c r="G3" s="2">
        <v>0</v>
      </c>
      <c r="H3" s="2" t="s">
        <v>581</v>
      </c>
      <c r="I3" s="2" t="s">
        <v>581</v>
      </c>
      <c r="J3" s="33" t="str">
        <f>INDEX(Xtradata!J$2:J$397,$D3)</f>
        <v>N/A</v>
      </c>
      <c r="K3" s="34" t="str">
        <f>IF(J3="TZ",INDEX(Xtradata!P$2:P$397,$D3),IF(J3="clip",INDEX(Xtradata!K$2:K$397,$D3),""))</f>
        <v/>
      </c>
      <c r="L3" s="34" t="str">
        <f>IF($J3="TZ",INDEX(Xtradata!Q$2:Q$397,$D3),IF($J3="clip",INDEX(Xtradata!L$2:L$397,$D3),""))</f>
        <v/>
      </c>
      <c r="M3" s="34" t="str">
        <f>IF($J3="TZ",INDEX(Xtradata!R$2:R$397,$D3),IF($J3="clip",INDEX(Xtradata!M$2:M$397,$D3),""))</f>
        <v/>
      </c>
      <c r="N3" s="2" t="s">
        <v>581</v>
      </c>
      <c r="O3" s="34" t="str">
        <f>INDEX(Xtradata!T$2:T$397,$D3)</f>
        <v>N/A</v>
      </c>
      <c r="P3" s="38" t="e">
        <f t="shared" ref="P3:P66" si="2">IF(G3=0,K3-SUM(L3,M3,N3,O3),G3-SUM(H3,I3,L3,M3,N3,O3))</f>
        <v>#VALUE!</v>
      </c>
      <c r="Q3" s="48" t="str">
        <f t="shared" ref="Q3:Q66" si="3">IF($G3=0,"",H3/$G3)</f>
        <v/>
      </c>
      <c r="R3" s="48" t="str">
        <f t="shared" ref="R3:R66" si="4">IF($G3=0,"",IF(J3="clip",(H3+I3+L3)/$G3,(H3+I3)/$G3))</f>
        <v/>
      </c>
      <c r="S3" s="48" t="str">
        <f t="shared" si="0"/>
        <v/>
      </c>
      <c r="T3" s="48" t="str">
        <f t="shared" ref="T3:T66" si="5">IF($G3=0,IF(J3="TZ",(L3)/$K3,""),IF(J3="N/A",(H3+I3)/$G3, (H3+I3+L3)/$G3))</f>
        <v/>
      </c>
      <c r="U3" s="48" t="str">
        <f t="shared" si="1"/>
        <v/>
      </c>
      <c r="V3" s="48" t="str">
        <f t="shared" ref="V3:V66" si="6">IFERROR(1-T3-U3,IFERROR(1-T3,""))</f>
        <v/>
      </c>
      <c r="W3" s="48"/>
      <c r="X3" s="14">
        <f>MATCH(C3,'Weights and Seed Amounts'!C$2:C$400,0)</f>
        <v>2</v>
      </c>
      <c r="Y3" s="58">
        <f>INDEX('Weights and Seed Amounts'!D$2:D$400,$X3)</f>
        <v>7.4099999999999999E-2</v>
      </c>
      <c r="Z3" s="34" t="str">
        <f>INDEX(Xtradata!U$2:U$397,$D3)</f>
        <v>Seeds appear to be moldy and cracked from either age or damage from poor handling and/or storage. This sample was not tested as obtaining a quality sub-sample without empty and damaged seeds was impossible.</v>
      </c>
      <c r="AC3" s="18" t="s">
        <v>697</v>
      </c>
      <c r="AD3" s="18">
        <f>COUNTIF(Y$2:Y$400,"N/A")</f>
        <v>4</v>
      </c>
      <c r="AE3" s="59" t="s">
        <v>581</v>
      </c>
      <c r="AF3" s="60">
        <f>AD3/AD$7</f>
        <v>1.1331444759206799E-2</v>
      </c>
    </row>
    <row r="4" spans="1:32" x14ac:dyDescent="0.25">
      <c r="A4" s="2" t="s">
        <v>7</v>
      </c>
      <c r="B4" s="2" t="s">
        <v>8</v>
      </c>
      <c r="C4" s="2" t="s">
        <v>9</v>
      </c>
      <c r="D4" s="32">
        <f>MATCH(Xtradata!C4,Xtradata!C$2:C399,0)</f>
        <v>3</v>
      </c>
      <c r="E4" s="33">
        <f>INDEX(Xtradata!G$2:G$397,$D4)</f>
        <v>44306</v>
      </c>
      <c r="F4" s="33">
        <f>INDEX(Xtradata!H$2:H$397,$D4)</f>
        <v>44356</v>
      </c>
      <c r="G4" s="41">
        <f>108+2</f>
        <v>110</v>
      </c>
      <c r="H4" s="2">
        <v>36</v>
      </c>
      <c r="I4" s="2">
        <v>0</v>
      </c>
      <c r="J4" s="33" t="str">
        <f>INDEX(Xtradata!J$2:J$397,$D4)</f>
        <v>TZ</v>
      </c>
      <c r="K4" s="34">
        <f>IF(J4="TZ",INDEX(Xtradata!P$2:P$397,$D4),IF(J4="clip",INDEX(Xtradata!K$2:K$397,$D4),""))</f>
        <v>25</v>
      </c>
      <c r="L4" s="34">
        <f>IF($J4="TZ",INDEX(Xtradata!Q$2:Q$397,$D4),IF($J4="clip",INDEX(Xtradata!L$2:L$397,$D4),""))</f>
        <v>22</v>
      </c>
      <c r="M4" s="34">
        <f>IF($J4="TZ",INDEX(Xtradata!R$2:R$397,$D4),IF($J4="clip",INDEX(Xtradata!M$2:M$397,$D4),""))</f>
        <v>3</v>
      </c>
      <c r="N4" s="2">
        <v>47</v>
      </c>
      <c r="O4" s="34">
        <f>INDEX(Xtradata!T$2:T$397,$D4)</f>
        <v>2</v>
      </c>
      <c r="P4" s="38">
        <f t="shared" si="2"/>
        <v>0</v>
      </c>
      <c r="Q4" s="48">
        <f t="shared" si="3"/>
        <v>0.32727272727272727</v>
      </c>
      <c r="R4" s="48">
        <f t="shared" si="4"/>
        <v>0.32727272727272727</v>
      </c>
      <c r="S4" s="48">
        <f t="shared" si="0"/>
        <v>0.2</v>
      </c>
      <c r="T4" s="48">
        <f t="shared" si="5"/>
        <v>0.52727272727272723</v>
      </c>
      <c r="U4" s="48">
        <f t="shared" si="1"/>
        <v>0.42727272727272725</v>
      </c>
      <c r="V4" s="48">
        <f t="shared" si="6"/>
        <v>4.5454545454545525E-2</v>
      </c>
      <c r="W4" s="48">
        <f>SUM(R4,S4,U4,V4)</f>
        <v>1</v>
      </c>
      <c r="X4" s="14">
        <f>MATCH(C4,'Weights and Seed Amounts'!C$2:C$400,0)</f>
        <v>3</v>
      </c>
      <c r="Y4" s="58">
        <f>INDEX('Weights and Seed Amounts'!D$2:D$400,$X4)</f>
        <v>9.6699999999999994E-2</v>
      </c>
      <c r="Z4" s="34">
        <f>INDEX(Xtradata!U$2:U$397,$D4)</f>
        <v>0</v>
      </c>
      <c r="AC4" s="18" t="s">
        <v>700</v>
      </c>
      <c r="AD4" s="18">
        <f>COUNTIFS(G$2:G$400,0,K$2:K$400,"")-AD3</f>
        <v>10</v>
      </c>
      <c r="AE4" s="18">
        <f>AVERAGEIFS(T$2:T$400,G$2:G$400,0,K$2:K$400,"&gt;0")</f>
        <v>0</v>
      </c>
      <c r="AF4" s="60">
        <f t="shared" ref="AF4:AF6" si="7">AD4/AD$7</f>
        <v>2.8328611898016998E-2</v>
      </c>
    </row>
    <row r="5" spans="1:32" x14ac:dyDescent="0.25">
      <c r="A5" s="2" t="s">
        <v>7</v>
      </c>
      <c r="B5" s="2" t="s">
        <v>8</v>
      </c>
      <c r="C5" s="2" t="s">
        <v>10</v>
      </c>
      <c r="D5" s="32">
        <f>MATCH(Xtradata!C5,Xtradata!C$2:C400,0)</f>
        <v>4</v>
      </c>
      <c r="E5" s="33">
        <f>INDEX(Xtradata!G$2:G$397,$D5)</f>
        <v>44306</v>
      </c>
      <c r="F5" s="33">
        <f>INDEX(Xtradata!H$2:H$397,$D5)</f>
        <v>44356</v>
      </c>
      <c r="G5" s="2">
        <v>100</v>
      </c>
      <c r="H5" s="2">
        <v>27</v>
      </c>
      <c r="I5" s="2">
        <v>0</v>
      </c>
      <c r="J5" s="33" t="str">
        <f>INDEX(Xtradata!J$2:J$397,$D5)</f>
        <v>TZ</v>
      </c>
      <c r="K5" s="34">
        <f>IF(J5="TZ",INDEX(Xtradata!P$2:P$397,$D5),IF(J5="clip",INDEX(Xtradata!K$2:K$397,$D5),""))</f>
        <v>16</v>
      </c>
      <c r="L5" s="34">
        <f>IF($J5="TZ",INDEX(Xtradata!Q$2:Q$397,$D5),IF($J5="clip",INDEX(Xtradata!L$2:L$397,$D5),""))</f>
        <v>13</v>
      </c>
      <c r="M5" s="34">
        <f>IF($J5="TZ",INDEX(Xtradata!R$2:R$397,$D5),IF($J5="clip",INDEX(Xtradata!M$2:M$397,$D5),""))</f>
        <v>3</v>
      </c>
      <c r="N5" s="2">
        <v>57</v>
      </c>
      <c r="O5" s="34">
        <f>INDEX(Xtradata!T$2:T$397,$D5)</f>
        <v>0</v>
      </c>
      <c r="P5" s="38">
        <f t="shared" si="2"/>
        <v>0</v>
      </c>
      <c r="Q5" s="48">
        <f t="shared" si="3"/>
        <v>0.27</v>
      </c>
      <c r="R5" s="48">
        <f t="shared" si="4"/>
        <v>0.27</v>
      </c>
      <c r="S5" s="48">
        <f t="shared" si="0"/>
        <v>0.13</v>
      </c>
      <c r="T5" s="48">
        <f t="shared" si="5"/>
        <v>0.4</v>
      </c>
      <c r="U5" s="48">
        <f t="shared" si="1"/>
        <v>0.56999999999999995</v>
      </c>
      <c r="V5" s="48">
        <f t="shared" si="6"/>
        <v>3.0000000000000027E-2</v>
      </c>
      <c r="W5" s="48">
        <f t="shared" ref="W5:W68" si="8">SUM(R5,S5,U5,V5)</f>
        <v>1</v>
      </c>
      <c r="X5" s="14">
        <f>MATCH(C5,'Weights and Seed Amounts'!C$2:C$400,0)</f>
        <v>4</v>
      </c>
      <c r="Y5" s="58">
        <f>INDEX('Weights and Seed Amounts'!D$2:D$400,$X5)</f>
        <v>9.7000000000000003E-2</v>
      </c>
      <c r="Z5" s="34">
        <f>INDEX(Xtradata!U$2:U$397,$D5)</f>
        <v>0</v>
      </c>
      <c r="AC5" s="18" t="s">
        <v>698</v>
      </c>
      <c r="AD5" s="18">
        <f>COUNTIFS(G$2:G$400,0,K$2:K$400,"&gt;0")</f>
        <v>16</v>
      </c>
      <c r="AE5" s="18">
        <f>AVERAGEIFS(T$2:T$400,G$2:G$400,0,K$2:K$400,"&gt;0")</f>
        <v>0</v>
      </c>
      <c r="AF5" s="60">
        <f t="shared" si="7"/>
        <v>4.5325779036827198E-2</v>
      </c>
    </row>
    <row r="6" spans="1:32" x14ac:dyDescent="0.25">
      <c r="A6" s="2" t="s">
        <v>11</v>
      </c>
      <c r="B6" s="2" t="s">
        <v>12</v>
      </c>
      <c r="C6" s="2" t="s">
        <v>13</v>
      </c>
      <c r="D6" s="32">
        <f>MATCH(Xtradata!C6,Xtradata!C$2:C401,0)</f>
        <v>5</v>
      </c>
      <c r="E6" s="33">
        <f>INDEX(Xtradata!G$2:G$397,$D6)</f>
        <v>44307</v>
      </c>
      <c r="F6" s="33">
        <f>INDEX(Xtradata!H$2:H$397,$D6)</f>
        <v>44356</v>
      </c>
      <c r="G6" s="2">
        <v>100</v>
      </c>
      <c r="H6" s="2">
        <v>22</v>
      </c>
      <c r="I6" s="2">
        <v>0</v>
      </c>
      <c r="J6" s="33" t="str">
        <f>INDEX(Xtradata!J$2:J$397,$D6)</f>
        <v>TZ</v>
      </c>
      <c r="K6" s="34">
        <f>IF(J6="TZ",INDEX(Xtradata!P$2:P$397,$D6),IF(J6="clip",INDEX(Xtradata!K$2:K$397,$D6),""))</f>
        <v>2</v>
      </c>
      <c r="L6" s="34">
        <f>IF($J6="TZ",INDEX(Xtradata!Q$2:Q$397,$D6),IF($J6="clip",INDEX(Xtradata!L$2:L$397,$D6),""))</f>
        <v>0</v>
      </c>
      <c r="M6" s="34">
        <f>IF($J6="TZ",INDEX(Xtradata!R$2:R$397,$D6),IF($J6="clip",INDEX(Xtradata!M$2:M$397,$D6),""))</f>
        <v>2</v>
      </c>
      <c r="N6" s="2">
        <v>76</v>
      </c>
      <c r="O6" s="34">
        <f>INDEX(Xtradata!T$2:T$397,$D6)</f>
        <v>0</v>
      </c>
      <c r="P6" s="38">
        <f t="shared" si="2"/>
        <v>0</v>
      </c>
      <c r="Q6" s="48">
        <f t="shared" si="3"/>
        <v>0.22</v>
      </c>
      <c r="R6" s="48">
        <f t="shared" si="4"/>
        <v>0.22</v>
      </c>
      <c r="S6" s="48">
        <f t="shared" si="0"/>
        <v>0</v>
      </c>
      <c r="T6" s="48">
        <f t="shared" si="5"/>
        <v>0.22</v>
      </c>
      <c r="U6" s="48">
        <f t="shared" si="1"/>
        <v>0.76</v>
      </c>
      <c r="V6" s="48">
        <f t="shared" si="6"/>
        <v>2.0000000000000018E-2</v>
      </c>
      <c r="W6" s="48">
        <f t="shared" si="8"/>
        <v>1</v>
      </c>
      <c r="X6" s="14">
        <f>MATCH(C6,'Weights and Seed Amounts'!C$2:C$400,0)</f>
        <v>5</v>
      </c>
      <c r="Y6" s="58">
        <f>INDEX('Weights and Seed Amounts'!D$2:D$400,$X6)</f>
        <v>0.20979999999999999</v>
      </c>
      <c r="Z6" s="34">
        <f>INDEX(Xtradata!U$2:U$397,$D6)</f>
        <v>0</v>
      </c>
      <c r="AC6" s="18" t="s">
        <v>699</v>
      </c>
      <c r="AD6" s="18">
        <f>COUNTIFS($G$2:$G$400,"&gt;0")</f>
        <v>323</v>
      </c>
      <c r="AE6" s="60">
        <f>AVERAGEIFS($T$2:$T$400,$G$2:$G$400,"&gt;0")</f>
        <v>0.50330815203843537</v>
      </c>
      <c r="AF6" s="60">
        <f t="shared" si="7"/>
        <v>0.91501416430594906</v>
      </c>
    </row>
    <row r="7" spans="1:32" x14ac:dyDescent="0.25">
      <c r="A7" s="2" t="s">
        <v>14</v>
      </c>
      <c r="B7" s="2" t="s">
        <v>15</v>
      </c>
      <c r="C7" s="2" t="s">
        <v>16</v>
      </c>
      <c r="D7" s="32">
        <f>MATCH(Xtradata!C7,Xtradata!C$2:C402,0)</f>
        <v>6</v>
      </c>
      <c r="E7" s="33">
        <f>INDEX(Xtradata!G$2:G$397,$D7)</f>
        <v>44375</v>
      </c>
      <c r="F7" s="33">
        <f>INDEX(Xtradata!H$2:H$397,$D7)</f>
        <v>44396</v>
      </c>
      <c r="G7" s="2">
        <v>100</v>
      </c>
      <c r="H7" s="2">
        <v>41</v>
      </c>
      <c r="I7" s="2">
        <v>2</v>
      </c>
      <c r="J7" s="33" t="str">
        <f>INDEX(Xtradata!J$2:J$397,$D7)</f>
        <v>N/A</v>
      </c>
      <c r="K7" s="34" t="str">
        <f>IF(J7="TZ",INDEX(Xtradata!P$2:P$397,$D7),IF(J7="clip",INDEX(Xtradata!K$2:K$397,$D7),""))</f>
        <v/>
      </c>
      <c r="L7" s="34" t="str">
        <f>IF($J7="TZ",INDEX(Xtradata!Q$2:Q$397,$D7),IF($J7="clip",INDEX(Xtradata!L$2:L$397,$D7),""))</f>
        <v/>
      </c>
      <c r="M7" s="34" t="str">
        <f>IF($J7="TZ",INDEX(Xtradata!R$2:R$397,$D7),IF($J7="clip",INDEX(Xtradata!M$2:M$397,$D7),""))</f>
        <v/>
      </c>
      <c r="N7" s="2">
        <v>57</v>
      </c>
      <c r="O7" s="34">
        <f>INDEX(Xtradata!T$2:T$397,$D7)</f>
        <v>0</v>
      </c>
      <c r="P7" s="38">
        <f t="shared" si="2"/>
        <v>0</v>
      </c>
      <c r="Q7" s="48">
        <f t="shared" si="3"/>
        <v>0.41</v>
      </c>
      <c r="R7" s="48">
        <f t="shared" si="4"/>
        <v>0.43</v>
      </c>
      <c r="S7" s="48">
        <f>IF($G7=0,"",IF(J7="N/A",0,L7/$G7))</f>
        <v>0</v>
      </c>
      <c r="T7" s="48">
        <f t="shared" si="5"/>
        <v>0.43</v>
      </c>
      <c r="U7" s="48">
        <f t="shared" si="1"/>
        <v>0.56999999999999995</v>
      </c>
      <c r="V7" s="48">
        <f t="shared" si="6"/>
        <v>1.1102230246251565E-16</v>
      </c>
      <c r="W7" s="48">
        <f t="shared" si="8"/>
        <v>1</v>
      </c>
      <c r="X7" s="14">
        <f>MATCH(C7,'Weights and Seed Amounts'!C$2:C$400,0)</f>
        <v>6</v>
      </c>
      <c r="Y7" s="58">
        <f>INDEX('Weights and Seed Amounts'!D$2:D$400,$X7)</f>
        <v>3.39E-2</v>
      </c>
      <c r="Z7" s="34">
        <f>INDEX(Xtradata!U$2:U$397,$D7)</f>
        <v>0</v>
      </c>
      <c r="AC7" s="57" t="s">
        <v>701</v>
      </c>
      <c r="AD7" s="57">
        <f>SUM(AD3:AD6)</f>
        <v>353</v>
      </c>
      <c r="AE7" s="18"/>
      <c r="AF7" s="62">
        <f>SUM(AF3:AF6)</f>
        <v>1</v>
      </c>
    </row>
    <row r="8" spans="1:32" x14ac:dyDescent="0.25">
      <c r="A8" s="2" t="s">
        <v>17</v>
      </c>
      <c r="B8" s="2" t="s">
        <v>18</v>
      </c>
      <c r="C8" s="2" t="s">
        <v>19</v>
      </c>
      <c r="D8" s="32">
        <f>MATCH(Xtradata!C8,Xtradata!C$2:C403,0)</f>
        <v>7</v>
      </c>
      <c r="E8" s="33">
        <f>INDEX(Xtradata!G$2:G$397,$D8)</f>
        <v>44309</v>
      </c>
      <c r="F8" s="33">
        <f>INDEX(Xtradata!H$2:H$397,$D8)</f>
        <v>44342</v>
      </c>
      <c r="G8" s="2">
        <v>100</v>
      </c>
      <c r="H8" s="2">
        <v>22</v>
      </c>
      <c r="I8" s="2">
        <v>18</v>
      </c>
      <c r="J8" s="33" t="str">
        <f>INDEX(Xtradata!J$2:J$397,$D8)</f>
        <v>TZ</v>
      </c>
      <c r="K8" s="34">
        <f>IF(J8="TZ",INDEX(Xtradata!P$2:P$397,$D8),IF(J8="clip",INDEX(Xtradata!K$2:K$397,$D8),""))</f>
        <v>60</v>
      </c>
      <c r="L8" s="34">
        <f>IF($J8="TZ",INDEX(Xtradata!Q$2:Q$397,$D8),IF($J8="clip",INDEX(Xtradata!L$2:L$397,$D8),""))</f>
        <v>37</v>
      </c>
      <c r="M8" s="34">
        <f>IF($J8="TZ",INDEX(Xtradata!R$2:R$397,$D8),IF($J8="clip",INDEX(Xtradata!M$2:M$397,$D8),""))</f>
        <v>23</v>
      </c>
      <c r="N8" s="2">
        <v>0</v>
      </c>
      <c r="O8" s="34">
        <f>INDEX(Xtradata!T$2:T$397,$D8)</f>
        <v>0</v>
      </c>
      <c r="P8" s="38">
        <f t="shared" si="2"/>
        <v>0</v>
      </c>
      <c r="Q8" s="48">
        <f t="shared" si="3"/>
        <v>0.22</v>
      </c>
      <c r="R8" s="48">
        <f t="shared" si="4"/>
        <v>0.4</v>
      </c>
      <c r="S8" s="48">
        <f t="shared" ref="S8:S71" si="9">IF($G8=0,"",IF(J8="N/A",0,L8/$G8))</f>
        <v>0.37</v>
      </c>
      <c r="T8" s="48">
        <f t="shared" si="5"/>
        <v>0.77</v>
      </c>
      <c r="U8" s="48">
        <f t="shared" si="1"/>
        <v>0</v>
      </c>
      <c r="V8" s="48">
        <f t="shared" si="6"/>
        <v>0.22999999999999998</v>
      </c>
      <c r="W8" s="48">
        <f t="shared" si="8"/>
        <v>1</v>
      </c>
      <c r="X8" s="14">
        <f>MATCH(C8,'Weights and Seed Amounts'!C$2:C$400,0)</f>
        <v>7</v>
      </c>
      <c r="Y8" s="58">
        <f>INDEX('Weights and Seed Amounts'!D$2:D$400,$X8)</f>
        <v>0.4481</v>
      </c>
      <c r="Z8" s="34">
        <f>INDEX(Xtradata!U$2:U$397,$D8)</f>
        <v>0</v>
      </c>
    </row>
    <row r="9" spans="1:32" x14ac:dyDescent="0.25">
      <c r="A9" s="2" t="s">
        <v>17</v>
      </c>
      <c r="B9" s="2" t="s">
        <v>18</v>
      </c>
      <c r="C9" s="2" t="s">
        <v>20</v>
      </c>
      <c r="D9" s="32">
        <f>MATCH(Xtradata!C9,Xtradata!C$2:C404,0)</f>
        <v>8</v>
      </c>
      <c r="E9" s="33">
        <f>INDEX(Xtradata!G$2:G$397,$D9)</f>
        <v>44291</v>
      </c>
      <c r="F9" s="33">
        <f>INDEX(Xtradata!H$2:H$397,$D9)</f>
        <v>44327</v>
      </c>
      <c r="G9" s="41">
        <f>100+4</f>
        <v>104</v>
      </c>
      <c r="H9" s="2">
        <v>81</v>
      </c>
      <c r="I9" s="2">
        <v>4</v>
      </c>
      <c r="J9" s="33" t="str">
        <f>INDEX(Xtradata!J$2:J$397,$D9)</f>
        <v>TZ</v>
      </c>
      <c r="K9" s="34">
        <f>IF(J9="TZ",INDEX(Xtradata!P$2:P$397,$D9),IF(J9="clip",INDEX(Xtradata!K$2:K$397,$D9),""))</f>
        <v>19</v>
      </c>
      <c r="L9" s="34">
        <f>IF($J9="TZ",INDEX(Xtradata!Q$2:Q$397,$D9),IF($J9="clip",INDEX(Xtradata!L$2:L$397,$D9),""))</f>
        <v>15</v>
      </c>
      <c r="M9" s="34">
        <f>IF($J9="TZ",INDEX(Xtradata!R$2:R$397,$D9),IF($J9="clip",INDEX(Xtradata!M$2:M$397,$D9),""))</f>
        <v>4</v>
      </c>
      <c r="N9" s="2">
        <v>0</v>
      </c>
      <c r="O9" s="34">
        <f>INDEX(Xtradata!T$2:T$397,$D9)</f>
        <v>0</v>
      </c>
      <c r="P9" s="38">
        <f t="shared" si="2"/>
        <v>0</v>
      </c>
      <c r="Q9" s="48">
        <f t="shared" si="3"/>
        <v>0.77884615384615385</v>
      </c>
      <c r="R9" s="48">
        <f t="shared" si="4"/>
        <v>0.81730769230769229</v>
      </c>
      <c r="S9" s="48">
        <f t="shared" si="9"/>
        <v>0.14423076923076922</v>
      </c>
      <c r="T9" s="48">
        <f t="shared" si="5"/>
        <v>0.96153846153846156</v>
      </c>
      <c r="U9" s="48">
        <f t="shared" si="1"/>
        <v>0</v>
      </c>
      <c r="V9" s="48">
        <f t="shared" si="6"/>
        <v>3.8461538461538436E-2</v>
      </c>
      <c r="W9" s="48">
        <f t="shared" si="8"/>
        <v>0.99999999999999989</v>
      </c>
      <c r="X9" s="14">
        <f>MATCH(C9,'Weights and Seed Amounts'!C$2:C$400,0)</f>
        <v>8</v>
      </c>
      <c r="Y9" s="58">
        <f>INDEX('Weights and Seed Amounts'!D$2:D$400,$X9)</f>
        <v>0.57420000000000004</v>
      </c>
      <c r="Z9" s="34">
        <f>INDEX(Xtradata!U$2:U$397,$D9)</f>
        <v>0</v>
      </c>
    </row>
    <row r="10" spans="1:32" x14ac:dyDescent="0.25">
      <c r="A10" s="2" t="s">
        <v>17</v>
      </c>
      <c r="B10" s="2" t="s">
        <v>18</v>
      </c>
      <c r="C10" s="2" t="s">
        <v>21</v>
      </c>
      <c r="D10" s="32">
        <f>MATCH(Xtradata!C10,Xtradata!C$2:C405,0)</f>
        <v>9</v>
      </c>
      <c r="E10" s="33">
        <f>INDEX(Xtradata!G$2:G$397,$D10)</f>
        <v>44309</v>
      </c>
      <c r="F10" s="33">
        <f>INDEX(Xtradata!H$2:H$397,$D10)</f>
        <v>44342</v>
      </c>
      <c r="G10" s="2">
        <v>100</v>
      </c>
      <c r="H10" s="2">
        <v>96</v>
      </c>
      <c r="I10" s="2">
        <v>0</v>
      </c>
      <c r="J10" s="33" t="str">
        <f>INDEX(Xtradata!J$2:J$397,$D10)</f>
        <v>TZ</v>
      </c>
      <c r="K10" s="34">
        <f>IF(J10="TZ",INDEX(Xtradata!P$2:P$397,$D10),IF(J10="clip",INDEX(Xtradata!K$2:K$397,$D10),""))</f>
        <v>4</v>
      </c>
      <c r="L10" s="34">
        <f>IF($J10="TZ",INDEX(Xtradata!Q$2:Q$397,$D10),IF($J10="clip",INDEX(Xtradata!L$2:L$397,$D10),""))</f>
        <v>1</v>
      </c>
      <c r="M10" s="34">
        <f>IF($J10="TZ",INDEX(Xtradata!R$2:R$397,$D10),IF($J10="clip",INDEX(Xtradata!M$2:M$397,$D10),""))</f>
        <v>3</v>
      </c>
      <c r="N10" s="2">
        <v>0</v>
      </c>
      <c r="O10" s="34">
        <f>INDEX(Xtradata!T$2:T$397,$D10)</f>
        <v>0</v>
      </c>
      <c r="P10" s="38">
        <f t="shared" si="2"/>
        <v>0</v>
      </c>
      <c r="Q10" s="48">
        <f t="shared" si="3"/>
        <v>0.96</v>
      </c>
      <c r="R10" s="48">
        <f t="shared" si="4"/>
        <v>0.96</v>
      </c>
      <c r="S10" s="48">
        <f t="shared" si="9"/>
        <v>0.01</v>
      </c>
      <c r="T10" s="48">
        <f t="shared" si="5"/>
        <v>0.97</v>
      </c>
      <c r="U10" s="48">
        <f t="shared" si="1"/>
        <v>0</v>
      </c>
      <c r="V10" s="48">
        <f t="shared" si="6"/>
        <v>3.0000000000000027E-2</v>
      </c>
      <c r="W10" s="48">
        <f t="shared" si="8"/>
        <v>1</v>
      </c>
      <c r="X10" s="14">
        <f>MATCH(C10,'Weights and Seed Amounts'!C$2:C$400,0)</f>
        <v>9</v>
      </c>
      <c r="Y10" s="58">
        <f>INDEX('Weights and Seed Amounts'!D$2:D$400,$X10)</f>
        <v>0.88119999999999998</v>
      </c>
      <c r="Z10" s="34">
        <f>INDEX(Xtradata!U$2:U$397,$D10)</f>
        <v>0</v>
      </c>
      <c r="AC10" s="57" t="s">
        <v>705</v>
      </c>
      <c r="AD10" s="57"/>
      <c r="AE10" s="57">
        <f>AD6</f>
        <v>323</v>
      </c>
    </row>
    <row r="11" spans="1:32" x14ac:dyDescent="0.25">
      <c r="A11" s="2" t="s">
        <v>22</v>
      </c>
      <c r="B11" s="2" t="s">
        <v>23</v>
      </c>
      <c r="C11" s="2" t="s">
        <v>24</v>
      </c>
      <c r="D11" s="32">
        <f>MATCH(Xtradata!C11,Xtradata!C$2:C406,0)</f>
        <v>10</v>
      </c>
      <c r="E11" s="33">
        <f>INDEX(Xtradata!G$2:G$397,$D11)</f>
        <v>44306</v>
      </c>
      <c r="F11" s="33">
        <f>INDEX(Xtradata!H$2:H$397,$D11)</f>
        <v>44349</v>
      </c>
      <c r="G11" s="2">
        <v>100</v>
      </c>
      <c r="H11" s="2">
        <v>25</v>
      </c>
      <c r="I11" s="2">
        <v>2</v>
      </c>
      <c r="J11" s="33" t="str">
        <f>INDEX(Xtradata!J$2:J$397,$D11)</f>
        <v>TZ</v>
      </c>
      <c r="K11" s="34">
        <f>IF(J11="TZ",INDEX(Xtradata!P$2:P$397,$D11),IF(J11="clip",INDEX(Xtradata!K$2:K$397,$D11),""))</f>
        <v>55</v>
      </c>
      <c r="L11" s="34">
        <f>IF($J11="TZ",INDEX(Xtradata!Q$2:Q$397,$D11),IF($J11="clip",INDEX(Xtradata!L$2:L$397,$D11),""))</f>
        <v>39</v>
      </c>
      <c r="M11" s="34">
        <f>IF($J11="TZ",INDEX(Xtradata!R$2:R$397,$D11),IF($J11="clip",INDEX(Xtradata!M$2:M$397,$D11),""))</f>
        <v>16</v>
      </c>
      <c r="N11" s="2">
        <v>18</v>
      </c>
      <c r="O11" s="34">
        <f>INDEX(Xtradata!T$2:T$397,$D11)</f>
        <v>0</v>
      </c>
      <c r="P11" s="38">
        <f t="shared" si="2"/>
        <v>0</v>
      </c>
      <c r="Q11" s="48">
        <f t="shared" si="3"/>
        <v>0.25</v>
      </c>
      <c r="R11" s="48">
        <f t="shared" si="4"/>
        <v>0.27</v>
      </c>
      <c r="S11" s="48">
        <f t="shared" si="9"/>
        <v>0.39</v>
      </c>
      <c r="T11" s="48">
        <f t="shared" si="5"/>
        <v>0.66</v>
      </c>
      <c r="U11" s="48">
        <f t="shared" si="1"/>
        <v>0.18</v>
      </c>
      <c r="V11" s="48">
        <f t="shared" si="6"/>
        <v>0.15999999999999998</v>
      </c>
      <c r="W11" s="48">
        <f t="shared" si="8"/>
        <v>1</v>
      </c>
      <c r="X11" s="14">
        <f>MATCH(C11,'Weights and Seed Amounts'!C$2:C$400,0)</f>
        <v>10</v>
      </c>
      <c r="Y11" s="58">
        <f>INDEX('Weights and Seed Amounts'!D$2:D$400,$X11)</f>
        <v>0.1115</v>
      </c>
      <c r="Z11" s="34">
        <f>INDEX(Xtradata!U$2:U$397,$D11)</f>
        <v>0</v>
      </c>
      <c r="AC11" s="18" t="s">
        <v>708</v>
      </c>
      <c r="AD11" s="18"/>
      <c r="AE11" s="60">
        <f>AVERAGEIFS($R$2:$R$400,$G$2:$G$400,"&gt;0")</f>
        <v>0.30758543150783357</v>
      </c>
    </row>
    <row r="12" spans="1:32" x14ac:dyDescent="0.25">
      <c r="A12" s="2" t="s">
        <v>22</v>
      </c>
      <c r="B12" s="2" t="s">
        <v>23</v>
      </c>
      <c r="C12" s="2" t="s">
        <v>25</v>
      </c>
      <c r="D12" s="32">
        <f>MATCH(Xtradata!C12,Xtradata!C$2:C407,0)</f>
        <v>11</v>
      </c>
      <c r="E12" s="33">
        <f>INDEX(Xtradata!G$2:G$397,$D12)</f>
        <v>44306</v>
      </c>
      <c r="F12" s="33">
        <f>INDEX(Xtradata!H$2:H$397,$D12)</f>
        <v>44349</v>
      </c>
      <c r="G12" s="2">
        <v>100</v>
      </c>
      <c r="H12" s="2">
        <v>41</v>
      </c>
      <c r="I12" s="2">
        <v>4</v>
      </c>
      <c r="J12" s="33" t="str">
        <f>INDEX(Xtradata!J$2:J$397,$D12)</f>
        <v>TZ</v>
      </c>
      <c r="K12" s="34">
        <f>IF(J12="TZ",INDEX(Xtradata!P$2:P$397,$D12),IF(J12="clip",INDEX(Xtradata!K$2:K$397,$D12),""))</f>
        <v>30</v>
      </c>
      <c r="L12" s="34">
        <f>IF($J12="TZ",INDEX(Xtradata!Q$2:Q$397,$D12),IF($J12="clip",INDEX(Xtradata!L$2:L$397,$D12),""))</f>
        <v>23</v>
      </c>
      <c r="M12" s="34">
        <f>IF($J12="TZ",INDEX(Xtradata!R$2:R$397,$D12),IF($J12="clip",INDEX(Xtradata!M$2:M$397,$D12),""))</f>
        <v>7</v>
      </c>
      <c r="N12" s="2">
        <v>25</v>
      </c>
      <c r="O12" s="34">
        <f>INDEX(Xtradata!T$2:T$397,$D12)</f>
        <v>0</v>
      </c>
      <c r="P12" s="38">
        <f t="shared" si="2"/>
        <v>0</v>
      </c>
      <c r="Q12" s="48">
        <f t="shared" si="3"/>
        <v>0.41</v>
      </c>
      <c r="R12" s="48">
        <f t="shared" si="4"/>
        <v>0.45</v>
      </c>
      <c r="S12" s="48">
        <f t="shared" si="9"/>
        <v>0.23</v>
      </c>
      <c r="T12" s="48">
        <f t="shared" si="5"/>
        <v>0.68</v>
      </c>
      <c r="U12" s="48">
        <f t="shared" si="1"/>
        <v>0.25</v>
      </c>
      <c r="V12" s="48">
        <f t="shared" si="6"/>
        <v>6.9999999999999951E-2</v>
      </c>
      <c r="W12" s="48">
        <f t="shared" si="8"/>
        <v>1</v>
      </c>
      <c r="X12" s="14">
        <f>MATCH(C12,'Weights and Seed Amounts'!C$2:C$400,0)</f>
        <v>11</v>
      </c>
      <c r="Y12" s="58">
        <f>INDEX('Weights and Seed Amounts'!D$2:D$400,$X12)</f>
        <v>0.14949999999999999</v>
      </c>
      <c r="Z12" s="34">
        <f>INDEX(Xtradata!U$2:U$397,$D12)</f>
        <v>0</v>
      </c>
      <c r="AC12" s="18" t="s">
        <v>707</v>
      </c>
      <c r="AD12" s="18"/>
      <c r="AE12" s="60">
        <f>AVERAGEIFS($S$2:$S$400,$G$2:$G$400,"&gt;0")</f>
        <v>0.20611448047344516</v>
      </c>
    </row>
    <row r="13" spans="1:32" x14ac:dyDescent="0.25">
      <c r="A13" s="2" t="s">
        <v>26</v>
      </c>
      <c r="B13" s="2" t="s">
        <v>27</v>
      </c>
      <c r="C13" s="2" t="s">
        <v>28</v>
      </c>
      <c r="D13" s="32">
        <f>MATCH(Xtradata!C13,Xtradata!C$2:C408,0)</f>
        <v>12</v>
      </c>
      <c r="E13" s="33">
        <f>INDEX(Xtradata!G$2:G$397,$D13)</f>
        <v>44301</v>
      </c>
      <c r="F13" s="33">
        <f>INDEX(Xtradata!H$2:H$397,$D13)</f>
        <v>44349</v>
      </c>
      <c r="G13" s="2">
        <v>120</v>
      </c>
      <c r="H13" s="2">
        <v>17</v>
      </c>
      <c r="I13" s="2">
        <v>6</v>
      </c>
      <c r="J13" s="33" t="str">
        <f>INDEX(Xtradata!J$2:J$397,$D13)</f>
        <v>TZ</v>
      </c>
      <c r="K13" s="34">
        <f>IF(J13="TZ",INDEX(Xtradata!P$2:P$397,$D13),IF(J13="clip",INDEX(Xtradata!K$2:K$397,$D13),""))</f>
        <v>37</v>
      </c>
      <c r="L13" s="34">
        <f>IF($J13="TZ",INDEX(Xtradata!Q$2:Q$397,$D13),IF($J13="clip",INDEX(Xtradata!L$2:L$397,$D13),""))</f>
        <v>8</v>
      </c>
      <c r="M13" s="34">
        <f>IF($J13="TZ",INDEX(Xtradata!R$2:R$397,$D13),IF($J13="clip",INDEX(Xtradata!M$2:M$397,$D13),""))</f>
        <v>29</v>
      </c>
      <c r="N13" s="2">
        <v>59</v>
      </c>
      <c r="O13" s="34">
        <f>INDEX(Xtradata!T$2:T$397,$D13)</f>
        <v>1</v>
      </c>
      <c r="P13" s="38">
        <f t="shared" si="2"/>
        <v>0</v>
      </c>
      <c r="Q13" s="48">
        <f t="shared" si="3"/>
        <v>0.14166666666666666</v>
      </c>
      <c r="R13" s="48">
        <f t="shared" si="4"/>
        <v>0.19166666666666668</v>
      </c>
      <c r="S13" s="48">
        <f t="shared" si="9"/>
        <v>6.6666666666666666E-2</v>
      </c>
      <c r="T13" s="48">
        <f t="shared" si="5"/>
        <v>0.25833333333333336</v>
      </c>
      <c r="U13" s="48">
        <f t="shared" si="1"/>
        <v>0.49166666666666664</v>
      </c>
      <c r="V13" s="48">
        <f t="shared" si="6"/>
        <v>0.25000000000000006</v>
      </c>
      <c r="W13" s="48">
        <f t="shared" si="8"/>
        <v>1</v>
      </c>
      <c r="X13" s="14">
        <f>MATCH(C13,'Weights and Seed Amounts'!C$2:C$400,0)</f>
        <v>12</v>
      </c>
      <c r="Y13" s="58">
        <f>INDEX('Weights and Seed Amounts'!D$2:D$400,$X13)</f>
        <v>1.4200000000000001E-2</v>
      </c>
      <c r="Z13" s="34">
        <f>INDEX(Xtradata!U$2:U$397,$D13)</f>
        <v>0</v>
      </c>
      <c r="AC13" s="18" t="s">
        <v>706</v>
      </c>
      <c r="AD13" s="18"/>
      <c r="AE13" s="60">
        <f>AVERAGEIFS($U$2:$U$400,$G$2:$G$400,"&gt;0")</f>
        <v>0.31032412098381917</v>
      </c>
    </row>
    <row r="14" spans="1:32" x14ac:dyDescent="0.25">
      <c r="A14" s="2" t="s">
        <v>29</v>
      </c>
      <c r="B14" s="2" t="s">
        <v>30</v>
      </c>
      <c r="C14" s="2" t="s">
        <v>31</v>
      </c>
      <c r="D14" s="32">
        <f>MATCH(Xtradata!C14,Xtradata!C$2:C409,0)</f>
        <v>13</v>
      </c>
      <c r="E14" s="33">
        <f>INDEX(Xtradata!G$2:G$397,$D14)</f>
        <v>44301</v>
      </c>
      <c r="F14" s="33">
        <f>INDEX(Xtradata!H$2:H$397,$D14)</f>
        <v>44349</v>
      </c>
      <c r="G14" s="2">
        <v>100</v>
      </c>
      <c r="H14" s="2">
        <v>27</v>
      </c>
      <c r="I14" s="2">
        <v>0</v>
      </c>
      <c r="J14" s="33" t="str">
        <f>INDEX(Xtradata!J$2:J$397,$D14)</f>
        <v>N/A</v>
      </c>
      <c r="K14" s="34" t="str">
        <f>IF(J14="TZ",INDEX(Xtradata!P$2:P$397,$D14),IF(J14="clip",INDEX(Xtradata!K$2:K$397,$D14),""))</f>
        <v/>
      </c>
      <c r="L14" s="34" t="str">
        <f>IF($J14="TZ",INDEX(Xtradata!Q$2:Q$397,$D14),IF($J14="clip",INDEX(Xtradata!L$2:L$397,$D14),""))</f>
        <v/>
      </c>
      <c r="M14" s="34" t="str">
        <f>IF($J14="TZ",INDEX(Xtradata!R$2:R$397,$D14),IF($J14="clip",INDEX(Xtradata!M$2:M$397,$D14),""))</f>
        <v/>
      </c>
      <c r="N14" s="2">
        <v>73</v>
      </c>
      <c r="O14" s="34">
        <f>INDEX(Xtradata!T$2:T$397,$D14)</f>
        <v>0</v>
      </c>
      <c r="P14" s="38">
        <f t="shared" si="2"/>
        <v>0</v>
      </c>
      <c r="Q14" s="48">
        <f t="shared" si="3"/>
        <v>0.27</v>
      </c>
      <c r="R14" s="48">
        <f t="shared" si="4"/>
        <v>0.27</v>
      </c>
      <c r="S14" s="48">
        <f t="shared" si="9"/>
        <v>0</v>
      </c>
      <c r="T14" s="48">
        <f t="shared" si="5"/>
        <v>0.27</v>
      </c>
      <c r="U14" s="48">
        <f t="shared" si="1"/>
        <v>0.73</v>
      </c>
      <c r="V14" s="48">
        <f t="shared" si="6"/>
        <v>0</v>
      </c>
      <c r="W14" s="48">
        <f t="shared" si="8"/>
        <v>1</v>
      </c>
      <c r="X14" s="14">
        <f>MATCH(C14,'Weights and Seed Amounts'!C$2:C$400,0)</f>
        <v>13</v>
      </c>
      <c r="Y14" s="58">
        <f>INDEX('Weights and Seed Amounts'!D$2:D$400,$X14)</f>
        <v>9.1999999999999998E-3</v>
      </c>
      <c r="Z14" s="34">
        <f>INDEX(Xtradata!U$2:U$397,$D14)</f>
        <v>0</v>
      </c>
      <c r="AC14" s="18" t="s">
        <v>710</v>
      </c>
      <c r="AD14" s="18"/>
      <c r="AE14" s="60">
        <f>AVERAGEIFS($V$2:$V$400,$G$2:$G$400,"&gt;0")</f>
        <v>0.18636772697774556</v>
      </c>
    </row>
    <row r="15" spans="1:32" x14ac:dyDescent="0.25">
      <c r="A15" s="2" t="s">
        <v>32</v>
      </c>
      <c r="B15" s="2" t="s">
        <v>33</v>
      </c>
      <c r="C15" s="2" t="s">
        <v>34</v>
      </c>
      <c r="D15" s="32">
        <f>MATCH(Xtradata!C15,Xtradata!C$2:C410,0)</f>
        <v>14</v>
      </c>
      <c r="E15" s="33">
        <f>INDEX(Xtradata!G$2:G$397,$D15)</f>
        <v>44308</v>
      </c>
      <c r="F15" s="33">
        <f>INDEX(Xtradata!H$2:H$397,$D15)</f>
        <v>44412</v>
      </c>
      <c r="G15" s="41">
        <f>100+10</f>
        <v>110</v>
      </c>
      <c r="H15" s="2">
        <v>33</v>
      </c>
      <c r="I15" s="2">
        <v>0</v>
      </c>
      <c r="J15" s="33" t="str">
        <f>INDEX(Xtradata!J$2:J$397,$D15)</f>
        <v>TZ</v>
      </c>
      <c r="K15" s="34">
        <f>IF(J15="TZ",INDEX(Xtradata!P$2:P$397,$D15),IF(J15="clip",INDEX(Xtradata!K$2:K$397,$D15),""))</f>
        <v>66</v>
      </c>
      <c r="L15" s="34">
        <f>IF($J15="TZ",INDEX(Xtradata!Q$2:Q$397,$D15),IF($J15="clip",INDEX(Xtradata!L$2:L$397,$D15),""))</f>
        <v>52</v>
      </c>
      <c r="M15" s="34">
        <f>IF($J15="TZ",INDEX(Xtradata!R$2:R$397,$D15),IF($J15="clip",INDEX(Xtradata!M$2:M$397,$D15),""))</f>
        <v>14</v>
      </c>
      <c r="N15" s="2">
        <v>3</v>
      </c>
      <c r="O15" s="34">
        <f>INDEX(Xtradata!T$2:T$397,$D15)</f>
        <v>8</v>
      </c>
      <c r="P15" s="38">
        <f t="shared" si="2"/>
        <v>0</v>
      </c>
      <c r="Q15" s="48">
        <f t="shared" si="3"/>
        <v>0.3</v>
      </c>
      <c r="R15" s="48">
        <f t="shared" si="4"/>
        <v>0.3</v>
      </c>
      <c r="S15" s="48">
        <f t="shared" si="9"/>
        <v>0.47272727272727272</v>
      </c>
      <c r="T15" s="48">
        <f t="shared" si="5"/>
        <v>0.77272727272727271</v>
      </c>
      <c r="U15" s="48">
        <f t="shared" si="1"/>
        <v>2.7272727272727271E-2</v>
      </c>
      <c r="V15" s="48">
        <f t="shared" si="6"/>
        <v>0.2</v>
      </c>
      <c r="W15" s="48">
        <f t="shared" si="8"/>
        <v>1</v>
      </c>
      <c r="X15" s="14">
        <f>MATCH(C15,'Weights and Seed Amounts'!C$2:C$400,0)</f>
        <v>14</v>
      </c>
      <c r="Y15" s="58">
        <f>INDEX('Weights and Seed Amounts'!D$2:D$400,$X15)</f>
        <v>0.31640000000000001</v>
      </c>
      <c r="Z15" s="34">
        <f>INDEX(Xtradata!U$2:U$397,$D15)</f>
        <v>0</v>
      </c>
      <c r="AE15" s="50"/>
    </row>
    <row r="16" spans="1:32" x14ac:dyDescent="0.25">
      <c r="A16" s="2" t="s">
        <v>32</v>
      </c>
      <c r="B16" s="2" t="s">
        <v>33</v>
      </c>
      <c r="C16" s="2" t="s">
        <v>35</v>
      </c>
      <c r="D16" s="32">
        <f>MATCH(Xtradata!C16,Xtradata!C$2:C411,0)</f>
        <v>15</v>
      </c>
      <c r="E16" s="33">
        <f>INDEX(Xtradata!G$2:G$397,$D16)</f>
        <v>44308</v>
      </c>
      <c r="F16" s="33">
        <f>INDEX(Xtradata!H$2:H$397,$D16)</f>
        <v>44412</v>
      </c>
      <c r="G16" s="2">
        <v>100</v>
      </c>
      <c r="H16" s="2">
        <v>3</v>
      </c>
      <c r="I16" s="2">
        <v>0</v>
      </c>
      <c r="J16" s="33" t="str">
        <f>INDEX(Xtradata!J$2:J$397,$D16)</f>
        <v>TZ</v>
      </c>
      <c r="K16" s="34">
        <f>IF(J16="TZ",INDEX(Xtradata!P$2:P$397,$D16),IF(J16="clip",INDEX(Xtradata!K$2:K$397,$D16),""))</f>
        <v>97</v>
      </c>
      <c r="L16" s="34">
        <f>IF($J16="TZ",INDEX(Xtradata!Q$2:Q$397,$D16),IF($J16="clip",INDEX(Xtradata!L$2:L$397,$D16),""))</f>
        <v>57</v>
      </c>
      <c r="M16" s="34">
        <f>IF($J16="TZ",INDEX(Xtradata!R$2:R$397,$D16),IF($J16="clip",INDEX(Xtradata!M$2:M$397,$D16),""))</f>
        <v>40</v>
      </c>
      <c r="N16" s="2">
        <v>0</v>
      </c>
      <c r="O16" s="34">
        <f>INDEX(Xtradata!T$2:T$397,$D16)</f>
        <v>0</v>
      </c>
      <c r="P16" s="38">
        <f t="shared" si="2"/>
        <v>0</v>
      </c>
      <c r="Q16" s="48">
        <f t="shared" si="3"/>
        <v>0.03</v>
      </c>
      <c r="R16" s="48">
        <f t="shared" si="4"/>
        <v>0.03</v>
      </c>
      <c r="S16" s="48">
        <f t="shared" si="9"/>
        <v>0.56999999999999995</v>
      </c>
      <c r="T16" s="48">
        <f t="shared" si="5"/>
        <v>0.6</v>
      </c>
      <c r="U16" s="48">
        <f t="shared" si="1"/>
        <v>0</v>
      </c>
      <c r="V16" s="48">
        <f t="shared" si="6"/>
        <v>0.4</v>
      </c>
      <c r="W16" s="48">
        <f t="shared" si="8"/>
        <v>1</v>
      </c>
      <c r="X16" s="14">
        <f>MATCH(C16,'Weights and Seed Amounts'!C$2:C$400,0)</f>
        <v>15</v>
      </c>
      <c r="Y16" s="58">
        <f>INDEX('Weights and Seed Amounts'!D$2:D$400,$X16)</f>
        <v>0.36820000000000003</v>
      </c>
      <c r="Z16" s="34">
        <f>INDEX(Xtradata!U$2:U$397,$D16)</f>
        <v>0</v>
      </c>
    </row>
    <row r="17" spans="1:26" x14ac:dyDescent="0.25">
      <c r="A17" s="2" t="s">
        <v>32</v>
      </c>
      <c r="B17" s="2" t="s">
        <v>33</v>
      </c>
      <c r="C17" s="2" t="s">
        <v>36</v>
      </c>
      <c r="D17" s="32">
        <f>MATCH(Xtradata!C17,Xtradata!C$2:C412,0)</f>
        <v>16</v>
      </c>
      <c r="E17" s="33">
        <f>INDEX(Xtradata!G$2:G$397,$D17)</f>
        <v>44308</v>
      </c>
      <c r="F17" s="33">
        <f>INDEX(Xtradata!H$2:H$397,$D17)</f>
        <v>44412</v>
      </c>
      <c r="G17" s="2">
        <v>100</v>
      </c>
      <c r="H17" s="2">
        <v>1</v>
      </c>
      <c r="I17" s="2">
        <v>0</v>
      </c>
      <c r="J17" s="33" t="str">
        <f>INDEX(Xtradata!J$2:J$397,$D17)</f>
        <v>TZ</v>
      </c>
      <c r="K17" s="34">
        <f>IF(J17="TZ",INDEX(Xtradata!P$2:P$397,$D17),IF(J17="clip",INDEX(Xtradata!K$2:K$397,$D17),""))</f>
        <v>96</v>
      </c>
      <c r="L17" s="34">
        <f>IF($J17="TZ",INDEX(Xtradata!Q$2:Q$397,$D17),IF($J17="clip",INDEX(Xtradata!L$2:L$397,$D17),""))</f>
        <v>45</v>
      </c>
      <c r="M17" s="34">
        <f>IF($J17="TZ",INDEX(Xtradata!R$2:R$397,$D17),IF($J17="clip",INDEX(Xtradata!M$2:M$397,$D17),""))</f>
        <v>51</v>
      </c>
      <c r="N17" s="2">
        <v>3</v>
      </c>
      <c r="O17" s="34">
        <f>INDEX(Xtradata!T$2:T$397,$D17)</f>
        <v>0</v>
      </c>
      <c r="P17" s="38">
        <f t="shared" si="2"/>
        <v>0</v>
      </c>
      <c r="Q17" s="48">
        <f t="shared" si="3"/>
        <v>0.01</v>
      </c>
      <c r="R17" s="48">
        <f t="shared" si="4"/>
        <v>0.01</v>
      </c>
      <c r="S17" s="48">
        <f t="shared" si="9"/>
        <v>0.45</v>
      </c>
      <c r="T17" s="48">
        <f t="shared" si="5"/>
        <v>0.46</v>
      </c>
      <c r="U17" s="48">
        <f t="shared" si="1"/>
        <v>0.03</v>
      </c>
      <c r="V17" s="48">
        <f t="shared" si="6"/>
        <v>0.51</v>
      </c>
      <c r="W17" s="48">
        <f t="shared" si="8"/>
        <v>1</v>
      </c>
      <c r="X17" s="14">
        <f>MATCH(C17,'Weights and Seed Amounts'!C$2:C$400,0)</f>
        <v>16</v>
      </c>
      <c r="Y17" s="58">
        <f>INDEX('Weights and Seed Amounts'!D$2:D$400,$X17)</f>
        <v>0.41189999999999999</v>
      </c>
      <c r="Z17" s="34">
        <f>INDEX(Xtradata!U$2:U$397,$D17)</f>
        <v>0</v>
      </c>
    </row>
    <row r="18" spans="1:26" x14ac:dyDescent="0.25">
      <c r="A18" s="2" t="s">
        <v>32</v>
      </c>
      <c r="B18" s="2" t="s">
        <v>33</v>
      </c>
      <c r="C18" s="2" t="s">
        <v>37</v>
      </c>
      <c r="D18" s="32">
        <f>MATCH(Xtradata!C18,Xtradata!C$2:C413,0)</f>
        <v>17</v>
      </c>
      <c r="E18" s="33">
        <f>INDEX(Xtradata!G$2:G$397,$D18)</f>
        <v>44308</v>
      </c>
      <c r="F18" s="33">
        <f>INDEX(Xtradata!H$2:H$397,$D18)</f>
        <v>44412</v>
      </c>
      <c r="G18" s="2">
        <v>100</v>
      </c>
      <c r="H18" s="2">
        <v>43</v>
      </c>
      <c r="I18" s="2">
        <v>0</v>
      </c>
      <c r="J18" s="33" t="str">
        <f>INDEX(Xtradata!J$2:J$397,$D18)</f>
        <v>TZ</v>
      </c>
      <c r="K18" s="34">
        <f>IF(J18="TZ",INDEX(Xtradata!P$2:P$397,$D18),IF(J18="clip",INDEX(Xtradata!K$2:K$397,$D18),""))</f>
        <v>57</v>
      </c>
      <c r="L18" s="34">
        <f>IF($J18="TZ",INDEX(Xtradata!Q$2:Q$397,$D18),IF($J18="clip",INDEX(Xtradata!L$2:L$397,$D18),""))</f>
        <v>31</v>
      </c>
      <c r="M18" s="34">
        <f>IF($J18="TZ",INDEX(Xtradata!R$2:R$397,$D18),IF($J18="clip",INDEX(Xtradata!M$2:M$397,$D18),""))</f>
        <v>26</v>
      </c>
      <c r="N18" s="2">
        <v>0</v>
      </c>
      <c r="O18" s="34">
        <f>INDEX(Xtradata!T$2:T$397,$D18)</f>
        <v>0</v>
      </c>
      <c r="P18" s="38">
        <f t="shared" si="2"/>
        <v>0</v>
      </c>
      <c r="Q18" s="48">
        <f t="shared" si="3"/>
        <v>0.43</v>
      </c>
      <c r="R18" s="48">
        <f t="shared" si="4"/>
        <v>0.43</v>
      </c>
      <c r="S18" s="48">
        <f t="shared" si="9"/>
        <v>0.31</v>
      </c>
      <c r="T18" s="48">
        <f t="shared" si="5"/>
        <v>0.74</v>
      </c>
      <c r="U18" s="48">
        <f t="shared" si="1"/>
        <v>0</v>
      </c>
      <c r="V18" s="48">
        <f t="shared" si="6"/>
        <v>0.26</v>
      </c>
      <c r="W18" s="48">
        <f t="shared" si="8"/>
        <v>1</v>
      </c>
      <c r="X18" s="14">
        <f>MATCH(C18,'Weights and Seed Amounts'!C$2:C$400,0)</f>
        <v>17</v>
      </c>
      <c r="Y18" s="58">
        <f>INDEX('Weights and Seed Amounts'!D$2:D$400,$X18)</f>
        <v>0.35539999999999999</v>
      </c>
      <c r="Z18" s="34">
        <f>INDEX(Xtradata!U$2:U$397,$D18)</f>
        <v>0</v>
      </c>
    </row>
    <row r="19" spans="1:26" x14ac:dyDescent="0.25">
      <c r="A19" s="2" t="s">
        <v>32</v>
      </c>
      <c r="B19" s="2" t="s">
        <v>33</v>
      </c>
      <c r="C19" s="2" t="s">
        <v>38</v>
      </c>
      <c r="D19" s="32">
        <f>MATCH(Xtradata!C19,Xtradata!C$2:C414,0)</f>
        <v>18</v>
      </c>
      <c r="E19" s="33">
        <f>INDEX(Xtradata!G$2:G$397,$D19)</f>
        <v>44308</v>
      </c>
      <c r="F19" s="33">
        <f>INDEX(Xtradata!H$2:H$397,$D19)</f>
        <v>44412</v>
      </c>
      <c r="G19" s="2">
        <v>100</v>
      </c>
      <c r="H19" s="2">
        <v>34</v>
      </c>
      <c r="I19" s="2">
        <v>0</v>
      </c>
      <c r="J19" s="33" t="str">
        <f>INDEX(Xtradata!J$2:J$397,$D19)</f>
        <v>TZ</v>
      </c>
      <c r="K19" s="34">
        <f>IF(J19="TZ",INDEX(Xtradata!P$2:P$397,$D19),IF(J19="clip",INDEX(Xtradata!K$2:K$397,$D19),""))</f>
        <v>50</v>
      </c>
      <c r="L19" s="34">
        <f>IF($J19="TZ",INDEX(Xtradata!Q$2:Q$397,$D19),IF($J19="clip",INDEX(Xtradata!L$2:L$397,$D19),""))</f>
        <v>27</v>
      </c>
      <c r="M19" s="34">
        <f>IF($J19="TZ",INDEX(Xtradata!R$2:R$397,$D19),IF($J19="clip",INDEX(Xtradata!M$2:M$397,$D19),""))</f>
        <v>23</v>
      </c>
      <c r="N19" s="2">
        <v>16</v>
      </c>
      <c r="O19" s="34">
        <f>INDEX(Xtradata!T$2:T$397,$D19)</f>
        <v>0</v>
      </c>
      <c r="P19" s="38">
        <f t="shared" si="2"/>
        <v>0</v>
      </c>
      <c r="Q19" s="48">
        <f t="shared" si="3"/>
        <v>0.34</v>
      </c>
      <c r="R19" s="48">
        <f t="shared" si="4"/>
        <v>0.34</v>
      </c>
      <c r="S19" s="48">
        <f t="shared" si="9"/>
        <v>0.27</v>
      </c>
      <c r="T19" s="48">
        <f t="shared" si="5"/>
        <v>0.61</v>
      </c>
      <c r="U19" s="48">
        <f t="shared" si="1"/>
        <v>0.16</v>
      </c>
      <c r="V19" s="48">
        <f t="shared" si="6"/>
        <v>0.23</v>
      </c>
      <c r="W19" s="48">
        <f t="shared" si="8"/>
        <v>1.0000000000000002</v>
      </c>
      <c r="X19" s="14">
        <f>MATCH(C19,'Weights and Seed Amounts'!C$2:C$400,0)</f>
        <v>18</v>
      </c>
      <c r="Y19" s="58">
        <f>INDEX('Weights and Seed Amounts'!D$2:D$400,$X19)</f>
        <v>0.29339999999999999</v>
      </c>
      <c r="Z19" s="34">
        <f>INDEX(Xtradata!U$2:U$397,$D19)</f>
        <v>0</v>
      </c>
    </row>
    <row r="20" spans="1:26" x14ac:dyDescent="0.25">
      <c r="A20" s="2" t="s">
        <v>32</v>
      </c>
      <c r="B20" s="2" t="s">
        <v>39</v>
      </c>
      <c r="C20" s="2" t="s">
        <v>40</v>
      </c>
      <c r="D20" s="32">
        <f>MATCH(Xtradata!C20,Xtradata!C$2:C415,0)</f>
        <v>19</v>
      </c>
      <c r="E20" s="33">
        <f>INDEX(Xtradata!G$2:G$397,$D20)</f>
        <v>44308</v>
      </c>
      <c r="F20" s="33">
        <f>INDEX(Xtradata!H$2:H$397,$D20)</f>
        <v>44412</v>
      </c>
      <c r="G20" s="2">
        <v>100</v>
      </c>
      <c r="H20" s="2">
        <v>5</v>
      </c>
      <c r="I20" s="2">
        <v>0</v>
      </c>
      <c r="J20" s="33" t="str">
        <f>INDEX(Xtradata!J$2:J$397,$D20)</f>
        <v>TZ</v>
      </c>
      <c r="K20" s="34">
        <f>IF(J20="TZ",INDEX(Xtradata!P$2:P$397,$D20),IF(J20="clip",INDEX(Xtradata!K$2:K$397,$D20),""))</f>
        <v>93</v>
      </c>
      <c r="L20" s="34">
        <f>IF($J20="TZ",INDEX(Xtradata!Q$2:Q$397,$D20),IF($J20="clip",INDEX(Xtradata!L$2:L$397,$D20),""))</f>
        <v>28</v>
      </c>
      <c r="M20" s="34">
        <f>IF($J20="TZ",INDEX(Xtradata!R$2:R$397,$D20),IF($J20="clip",INDEX(Xtradata!M$2:M$397,$D20),""))</f>
        <v>65</v>
      </c>
      <c r="N20" s="2">
        <v>2</v>
      </c>
      <c r="O20" s="34">
        <f>INDEX(Xtradata!T$2:T$397,$D20)</f>
        <v>0</v>
      </c>
      <c r="P20" s="38">
        <f t="shared" si="2"/>
        <v>0</v>
      </c>
      <c r="Q20" s="48">
        <f t="shared" si="3"/>
        <v>0.05</v>
      </c>
      <c r="R20" s="48">
        <f t="shared" si="4"/>
        <v>0.05</v>
      </c>
      <c r="S20" s="48">
        <f t="shared" si="9"/>
        <v>0.28000000000000003</v>
      </c>
      <c r="T20" s="48">
        <f t="shared" si="5"/>
        <v>0.33</v>
      </c>
      <c r="U20" s="48">
        <f t="shared" si="1"/>
        <v>0.02</v>
      </c>
      <c r="V20" s="48">
        <f t="shared" si="6"/>
        <v>0.64999999999999991</v>
      </c>
      <c r="W20" s="48">
        <f t="shared" si="8"/>
        <v>1</v>
      </c>
      <c r="X20" s="14">
        <f>MATCH(C20,'Weights and Seed Amounts'!C$2:C$400,0)</f>
        <v>19</v>
      </c>
      <c r="Y20" s="58">
        <f>INDEX('Weights and Seed Amounts'!D$2:D$400,$X20)</f>
        <v>0.21790000000000001</v>
      </c>
      <c r="Z20" s="34">
        <f>INDEX(Xtradata!U$2:U$397,$D20)</f>
        <v>0</v>
      </c>
    </row>
    <row r="21" spans="1:26" x14ac:dyDescent="0.25">
      <c r="A21" s="2" t="s">
        <v>32</v>
      </c>
      <c r="B21" s="2" t="s">
        <v>39</v>
      </c>
      <c r="C21" s="2" t="s">
        <v>41</v>
      </c>
      <c r="D21" s="32">
        <f>MATCH(Xtradata!C21,Xtradata!C$2:C416,0)</f>
        <v>20</v>
      </c>
      <c r="E21" s="33">
        <f>INDEX(Xtradata!G$2:G$397,$D21)</f>
        <v>44308</v>
      </c>
      <c r="F21" s="33">
        <f>INDEX(Xtradata!H$2:H$397,$D21)</f>
        <v>44412</v>
      </c>
      <c r="G21" s="2">
        <v>100</v>
      </c>
      <c r="H21" s="2">
        <v>56</v>
      </c>
      <c r="I21" s="2">
        <v>0</v>
      </c>
      <c r="J21" s="33" t="str">
        <f>INDEX(Xtradata!J$2:J$397,$D21)</f>
        <v>TZ</v>
      </c>
      <c r="K21" s="34">
        <f>IF(J21="TZ",INDEX(Xtradata!P$2:P$397,$D21),IF(J21="clip",INDEX(Xtradata!K$2:K$397,$D21),""))</f>
        <v>38</v>
      </c>
      <c r="L21" s="34">
        <f>IF($J21="TZ",INDEX(Xtradata!Q$2:Q$397,$D21),IF($J21="clip",INDEX(Xtradata!L$2:L$397,$D21),""))</f>
        <v>27</v>
      </c>
      <c r="M21" s="34">
        <f>IF($J21="TZ",INDEX(Xtradata!R$2:R$397,$D21),IF($J21="clip",INDEX(Xtradata!M$2:M$397,$D21),""))</f>
        <v>11</v>
      </c>
      <c r="N21" s="2">
        <v>6</v>
      </c>
      <c r="O21" s="34">
        <f>INDEX(Xtradata!T$2:T$397,$D21)</f>
        <v>0</v>
      </c>
      <c r="P21" s="38">
        <f t="shared" si="2"/>
        <v>0</v>
      </c>
      <c r="Q21" s="48">
        <f t="shared" si="3"/>
        <v>0.56000000000000005</v>
      </c>
      <c r="R21" s="48">
        <f t="shared" si="4"/>
        <v>0.56000000000000005</v>
      </c>
      <c r="S21" s="48">
        <f t="shared" si="9"/>
        <v>0.27</v>
      </c>
      <c r="T21" s="48">
        <f t="shared" si="5"/>
        <v>0.83</v>
      </c>
      <c r="U21" s="48">
        <f t="shared" si="1"/>
        <v>0.06</v>
      </c>
      <c r="V21" s="48">
        <f t="shared" si="6"/>
        <v>0.11000000000000004</v>
      </c>
      <c r="W21" s="48">
        <f t="shared" si="8"/>
        <v>1.0000000000000002</v>
      </c>
      <c r="X21" s="14">
        <f>MATCH(C21,'Weights and Seed Amounts'!C$2:C$400,0)</f>
        <v>20</v>
      </c>
      <c r="Y21" s="58">
        <f>INDEX('Weights and Seed Amounts'!D$2:D$400,$X21)</f>
        <v>0.3115</v>
      </c>
      <c r="Z21" s="34">
        <f>INDEX(Xtradata!U$2:U$397,$D21)</f>
        <v>0</v>
      </c>
    </row>
    <row r="22" spans="1:26" x14ac:dyDescent="0.25">
      <c r="A22" s="2" t="s">
        <v>32</v>
      </c>
      <c r="B22" s="2" t="s">
        <v>39</v>
      </c>
      <c r="C22" s="2" t="s">
        <v>42</v>
      </c>
      <c r="D22" s="32">
        <f>MATCH(Xtradata!C22,Xtradata!C$2:C417,0)</f>
        <v>21</v>
      </c>
      <c r="E22" s="33">
        <f>INDEX(Xtradata!G$2:G$397,$D22)</f>
        <v>44308</v>
      </c>
      <c r="F22" s="33">
        <f>INDEX(Xtradata!H$2:H$397,$D22)</f>
        <v>44412</v>
      </c>
      <c r="G22" s="41">
        <f>96+4</f>
        <v>100</v>
      </c>
      <c r="H22" s="2">
        <v>40</v>
      </c>
      <c r="I22" s="2">
        <v>0</v>
      </c>
      <c r="J22" s="33" t="str">
        <f>INDEX(Xtradata!J$2:J$397,$D22)</f>
        <v>TZ</v>
      </c>
      <c r="K22" s="34">
        <f>IF(J22="TZ",INDEX(Xtradata!P$2:P$397,$D22),IF(J22="clip",INDEX(Xtradata!K$2:K$397,$D22),""))</f>
        <v>51</v>
      </c>
      <c r="L22" s="34">
        <f>IF($J22="TZ",INDEX(Xtradata!Q$2:Q$397,$D22),IF($J22="clip",INDEX(Xtradata!L$2:L$397,$D22),""))</f>
        <v>31</v>
      </c>
      <c r="M22" s="34">
        <f>IF($J22="TZ",INDEX(Xtradata!R$2:R$397,$D22),IF($J22="clip",INDEX(Xtradata!M$2:M$397,$D22),""))</f>
        <v>20</v>
      </c>
      <c r="N22" s="2">
        <v>9</v>
      </c>
      <c r="O22" s="34">
        <f>INDEX(Xtradata!T$2:T$397,$D22)</f>
        <v>0</v>
      </c>
      <c r="P22" s="38">
        <f t="shared" si="2"/>
        <v>0</v>
      </c>
      <c r="Q22" s="48">
        <f t="shared" si="3"/>
        <v>0.4</v>
      </c>
      <c r="R22" s="48">
        <f t="shared" si="4"/>
        <v>0.4</v>
      </c>
      <c r="S22" s="48">
        <f t="shared" si="9"/>
        <v>0.31</v>
      </c>
      <c r="T22" s="48">
        <f t="shared" si="5"/>
        <v>0.71</v>
      </c>
      <c r="U22" s="48">
        <f t="shared" si="1"/>
        <v>0.09</v>
      </c>
      <c r="V22" s="48">
        <f t="shared" si="6"/>
        <v>0.20000000000000004</v>
      </c>
      <c r="W22" s="48">
        <f t="shared" si="8"/>
        <v>1</v>
      </c>
      <c r="X22" s="14">
        <f>MATCH(C22,'Weights and Seed Amounts'!C$2:C$400,0)</f>
        <v>21</v>
      </c>
      <c r="Y22" s="58">
        <f>INDEX('Weights and Seed Amounts'!D$2:D$400,$X22)</f>
        <v>0.27100000000000002</v>
      </c>
      <c r="Z22" s="34">
        <f>INDEX(Xtradata!U$2:U$397,$D22)</f>
        <v>0</v>
      </c>
    </row>
    <row r="23" spans="1:26" x14ac:dyDescent="0.25">
      <c r="A23" s="2" t="s">
        <v>43</v>
      </c>
      <c r="B23" s="2" t="s">
        <v>44</v>
      </c>
      <c r="C23" s="2" t="s">
        <v>45</v>
      </c>
      <c r="D23" s="32">
        <f>MATCH(Xtradata!C23,Xtradata!C$2:C418,0)</f>
        <v>22</v>
      </c>
      <c r="E23" s="33">
        <f>INDEX(Xtradata!G$2:G$397,$D23)</f>
        <v>44307</v>
      </c>
      <c r="F23" s="33">
        <f>INDEX(Xtradata!H$2:H$397,$D23)</f>
        <v>44389</v>
      </c>
      <c r="G23" s="2">
        <v>100</v>
      </c>
      <c r="H23" s="2">
        <v>42</v>
      </c>
      <c r="I23" s="2">
        <v>0</v>
      </c>
      <c r="J23" s="33" t="str">
        <f>INDEX(Xtradata!J$2:J$397,$D23)</f>
        <v>N/A</v>
      </c>
      <c r="K23" s="34" t="str">
        <f>IF(J23="TZ",INDEX(Xtradata!P$2:P$397,$D23),IF(J23="clip",INDEX(Xtradata!K$2:K$397,$D23),""))</f>
        <v/>
      </c>
      <c r="L23" s="34" t="str">
        <f>IF($J23="TZ",INDEX(Xtradata!Q$2:Q$397,$D23),IF($J23="clip",INDEX(Xtradata!L$2:L$397,$D23),""))</f>
        <v/>
      </c>
      <c r="M23" s="34" t="str">
        <f>IF($J23="TZ",INDEX(Xtradata!R$2:R$397,$D23),IF($J23="clip",INDEX(Xtradata!M$2:M$397,$D23),""))</f>
        <v/>
      </c>
      <c r="N23" s="2">
        <v>58</v>
      </c>
      <c r="O23" s="34">
        <f>INDEX(Xtradata!T$2:T$397,$D23)</f>
        <v>0</v>
      </c>
      <c r="P23" s="38">
        <f t="shared" si="2"/>
        <v>0</v>
      </c>
      <c r="Q23" s="48">
        <f t="shared" si="3"/>
        <v>0.42</v>
      </c>
      <c r="R23" s="48">
        <f t="shared" si="4"/>
        <v>0.42</v>
      </c>
      <c r="S23" s="48">
        <f t="shared" si="9"/>
        <v>0</v>
      </c>
      <c r="T23" s="48">
        <f t="shared" si="5"/>
        <v>0.42</v>
      </c>
      <c r="U23" s="48">
        <f t="shared" si="1"/>
        <v>0.57999999999999996</v>
      </c>
      <c r="V23" s="48">
        <f t="shared" si="6"/>
        <v>1.1102230246251565E-16</v>
      </c>
      <c r="W23" s="48">
        <f t="shared" si="8"/>
        <v>1</v>
      </c>
      <c r="X23" s="14">
        <f>MATCH(C23,'Weights and Seed Amounts'!C$2:C$400,0)</f>
        <v>22</v>
      </c>
      <c r="Y23" s="58">
        <f>INDEX('Weights and Seed Amounts'!D$2:D$400,$X23)</f>
        <v>3.4799999999999998E-2</v>
      </c>
      <c r="Z23" s="34">
        <f>INDEX(Xtradata!U$2:U$397,$D23)</f>
        <v>0</v>
      </c>
    </row>
    <row r="24" spans="1:26" x14ac:dyDescent="0.25">
      <c r="A24" s="2" t="s">
        <v>43</v>
      </c>
      <c r="B24" s="2" t="s">
        <v>44</v>
      </c>
      <c r="C24" s="2" t="s">
        <v>46</v>
      </c>
      <c r="D24" s="32">
        <f>MATCH(Xtradata!C24,Xtradata!C$2:C419,0)</f>
        <v>23</v>
      </c>
      <c r="E24" s="33">
        <f>INDEX(Xtradata!G$2:G$397,$D24)</f>
        <v>44307</v>
      </c>
      <c r="F24" s="33">
        <f>INDEX(Xtradata!H$2:H$397,$D24)</f>
        <v>44389</v>
      </c>
      <c r="G24" s="2">
        <v>100</v>
      </c>
      <c r="H24" s="2">
        <v>85</v>
      </c>
      <c r="I24" s="2">
        <v>0</v>
      </c>
      <c r="J24" s="33" t="str">
        <f>INDEX(Xtradata!J$2:J$397,$D24)</f>
        <v>N/A</v>
      </c>
      <c r="K24" s="34" t="str">
        <f>IF(J24="TZ",INDEX(Xtradata!P$2:P$397,$D24),IF(J24="clip",INDEX(Xtradata!K$2:K$397,$D24),""))</f>
        <v/>
      </c>
      <c r="L24" s="34" t="str">
        <f>IF($J24="TZ",INDEX(Xtradata!Q$2:Q$397,$D24),IF($J24="clip",INDEX(Xtradata!L$2:L$397,$D24),""))</f>
        <v/>
      </c>
      <c r="M24" s="34" t="str">
        <f>IF($J24="TZ",INDEX(Xtradata!R$2:R$397,$D24),IF($J24="clip",INDEX(Xtradata!M$2:M$397,$D24),""))</f>
        <v/>
      </c>
      <c r="N24" s="2">
        <v>15</v>
      </c>
      <c r="O24" s="34">
        <f>INDEX(Xtradata!T$2:T$397,$D24)</f>
        <v>0</v>
      </c>
      <c r="P24" s="38">
        <f t="shared" si="2"/>
        <v>0</v>
      </c>
      <c r="Q24" s="48">
        <f t="shared" si="3"/>
        <v>0.85</v>
      </c>
      <c r="R24" s="48">
        <f t="shared" si="4"/>
        <v>0.85</v>
      </c>
      <c r="S24" s="48">
        <f t="shared" si="9"/>
        <v>0</v>
      </c>
      <c r="T24" s="48">
        <f t="shared" si="5"/>
        <v>0.85</v>
      </c>
      <c r="U24" s="48">
        <f t="shared" si="1"/>
        <v>0.15</v>
      </c>
      <c r="V24" s="48">
        <f t="shared" si="6"/>
        <v>2.7755575615628914E-17</v>
      </c>
      <c r="W24" s="48">
        <f t="shared" si="8"/>
        <v>1</v>
      </c>
      <c r="X24" s="14">
        <f>MATCH(C24,'Weights and Seed Amounts'!C$2:C$400,0)</f>
        <v>23</v>
      </c>
      <c r="Y24" s="58">
        <f>INDEX('Weights and Seed Amounts'!D$2:D$400,$X24)</f>
        <v>2.1399999999999999E-2</v>
      </c>
      <c r="Z24" s="34">
        <f>INDEX(Xtradata!U$2:U$397,$D24)</f>
        <v>0</v>
      </c>
    </row>
    <row r="25" spans="1:26" x14ac:dyDescent="0.25">
      <c r="A25" s="2" t="s">
        <v>43</v>
      </c>
      <c r="B25" s="2" t="s">
        <v>44</v>
      </c>
      <c r="C25" s="2" t="s">
        <v>47</v>
      </c>
      <c r="D25" s="32">
        <f>MATCH(Xtradata!C25,Xtradata!C$2:C420,0)</f>
        <v>24</v>
      </c>
      <c r="E25" s="33">
        <f>INDEX(Xtradata!G$2:G$397,$D25)</f>
        <v>44307</v>
      </c>
      <c r="F25" s="33">
        <f>INDEX(Xtradata!H$2:H$397,$D25)</f>
        <v>44389</v>
      </c>
      <c r="G25" s="2">
        <v>100</v>
      </c>
      <c r="H25" s="2">
        <v>82</v>
      </c>
      <c r="I25" s="2">
        <v>0</v>
      </c>
      <c r="J25" s="33" t="str">
        <f>INDEX(Xtradata!J$2:J$397,$D25)</f>
        <v>N/A</v>
      </c>
      <c r="K25" s="34" t="str">
        <f>IF(J25="TZ",INDEX(Xtradata!P$2:P$397,$D25),IF(J25="clip",INDEX(Xtradata!K$2:K$397,$D25),""))</f>
        <v/>
      </c>
      <c r="L25" s="34" t="str">
        <f>IF($J25="TZ",INDEX(Xtradata!Q$2:Q$397,$D25),IF($J25="clip",INDEX(Xtradata!L$2:L$397,$D25),""))</f>
        <v/>
      </c>
      <c r="M25" s="34" t="str">
        <f>IF($J25="TZ",INDEX(Xtradata!R$2:R$397,$D25),IF($J25="clip",INDEX(Xtradata!M$2:M$397,$D25),""))</f>
        <v/>
      </c>
      <c r="N25" s="2">
        <v>18</v>
      </c>
      <c r="O25" s="34">
        <f>INDEX(Xtradata!T$2:T$397,$D25)</f>
        <v>0</v>
      </c>
      <c r="P25" s="38">
        <f t="shared" si="2"/>
        <v>0</v>
      </c>
      <c r="Q25" s="48">
        <f t="shared" si="3"/>
        <v>0.82</v>
      </c>
      <c r="R25" s="48">
        <f t="shared" si="4"/>
        <v>0.82</v>
      </c>
      <c r="S25" s="48">
        <f t="shared" si="9"/>
        <v>0</v>
      </c>
      <c r="T25" s="48">
        <f t="shared" si="5"/>
        <v>0.82</v>
      </c>
      <c r="U25" s="48">
        <f t="shared" si="1"/>
        <v>0.18</v>
      </c>
      <c r="V25" s="48">
        <f t="shared" si="6"/>
        <v>5.5511151231257827E-17</v>
      </c>
      <c r="W25" s="48">
        <f t="shared" si="8"/>
        <v>1</v>
      </c>
      <c r="X25" s="14">
        <f>MATCH(C25,'Weights and Seed Amounts'!C$2:C$400,0)</f>
        <v>24</v>
      </c>
      <c r="Y25" s="58">
        <f>INDEX('Weights and Seed Amounts'!D$2:D$400,$X25)</f>
        <v>0.02</v>
      </c>
      <c r="Z25" s="34">
        <f>INDEX(Xtradata!U$2:U$397,$D25)</f>
        <v>0</v>
      </c>
    </row>
    <row r="26" spans="1:26" x14ac:dyDescent="0.25">
      <c r="A26" s="2" t="s">
        <v>43</v>
      </c>
      <c r="B26" s="2" t="s">
        <v>48</v>
      </c>
      <c r="C26" s="2" t="s">
        <v>49</v>
      </c>
      <c r="D26" s="32">
        <f>MATCH(Xtradata!C26,Xtradata!C$2:C421,0)</f>
        <v>25</v>
      </c>
      <c r="E26" s="33">
        <f>INDEX(Xtradata!G$2:G$397,$D26)</f>
        <v>44307</v>
      </c>
      <c r="F26" s="33">
        <f>INDEX(Xtradata!H$2:H$397,$D26)</f>
        <v>44383</v>
      </c>
      <c r="G26" s="2">
        <v>100</v>
      </c>
      <c r="H26" s="2">
        <v>100</v>
      </c>
      <c r="I26" s="2">
        <v>0</v>
      </c>
      <c r="J26" s="33" t="str">
        <f>INDEX(Xtradata!J$2:J$397,$D26)</f>
        <v>N/A</v>
      </c>
      <c r="K26" s="34" t="str">
        <f>IF(J26="TZ",INDEX(Xtradata!P$2:P$397,$D26),IF(J26="clip",INDEX(Xtradata!K$2:K$397,$D26),""))</f>
        <v/>
      </c>
      <c r="L26" s="34" t="str">
        <f>IF($J26="TZ",INDEX(Xtradata!Q$2:Q$397,$D26),IF($J26="clip",INDEX(Xtradata!L$2:L$397,$D26),""))</f>
        <v/>
      </c>
      <c r="M26" s="34" t="str">
        <f>IF($J26="TZ",INDEX(Xtradata!R$2:R$397,$D26),IF($J26="clip",INDEX(Xtradata!M$2:M$397,$D26),""))</f>
        <v/>
      </c>
      <c r="N26" s="2">
        <v>0</v>
      </c>
      <c r="O26" s="34">
        <f>INDEX(Xtradata!T$2:T$397,$D26)</f>
        <v>0</v>
      </c>
      <c r="P26" s="38">
        <f t="shared" si="2"/>
        <v>0</v>
      </c>
      <c r="Q26" s="48">
        <f t="shared" si="3"/>
        <v>1</v>
      </c>
      <c r="R26" s="48">
        <f t="shared" si="4"/>
        <v>1</v>
      </c>
      <c r="S26" s="48">
        <f t="shared" si="9"/>
        <v>0</v>
      </c>
      <c r="T26" s="48">
        <f t="shared" si="5"/>
        <v>1</v>
      </c>
      <c r="U26" s="48">
        <f t="shared" si="1"/>
        <v>0</v>
      </c>
      <c r="V26" s="48">
        <f t="shared" si="6"/>
        <v>0</v>
      </c>
      <c r="W26" s="48">
        <f t="shared" si="8"/>
        <v>1</v>
      </c>
      <c r="X26" s="14">
        <f>MATCH(C26,'Weights and Seed Amounts'!C$2:C$400,0)</f>
        <v>25</v>
      </c>
      <c r="Y26" s="58">
        <f>INDEX('Weights and Seed Amounts'!D$2:D$400,$X26)</f>
        <v>5.3600000000000002E-2</v>
      </c>
      <c r="Z26" s="34">
        <f>INDEX(Xtradata!U$2:U$397,$D26)</f>
        <v>0</v>
      </c>
    </row>
    <row r="27" spans="1:26" x14ac:dyDescent="0.25">
      <c r="A27" s="2" t="s">
        <v>43</v>
      </c>
      <c r="B27" s="2" t="s">
        <v>50</v>
      </c>
      <c r="C27" s="2" t="s">
        <v>51</v>
      </c>
      <c r="D27" s="32">
        <f>MATCH(Xtradata!C27,Xtradata!C$2:C422,0)</f>
        <v>26</v>
      </c>
      <c r="E27" s="33">
        <f>INDEX(Xtradata!G$2:G$397,$D27)</f>
        <v>44307</v>
      </c>
      <c r="F27" s="33">
        <f>INDEX(Xtradata!H$2:H$397,$D27)</f>
        <v>44383</v>
      </c>
      <c r="G27" s="2">
        <v>100</v>
      </c>
      <c r="H27" s="2">
        <v>100</v>
      </c>
      <c r="I27" s="2">
        <v>0</v>
      </c>
      <c r="J27" s="33" t="str">
        <f>INDEX(Xtradata!J$2:J$397,$D27)</f>
        <v>N/A</v>
      </c>
      <c r="K27" s="34" t="str">
        <f>IF(J27="TZ",INDEX(Xtradata!P$2:P$397,$D27),IF(J27="clip",INDEX(Xtradata!K$2:K$397,$D27),""))</f>
        <v/>
      </c>
      <c r="L27" s="34" t="str">
        <f>IF($J27="TZ",INDEX(Xtradata!Q$2:Q$397,$D27),IF($J27="clip",INDEX(Xtradata!L$2:L$397,$D27),""))</f>
        <v/>
      </c>
      <c r="M27" s="34" t="str">
        <f>IF($J27="TZ",INDEX(Xtradata!R$2:R$397,$D27),IF($J27="clip",INDEX(Xtradata!M$2:M$397,$D27),""))</f>
        <v/>
      </c>
      <c r="N27" s="2">
        <v>0</v>
      </c>
      <c r="O27" s="34">
        <f>INDEX(Xtradata!T$2:T$397,$D27)</f>
        <v>0</v>
      </c>
      <c r="P27" s="38">
        <f t="shared" si="2"/>
        <v>0</v>
      </c>
      <c r="Q27" s="48">
        <f t="shared" si="3"/>
        <v>1</v>
      </c>
      <c r="R27" s="48">
        <f t="shared" si="4"/>
        <v>1</v>
      </c>
      <c r="S27" s="48">
        <f t="shared" si="9"/>
        <v>0</v>
      </c>
      <c r="T27" s="48">
        <f t="shared" si="5"/>
        <v>1</v>
      </c>
      <c r="U27" s="48">
        <f t="shared" si="1"/>
        <v>0</v>
      </c>
      <c r="V27" s="48">
        <f t="shared" si="6"/>
        <v>0</v>
      </c>
      <c r="W27" s="48">
        <f t="shared" si="8"/>
        <v>1</v>
      </c>
      <c r="X27" s="14">
        <f>MATCH(C27,'Weights and Seed Amounts'!C$2:C$400,0)</f>
        <v>26</v>
      </c>
      <c r="Y27" s="58">
        <f>INDEX('Weights and Seed Amounts'!D$2:D$400,$X27)</f>
        <v>9.4600000000000004E-2</v>
      </c>
      <c r="Z27" s="34">
        <f>INDEX(Xtradata!U$2:U$397,$D27)</f>
        <v>0</v>
      </c>
    </row>
    <row r="28" spans="1:26" x14ac:dyDescent="0.25">
      <c r="A28" s="2" t="s">
        <v>43</v>
      </c>
      <c r="B28" s="2" t="s">
        <v>50</v>
      </c>
      <c r="C28" s="2" t="s">
        <v>52</v>
      </c>
      <c r="D28" s="32">
        <f>MATCH(Xtradata!C28,Xtradata!C$2:C423,0)</f>
        <v>27</v>
      </c>
      <c r="E28" s="33">
        <f>INDEX(Xtradata!G$2:G$397,$D28)</f>
        <v>44307</v>
      </c>
      <c r="F28" s="33">
        <f>INDEX(Xtradata!H$2:H$397,$D28)</f>
        <v>44389</v>
      </c>
      <c r="G28" s="2">
        <v>100</v>
      </c>
      <c r="H28" s="2">
        <v>76</v>
      </c>
      <c r="I28" s="2">
        <v>0</v>
      </c>
      <c r="J28" s="33" t="str">
        <f>INDEX(Xtradata!J$2:J$397,$D28)</f>
        <v>N/A</v>
      </c>
      <c r="K28" s="34" t="str">
        <f>IF(J28="TZ",INDEX(Xtradata!P$2:P$397,$D28),IF(J28="clip",INDEX(Xtradata!K$2:K$397,$D28),""))</f>
        <v/>
      </c>
      <c r="L28" s="34" t="str">
        <f>IF($J28="TZ",INDEX(Xtradata!Q$2:Q$397,$D28),IF($J28="clip",INDEX(Xtradata!L$2:L$397,$D28),""))</f>
        <v/>
      </c>
      <c r="M28" s="34" t="str">
        <f>IF($J28="TZ",INDEX(Xtradata!R$2:R$397,$D28),IF($J28="clip",INDEX(Xtradata!M$2:M$397,$D28),""))</f>
        <v/>
      </c>
      <c r="N28" s="2">
        <v>24</v>
      </c>
      <c r="O28" s="34">
        <f>INDEX(Xtradata!T$2:T$397,$D28)</f>
        <v>0</v>
      </c>
      <c r="P28" s="38">
        <f t="shared" si="2"/>
        <v>0</v>
      </c>
      <c r="Q28" s="48">
        <f t="shared" si="3"/>
        <v>0.76</v>
      </c>
      <c r="R28" s="48">
        <f t="shared" si="4"/>
        <v>0.76</v>
      </c>
      <c r="S28" s="48">
        <f t="shared" si="9"/>
        <v>0</v>
      </c>
      <c r="T28" s="48">
        <f t="shared" si="5"/>
        <v>0.76</v>
      </c>
      <c r="U28" s="48">
        <f t="shared" si="1"/>
        <v>0.24</v>
      </c>
      <c r="V28" s="48">
        <f t="shared" si="6"/>
        <v>0</v>
      </c>
      <c r="W28" s="48">
        <f t="shared" si="8"/>
        <v>1</v>
      </c>
      <c r="X28" s="14">
        <f>MATCH(C28,'Weights and Seed Amounts'!C$2:C$400,0)</f>
        <v>27</v>
      </c>
      <c r="Y28" s="58">
        <f>INDEX('Weights and Seed Amounts'!D$2:D$400,$X28)</f>
        <v>8.8400000000000006E-2</v>
      </c>
      <c r="Z28" s="34">
        <f>INDEX(Xtradata!U$2:U$397,$D28)</f>
        <v>0</v>
      </c>
    </row>
    <row r="29" spans="1:26" x14ac:dyDescent="0.25">
      <c r="A29" s="2" t="s">
        <v>43</v>
      </c>
      <c r="B29" s="2" t="s">
        <v>50</v>
      </c>
      <c r="C29" s="2" t="s">
        <v>53</v>
      </c>
      <c r="D29" s="32">
        <f>MATCH(Xtradata!C29,Xtradata!C$2:C424,0)</f>
        <v>28</v>
      </c>
      <c r="E29" s="33">
        <f>INDEX(Xtradata!G$2:G$397,$D29)</f>
        <v>44307</v>
      </c>
      <c r="F29" s="33">
        <f>INDEX(Xtradata!H$2:H$397,$D29)</f>
        <v>44389</v>
      </c>
      <c r="G29" s="2">
        <v>100</v>
      </c>
      <c r="H29" s="2">
        <v>94</v>
      </c>
      <c r="I29" s="2">
        <v>0</v>
      </c>
      <c r="J29" s="33" t="str">
        <f>INDEX(Xtradata!J$2:J$397,$D29)</f>
        <v>N/A</v>
      </c>
      <c r="K29" s="34" t="str">
        <f>IF(J29="TZ",INDEX(Xtradata!P$2:P$397,$D29),IF(J29="clip",INDEX(Xtradata!K$2:K$397,$D29),""))</f>
        <v/>
      </c>
      <c r="L29" s="34" t="str">
        <f>IF($J29="TZ",INDEX(Xtradata!Q$2:Q$397,$D29),IF($J29="clip",INDEX(Xtradata!L$2:L$397,$D29),""))</f>
        <v/>
      </c>
      <c r="M29" s="34" t="str">
        <f>IF($J29="TZ",INDEX(Xtradata!R$2:R$397,$D29),IF($J29="clip",INDEX(Xtradata!M$2:M$397,$D29),""))</f>
        <v/>
      </c>
      <c r="N29" s="2">
        <v>6</v>
      </c>
      <c r="O29" s="34">
        <f>INDEX(Xtradata!T$2:T$397,$D29)</f>
        <v>0</v>
      </c>
      <c r="P29" s="38">
        <f t="shared" si="2"/>
        <v>0</v>
      </c>
      <c r="Q29" s="48">
        <f t="shared" si="3"/>
        <v>0.94</v>
      </c>
      <c r="R29" s="48">
        <f t="shared" si="4"/>
        <v>0.94</v>
      </c>
      <c r="S29" s="48">
        <f t="shared" si="9"/>
        <v>0</v>
      </c>
      <c r="T29" s="48">
        <f t="shared" si="5"/>
        <v>0.94</v>
      </c>
      <c r="U29" s="48">
        <f t="shared" si="1"/>
        <v>0.06</v>
      </c>
      <c r="V29" s="48">
        <f t="shared" si="6"/>
        <v>5.5511151231257827E-17</v>
      </c>
      <c r="W29" s="48">
        <f t="shared" si="8"/>
        <v>1</v>
      </c>
      <c r="X29" s="14">
        <f>MATCH(C29,'Weights and Seed Amounts'!C$2:C$400,0)</f>
        <v>28</v>
      </c>
      <c r="Y29" s="58">
        <f>INDEX('Weights and Seed Amounts'!D$2:D$400,$X29)</f>
        <v>6.6299999999999998E-2</v>
      </c>
      <c r="Z29" s="34">
        <f>INDEX(Xtradata!U$2:U$397,$D29)</f>
        <v>0</v>
      </c>
    </row>
    <row r="30" spans="1:26" x14ac:dyDescent="0.25">
      <c r="A30" s="2" t="s">
        <v>43</v>
      </c>
      <c r="B30" s="2" t="s">
        <v>50</v>
      </c>
      <c r="C30" s="2" t="s">
        <v>54</v>
      </c>
      <c r="D30" s="32">
        <f>MATCH(Xtradata!C30,Xtradata!C$2:C425,0)</f>
        <v>29</v>
      </c>
      <c r="E30" s="33">
        <f>INDEX(Xtradata!G$2:G$397,$D30)</f>
        <v>44307</v>
      </c>
      <c r="F30" s="33">
        <f>INDEX(Xtradata!H$2:H$397,$D30)</f>
        <v>44389</v>
      </c>
      <c r="G30" s="2">
        <v>100</v>
      </c>
      <c r="H30" s="2">
        <v>84</v>
      </c>
      <c r="I30" s="2">
        <v>0</v>
      </c>
      <c r="J30" s="33" t="str">
        <f>INDEX(Xtradata!J$2:J$397,$D30)</f>
        <v>N/A</v>
      </c>
      <c r="K30" s="34" t="str">
        <f>IF(J30="TZ",INDEX(Xtradata!P$2:P$397,$D30),IF(J30="clip",INDEX(Xtradata!K$2:K$397,$D30),""))</f>
        <v/>
      </c>
      <c r="L30" s="34" t="str">
        <f>IF($J30="TZ",INDEX(Xtradata!Q$2:Q$397,$D30),IF($J30="clip",INDEX(Xtradata!L$2:L$397,$D30),""))</f>
        <v/>
      </c>
      <c r="M30" s="34" t="str">
        <f>IF($J30="TZ",INDEX(Xtradata!R$2:R$397,$D30),IF($J30="clip",INDEX(Xtradata!M$2:M$397,$D30),""))</f>
        <v/>
      </c>
      <c r="N30" s="2">
        <v>16</v>
      </c>
      <c r="O30" s="34">
        <f>INDEX(Xtradata!T$2:T$397,$D30)</f>
        <v>0</v>
      </c>
      <c r="P30" s="38">
        <f t="shared" si="2"/>
        <v>0</v>
      </c>
      <c r="Q30" s="48">
        <f t="shared" si="3"/>
        <v>0.84</v>
      </c>
      <c r="R30" s="48">
        <f t="shared" si="4"/>
        <v>0.84</v>
      </c>
      <c r="S30" s="48">
        <f t="shared" si="9"/>
        <v>0</v>
      </c>
      <c r="T30" s="48">
        <f t="shared" si="5"/>
        <v>0.84</v>
      </c>
      <c r="U30" s="48">
        <f t="shared" si="1"/>
        <v>0.16</v>
      </c>
      <c r="V30" s="48">
        <f t="shared" si="6"/>
        <v>2.7755575615628914E-17</v>
      </c>
      <c r="W30" s="48">
        <f t="shared" si="8"/>
        <v>1</v>
      </c>
      <c r="X30" s="14">
        <f>MATCH(C30,'Weights and Seed Amounts'!C$2:C$400,0)</f>
        <v>29</v>
      </c>
      <c r="Y30" s="58">
        <f>INDEX('Weights and Seed Amounts'!D$2:D$400,$X30)</f>
        <v>7.7399999999999997E-2</v>
      </c>
      <c r="Z30" s="34">
        <f>INDEX(Xtradata!U$2:U$397,$D30)</f>
        <v>0</v>
      </c>
    </row>
    <row r="31" spans="1:26" x14ac:dyDescent="0.25">
      <c r="A31" s="2" t="s">
        <v>43</v>
      </c>
      <c r="B31" s="2" t="s">
        <v>55</v>
      </c>
      <c r="C31" s="2" t="s">
        <v>56</v>
      </c>
      <c r="D31" s="32">
        <f>MATCH(Xtradata!C31,Xtradata!C$2:C426,0)</f>
        <v>30</v>
      </c>
      <c r="E31" s="33">
        <f>INDEX(Xtradata!G$2:G$397,$D31)</f>
        <v>44307</v>
      </c>
      <c r="F31" s="33">
        <f>INDEX(Xtradata!H$2:H$397,$D31)</f>
        <v>44390</v>
      </c>
      <c r="G31" s="2">
        <v>100</v>
      </c>
      <c r="H31" s="2">
        <v>2</v>
      </c>
      <c r="I31" s="2">
        <v>0</v>
      </c>
      <c r="J31" s="33" t="str">
        <f>INDEX(Xtradata!J$2:J$397,$D31)</f>
        <v>TZ</v>
      </c>
      <c r="K31" s="34">
        <f>IF(J31="TZ",INDEX(Xtradata!P$2:P$397,$D31),IF(J31="clip",INDEX(Xtradata!K$2:K$397,$D31),""))</f>
        <v>98</v>
      </c>
      <c r="L31" s="34">
        <f>IF($J31="TZ",INDEX(Xtradata!Q$2:Q$397,$D31),IF($J31="clip",INDEX(Xtradata!L$2:L$397,$D31),""))</f>
        <v>42</v>
      </c>
      <c r="M31" s="34">
        <f>IF($J31="TZ",INDEX(Xtradata!R$2:R$397,$D31),IF($J31="clip",INDEX(Xtradata!M$2:M$397,$D31),""))</f>
        <v>56</v>
      </c>
      <c r="N31" s="2">
        <v>0</v>
      </c>
      <c r="O31" s="34">
        <f>INDEX(Xtradata!T$2:T$397,$D31)</f>
        <v>0</v>
      </c>
      <c r="P31" s="38">
        <f t="shared" si="2"/>
        <v>0</v>
      </c>
      <c r="Q31" s="48">
        <f t="shared" si="3"/>
        <v>0.02</v>
      </c>
      <c r="R31" s="48">
        <f t="shared" si="4"/>
        <v>0.02</v>
      </c>
      <c r="S31" s="48">
        <f t="shared" si="9"/>
        <v>0.42</v>
      </c>
      <c r="T31" s="48">
        <f t="shared" si="5"/>
        <v>0.44</v>
      </c>
      <c r="U31" s="48">
        <f t="shared" si="1"/>
        <v>0</v>
      </c>
      <c r="V31" s="48">
        <f t="shared" si="6"/>
        <v>0.56000000000000005</v>
      </c>
      <c r="W31" s="48">
        <f t="shared" si="8"/>
        <v>1</v>
      </c>
      <c r="X31" s="14">
        <f>MATCH(C31,'Weights and Seed Amounts'!C$2:C$400,0)</f>
        <v>30</v>
      </c>
      <c r="Y31" s="58">
        <f>INDEX('Weights and Seed Amounts'!D$2:D$400,$X31)</f>
        <v>1.6899</v>
      </c>
      <c r="Z31" s="34">
        <f>INDEX(Xtradata!U$2:U$397,$D31)</f>
        <v>0</v>
      </c>
    </row>
    <row r="32" spans="1:26" x14ac:dyDescent="0.25">
      <c r="A32" s="2" t="s">
        <v>43</v>
      </c>
      <c r="B32" s="2" t="s">
        <v>57</v>
      </c>
      <c r="C32" s="2" t="s">
        <v>58</v>
      </c>
      <c r="D32" s="32">
        <f>MATCH(Xtradata!C32,Xtradata!C$2:C427,0)</f>
        <v>31</v>
      </c>
      <c r="E32" s="33">
        <f>INDEX(Xtradata!G$2:G$397,$D32)</f>
        <v>44307</v>
      </c>
      <c r="F32" s="33">
        <f>INDEX(Xtradata!H$2:H$397,$D32)</f>
        <v>44390</v>
      </c>
      <c r="G32" s="2">
        <v>114</v>
      </c>
      <c r="H32" s="2">
        <v>0</v>
      </c>
      <c r="I32" s="2">
        <v>0</v>
      </c>
      <c r="J32" s="33" t="str">
        <f>INDEX(Xtradata!J$2:J$397,$D32)</f>
        <v>TZ</v>
      </c>
      <c r="K32" s="34">
        <f>IF(J32="TZ",INDEX(Xtradata!P$2:P$397,$D32),IF(J32="clip",INDEX(Xtradata!K$2:K$397,$D32),""))</f>
        <v>114</v>
      </c>
      <c r="L32" s="34">
        <f>IF($J32="TZ",INDEX(Xtradata!Q$2:Q$397,$D32),IF($J32="clip",INDEX(Xtradata!L$2:L$397,$D32),""))</f>
        <v>66</v>
      </c>
      <c r="M32" s="34">
        <f>IF($J32="TZ",INDEX(Xtradata!R$2:R$397,$D32),IF($J32="clip",INDEX(Xtradata!M$2:M$397,$D32),""))</f>
        <v>48</v>
      </c>
      <c r="N32" s="2">
        <v>0</v>
      </c>
      <c r="O32" s="34">
        <f>INDEX(Xtradata!T$2:T$397,$D32)</f>
        <v>0</v>
      </c>
      <c r="P32" s="38">
        <f t="shared" si="2"/>
        <v>0</v>
      </c>
      <c r="Q32" s="48">
        <f t="shared" si="3"/>
        <v>0</v>
      </c>
      <c r="R32" s="48">
        <f t="shared" si="4"/>
        <v>0</v>
      </c>
      <c r="S32" s="48">
        <f t="shared" si="9"/>
        <v>0.57894736842105265</v>
      </c>
      <c r="T32" s="48">
        <f t="shared" si="5"/>
        <v>0.57894736842105265</v>
      </c>
      <c r="U32" s="48">
        <f t="shared" si="1"/>
        <v>0</v>
      </c>
      <c r="V32" s="48">
        <f t="shared" si="6"/>
        <v>0.42105263157894735</v>
      </c>
      <c r="W32" s="48">
        <f t="shared" si="8"/>
        <v>1</v>
      </c>
      <c r="X32" s="14">
        <f>MATCH(C32,'Weights and Seed Amounts'!C$2:C$400,0)</f>
        <v>31</v>
      </c>
      <c r="Y32" s="58">
        <f>INDEX('Weights and Seed Amounts'!D$2:D$400,$X32)</f>
        <v>0.45390000000000003</v>
      </c>
      <c r="Z32" s="34">
        <f>INDEX(Xtradata!U$2:U$397,$D32)</f>
        <v>0</v>
      </c>
    </row>
    <row r="33" spans="1:26" x14ac:dyDescent="0.25">
      <c r="A33" s="2" t="s">
        <v>43</v>
      </c>
      <c r="B33" s="2" t="s">
        <v>59</v>
      </c>
      <c r="C33" s="2" t="s">
        <v>60</v>
      </c>
      <c r="D33" s="32">
        <f>MATCH(Xtradata!C33,Xtradata!C$2:C428,0)</f>
        <v>32</v>
      </c>
      <c r="E33" s="33">
        <f>INDEX(Xtradata!G$2:G$397,$D33)</f>
        <v>44340</v>
      </c>
      <c r="F33" s="33">
        <f>INDEX(Xtradata!H$2:H$397,$D33)</f>
        <v>44431</v>
      </c>
      <c r="G33" s="2">
        <v>116</v>
      </c>
      <c r="H33" s="2">
        <v>24</v>
      </c>
      <c r="I33" s="2">
        <v>0</v>
      </c>
      <c r="J33" s="33" t="str">
        <f>INDEX(Xtradata!J$2:J$397,$D33)</f>
        <v>TZ</v>
      </c>
      <c r="K33" s="34">
        <f>IF(J33="TZ",INDEX(Xtradata!P$2:P$397,$D33),IF(J33="clip",INDEX(Xtradata!K$2:K$397,$D33),""))</f>
        <v>80</v>
      </c>
      <c r="L33" s="34">
        <f>IF($J33="TZ",INDEX(Xtradata!Q$2:Q$397,$D33),IF($J33="clip",INDEX(Xtradata!L$2:L$397,$D33),""))</f>
        <v>60</v>
      </c>
      <c r="M33" s="34">
        <f>IF($J33="TZ",INDEX(Xtradata!R$2:R$397,$D33),IF($J33="clip",INDEX(Xtradata!M$2:M$397,$D33),""))</f>
        <v>20</v>
      </c>
      <c r="N33" s="2">
        <v>12</v>
      </c>
      <c r="O33" s="34">
        <f>INDEX(Xtradata!T$2:T$397,$D33)</f>
        <v>0</v>
      </c>
      <c r="P33" s="38">
        <f t="shared" si="2"/>
        <v>0</v>
      </c>
      <c r="Q33" s="48">
        <f t="shared" si="3"/>
        <v>0.20689655172413793</v>
      </c>
      <c r="R33" s="48">
        <f t="shared" si="4"/>
        <v>0.20689655172413793</v>
      </c>
      <c r="S33" s="48">
        <f t="shared" si="9"/>
        <v>0.51724137931034486</v>
      </c>
      <c r="T33" s="48">
        <f t="shared" si="5"/>
        <v>0.72413793103448276</v>
      </c>
      <c r="U33" s="48">
        <f t="shared" si="1"/>
        <v>0.10344827586206896</v>
      </c>
      <c r="V33" s="48">
        <f t="shared" si="6"/>
        <v>0.17241379310344829</v>
      </c>
      <c r="W33" s="48">
        <f t="shared" si="8"/>
        <v>1</v>
      </c>
      <c r="X33" s="14">
        <f>MATCH(C33,'Weights and Seed Amounts'!C$2:C$400,0)</f>
        <v>32</v>
      </c>
      <c r="Y33" s="58">
        <f>INDEX('Weights and Seed Amounts'!D$2:D$400,$X33)</f>
        <v>0.12820000000000001</v>
      </c>
      <c r="Z33" s="34">
        <f>INDEX(Xtradata!U$2:U$397,$D33)</f>
        <v>0</v>
      </c>
    </row>
    <row r="34" spans="1:26" x14ac:dyDescent="0.25">
      <c r="A34" s="2" t="s">
        <v>43</v>
      </c>
      <c r="B34" s="2" t="s">
        <v>59</v>
      </c>
      <c r="C34" s="2" t="s">
        <v>61</v>
      </c>
      <c r="D34" s="32">
        <f>MATCH(Xtradata!C34,Xtradata!C$2:C429,0)</f>
        <v>33</v>
      </c>
      <c r="E34" s="33">
        <f>INDEX(Xtradata!G$2:G$397,$D34)</f>
        <v>44340</v>
      </c>
      <c r="F34" s="33">
        <f>INDEX(Xtradata!H$2:H$397,$D34)</f>
        <v>44431</v>
      </c>
      <c r="G34" s="2">
        <v>110</v>
      </c>
      <c r="H34" s="2">
        <v>26</v>
      </c>
      <c r="I34" s="2">
        <v>0</v>
      </c>
      <c r="J34" s="33" t="str">
        <f>INDEX(Xtradata!J$2:J$397,$D34)</f>
        <v>TZ</v>
      </c>
      <c r="K34" s="34">
        <f>IF(J34="TZ",INDEX(Xtradata!P$2:P$397,$D34),IF(J34="clip",INDEX(Xtradata!K$2:K$397,$D34),""))</f>
        <v>76</v>
      </c>
      <c r="L34" s="34">
        <f>IF($J34="TZ",INDEX(Xtradata!Q$2:Q$397,$D34),IF($J34="clip",INDEX(Xtradata!L$2:L$397,$D34),""))</f>
        <v>52</v>
      </c>
      <c r="M34" s="34">
        <f>IF($J34="TZ",INDEX(Xtradata!R$2:R$397,$D34),IF($J34="clip",INDEX(Xtradata!M$2:M$397,$D34),""))</f>
        <v>24</v>
      </c>
      <c r="N34" s="2">
        <v>8</v>
      </c>
      <c r="O34" s="34">
        <f>INDEX(Xtradata!T$2:T$397,$D34)</f>
        <v>0</v>
      </c>
      <c r="P34" s="38">
        <f t="shared" si="2"/>
        <v>0</v>
      </c>
      <c r="Q34" s="48">
        <f t="shared" si="3"/>
        <v>0.23636363636363636</v>
      </c>
      <c r="R34" s="48">
        <f t="shared" si="4"/>
        <v>0.23636363636363636</v>
      </c>
      <c r="S34" s="48">
        <f t="shared" si="9"/>
        <v>0.47272727272727272</v>
      </c>
      <c r="T34" s="48">
        <f t="shared" si="5"/>
        <v>0.70909090909090911</v>
      </c>
      <c r="U34" s="48">
        <f t="shared" ref="U34:U66" si="10">IFERROR(N34/G34,IFERROR(N34/K34,""))</f>
        <v>7.2727272727272724E-2</v>
      </c>
      <c r="V34" s="48">
        <f t="shared" si="6"/>
        <v>0.21818181818181817</v>
      </c>
      <c r="W34" s="48">
        <f t="shared" si="8"/>
        <v>1</v>
      </c>
      <c r="X34" s="14">
        <f>MATCH(C34,'Weights and Seed Amounts'!C$2:C$400,0)</f>
        <v>33</v>
      </c>
      <c r="Y34" s="58">
        <f>INDEX('Weights and Seed Amounts'!D$2:D$400,$X34)</f>
        <v>0.14610000000000001</v>
      </c>
      <c r="Z34" s="34">
        <f>INDEX(Xtradata!U$2:U$397,$D34)</f>
        <v>0</v>
      </c>
    </row>
    <row r="35" spans="1:26" x14ac:dyDescent="0.25">
      <c r="A35" s="2" t="s">
        <v>43</v>
      </c>
      <c r="B35" s="2" t="s">
        <v>59</v>
      </c>
      <c r="C35" s="2" t="s">
        <v>62</v>
      </c>
      <c r="D35" s="32">
        <f>MATCH(Xtradata!C35,Xtradata!C$2:C430,0)</f>
        <v>34</v>
      </c>
      <c r="E35" s="33">
        <f>INDEX(Xtradata!G$2:G$397,$D35)</f>
        <v>44340</v>
      </c>
      <c r="F35" s="33">
        <f>INDEX(Xtradata!H$2:H$397,$D35)</f>
        <v>44431</v>
      </c>
      <c r="G35" s="2">
        <v>114</v>
      </c>
      <c r="H35" s="2">
        <v>11</v>
      </c>
      <c r="I35" s="2">
        <v>0</v>
      </c>
      <c r="J35" s="33" t="str">
        <f>INDEX(Xtradata!J$2:J$397,$D35)</f>
        <v>TZ</v>
      </c>
      <c r="K35" s="34">
        <f>IF(J35="TZ",INDEX(Xtradata!P$2:P$397,$D35),IF(J35="clip",INDEX(Xtradata!K$2:K$397,$D35),""))</f>
        <v>81</v>
      </c>
      <c r="L35" s="34">
        <f>IF($J35="TZ",INDEX(Xtradata!Q$2:Q$397,$D35),IF($J35="clip",INDEX(Xtradata!L$2:L$397,$D35),""))</f>
        <v>48</v>
      </c>
      <c r="M35" s="34">
        <f>IF($J35="TZ",INDEX(Xtradata!R$2:R$397,$D35),IF($J35="clip",INDEX(Xtradata!M$2:M$397,$D35),""))</f>
        <v>33</v>
      </c>
      <c r="N35" s="2">
        <v>22</v>
      </c>
      <c r="O35" s="34">
        <f>INDEX(Xtradata!T$2:T$397,$D35)</f>
        <v>0</v>
      </c>
      <c r="P35" s="38">
        <f t="shared" si="2"/>
        <v>0</v>
      </c>
      <c r="Q35" s="48">
        <f t="shared" si="3"/>
        <v>9.6491228070175433E-2</v>
      </c>
      <c r="R35" s="48">
        <f t="shared" si="4"/>
        <v>9.6491228070175433E-2</v>
      </c>
      <c r="S35" s="48">
        <f t="shared" si="9"/>
        <v>0.42105263157894735</v>
      </c>
      <c r="T35" s="48">
        <f t="shared" si="5"/>
        <v>0.51754385964912286</v>
      </c>
      <c r="U35" s="48">
        <f t="shared" si="10"/>
        <v>0.19298245614035087</v>
      </c>
      <c r="V35" s="48">
        <f t="shared" si="6"/>
        <v>0.28947368421052627</v>
      </c>
      <c r="W35" s="48">
        <f t="shared" si="8"/>
        <v>1</v>
      </c>
      <c r="X35" s="14">
        <f>MATCH(C35,'Weights and Seed Amounts'!C$2:C$400,0)</f>
        <v>34</v>
      </c>
      <c r="Y35" s="58">
        <f>INDEX('Weights and Seed Amounts'!D$2:D$400,$X35)</f>
        <v>0.1217</v>
      </c>
      <c r="Z35" s="34">
        <f>INDEX(Xtradata!U$2:U$397,$D35)</f>
        <v>0</v>
      </c>
    </row>
    <row r="36" spans="1:26" x14ac:dyDescent="0.25">
      <c r="A36" s="2" t="s">
        <v>43</v>
      </c>
      <c r="B36" s="2" t="s">
        <v>59</v>
      </c>
      <c r="C36" s="2" t="s">
        <v>63</v>
      </c>
      <c r="D36" s="32">
        <f>MATCH(Xtradata!C36,Xtradata!C$2:C431,0)</f>
        <v>35</v>
      </c>
      <c r="E36" s="33">
        <f>INDEX(Xtradata!G$2:G$397,$D36)</f>
        <v>44340</v>
      </c>
      <c r="F36" s="33">
        <f>INDEX(Xtradata!H$2:H$397,$D36)</f>
        <v>44431</v>
      </c>
      <c r="G36" s="41">
        <f>82+18</f>
        <v>100</v>
      </c>
      <c r="H36" s="2">
        <v>45</v>
      </c>
      <c r="I36" s="2">
        <v>0</v>
      </c>
      <c r="J36" s="33" t="str">
        <f>INDEX(Xtradata!J$2:J$397,$D36)</f>
        <v>TZ</v>
      </c>
      <c r="K36" s="34">
        <f>IF(J36="TZ",INDEX(Xtradata!P$2:P$397,$D36),IF(J36="clip",INDEX(Xtradata!K$2:K$397,$D36),""))</f>
        <v>49</v>
      </c>
      <c r="L36" s="34">
        <f>IF($J36="TZ",INDEX(Xtradata!Q$2:Q$397,$D36),IF($J36="clip",INDEX(Xtradata!L$2:L$397,$D36),""))</f>
        <v>34</v>
      </c>
      <c r="M36" s="34">
        <f>IF($J36="TZ",INDEX(Xtradata!R$2:R$397,$D36),IF($J36="clip",INDEX(Xtradata!M$2:M$397,$D36),""))</f>
        <v>15</v>
      </c>
      <c r="N36" s="2">
        <v>6</v>
      </c>
      <c r="O36" s="34">
        <f>INDEX(Xtradata!T$2:T$397,$D36)</f>
        <v>0</v>
      </c>
      <c r="P36" s="38">
        <f t="shared" si="2"/>
        <v>0</v>
      </c>
      <c r="Q36" s="48">
        <f t="shared" si="3"/>
        <v>0.45</v>
      </c>
      <c r="R36" s="48">
        <f t="shared" si="4"/>
        <v>0.45</v>
      </c>
      <c r="S36" s="48">
        <f t="shared" si="9"/>
        <v>0.34</v>
      </c>
      <c r="T36" s="48">
        <f t="shared" si="5"/>
        <v>0.79</v>
      </c>
      <c r="U36" s="48">
        <f t="shared" si="10"/>
        <v>0.06</v>
      </c>
      <c r="V36" s="48">
        <f t="shared" si="6"/>
        <v>0.14999999999999997</v>
      </c>
      <c r="W36" s="48">
        <f t="shared" si="8"/>
        <v>1</v>
      </c>
      <c r="X36" s="14">
        <f>MATCH(C36,'Weights and Seed Amounts'!C$2:C$400,0)</f>
        <v>35</v>
      </c>
      <c r="Y36" s="58">
        <f>INDEX('Weights and Seed Amounts'!D$2:D$400,$X36)</f>
        <v>0.14330000000000001</v>
      </c>
      <c r="Z36" s="34">
        <f>INDEX(Xtradata!U$2:U$397,$D36)</f>
        <v>0</v>
      </c>
    </row>
    <row r="37" spans="1:26" x14ac:dyDescent="0.25">
      <c r="A37" s="2" t="s">
        <v>43</v>
      </c>
      <c r="B37" s="2" t="s">
        <v>59</v>
      </c>
      <c r="C37" s="2" t="s">
        <v>64</v>
      </c>
      <c r="D37" s="32">
        <f>MATCH(Xtradata!C37,Xtradata!C$2:C432,0)</f>
        <v>36</v>
      </c>
      <c r="E37" s="33">
        <f>INDEX(Xtradata!G$2:G$397,$D37)</f>
        <v>44340</v>
      </c>
      <c r="F37" s="33">
        <f>INDEX(Xtradata!H$2:H$397,$D37)</f>
        <v>44431</v>
      </c>
      <c r="G37" s="2">
        <v>100</v>
      </c>
      <c r="H37" s="2">
        <v>58</v>
      </c>
      <c r="I37" s="2">
        <v>0</v>
      </c>
      <c r="J37" s="33" t="str">
        <f>INDEX(Xtradata!J$2:J$397,$D37)</f>
        <v>TZ</v>
      </c>
      <c r="K37" s="34">
        <f>IF(J37="TZ",INDEX(Xtradata!P$2:P$397,$D37),IF(J37="clip",INDEX(Xtradata!K$2:K$397,$D37),""))</f>
        <v>33</v>
      </c>
      <c r="L37" s="34">
        <f>IF($J37="TZ",INDEX(Xtradata!Q$2:Q$397,$D37),IF($J37="clip",INDEX(Xtradata!L$2:L$397,$D37),""))</f>
        <v>13</v>
      </c>
      <c r="M37" s="34">
        <f>IF($J37="TZ",INDEX(Xtradata!R$2:R$397,$D37),IF($J37="clip",INDEX(Xtradata!M$2:M$397,$D37),""))</f>
        <v>20</v>
      </c>
      <c r="N37" s="2">
        <v>9</v>
      </c>
      <c r="O37" s="34">
        <f>INDEX(Xtradata!T$2:T$397,$D37)</f>
        <v>0</v>
      </c>
      <c r="P37" s="38">
        <f t="shared" si="2"/>
        <v>0</v>
      </c>
      <c r="Q37" s="48">
        <f t="shared" si="3"/>
        <v>0.57999999999999996</v>
      </c>
      <c r="R37" s="48">
        <f t="shared" si="4"/>
        <v>0.57999999999999996</v>
      </c>
      <c r="S37" s="48">
        <f t="shared" si="9"/>
        <v>0.13</v>
      </c>
      <c r="T37" s="48">
        <f t="shared" si="5"/>
        <v>0.71</v>
      </c>
      <c r="U37" s="48">
        <f t="shared" si="10"/>
        <v>0.09</v>
      </c>
      <c r="V37" s="48">
        <f t="shared" si="6"/>
        <v>0.20000000000000004</v>
      </c>
      <c r="W37" s="48">
        <f t="shared" si="8"/>
        <v>1</v>
      </c>
      <c r="X37" s="14">
        <f>MATCH(C37,'Weights and Seed Amounts'!C$2:C$400,0)</f>
        <v>36</v>
      </c>
      <c r="Y37" s="58">
        <f>INDEX('Weights and Seed Amounts'!D$2:D$400,$X37)</f>
        <v>0.15079999999999999</v>
      </c>
      <c r="Z37" s="34">
        <f>INDEX(Xtradata!U$2:U$397,$D37)</f>
        <v>0</v>
      </c>
    </row>
    <row r="38" spans="1:26" x14ac:dyDescent="0.25">
      <c r="A38" s="2" t="s">
        <v>43</v>
      </c>
      <c r="B38" s="2" t="s">
        <v>59</v>
      </c>
      <c r="C38" s="2" t="s">
        <v>65</v>
      </c>
      <c r="D38" s="32">
        <f>MATCH(Xtradata!C38,Xtradata!C$2:C433,0)</f>
        <v>37</v>
      </c>
      <c r="E38" s="33">
        <f>INDEX(Xtradata!G$2:G$397,$D38)</f>
        <v>44291</v>
      </c>
      <c r="F38" s="33">
        <f>INDEX(Xtradata!H$2:H$397,$D38)</f>
        <v>44356</v>
      </c>
      <c r="G38" s="2">
        <v>100</v>
      </c>
      <c r="H38" s="2">
        <v>58</v>
      </c>
      <c r="I38" s="2">
        <v>0</v>
      </c>
      <c r="J38" s="33" t="str">
        <f>INDEX(Xtradata!J$2:J$397,$D38)</f>
        <v>TZ</v>
      </c>
      <c r="K38" s="34">
        <f>IF(J38="TZ",INDEX(Xtradata!P$2:P$397,$D38),IF(J38="clip",INDEX(Xtradata!K$2:K$397,$D38),""))</f>
        <v>30</v>
      </c>
      <c r="L38" s="34">
        <f>IF($J38="TZ",INDEX(Xtradata!Q$2:Q$397,$D38),IF($J38="clip",INDEX(Xtradata!L$2:L$397,$D38),""))</f>
        <v>19</v>
      </c>
      <c r="M38" s="34">
        <f>IF($J38="TZ",INDEX(Xtradata!R$2:R$397,$D38),IF($J38="clip",INDEX(Xtradata!M$2:M$397,$D38),""))</f>
        <v>11</v>
      </c>
      <c r="N38" s="2">
        <v>11</v>
      </c>
      <c r="O38" s="34">
        <f>INDEX(Xtradata!T$2:T$397,$D38)</f>
        <v>1</v>
      </c>
      <c r="P38" s="38">
        <f t="shared" si="2"/>
        <v>0</v>
      </c>
      <c r="Q38" s="48">
        <f t="shared" si="3"/>
        <v>0.57999999999999996</v>
      </c>
      <c r="R38" s="48">
        <f t="shared" si="4"/>
        <v>0.57999999999999996</v>
      </c>
      <c r="S38" s="48">
        <f t="shared" si="9"/>
        <v>0.19</v>
      </c>
      <c r="T38" s="48">
        <f t="shared" si="5"/>
        <v>0.77</v>
      </c>
      <c r="U38" s="48">
        <f t="shared" si="10"/>
        <v>0.11</v>
      </c>
      <c r="V38" s="48">
        <f t="shared" si="6"/>
        <v>0.11999999999999998</v>
      </c>
      <c r="W38" s="48">
        <f t="shared" si="8"/>
        <v>1</v>
      </c>
      <c r="X38" s="14">
        <f>MATCH(C38,'Weights and Seed Amounts'!C$2:C$400,0)</f>
        <v>37</v>
      </c>
      <c r="Y38" s="58">
        <f>INDEX('Weights and Seed Amounts'!D$2:D$400,$X38)</f>
        <v>0.13150000000000001</v>
      </c>
      <c r="Z38" s="34">
        <f>INDEX(Xtradata!U$2:U$397,$D38)</f>
        <v>0</v>
      </c>
    </row>
    <row r="39" spans="1:26" x14ac:dyDescent="0.25">
      <c r="A39" s="2" t="s">
        <v>43</v>
      </c>
      <c r="B39" s="2" t="s">
        <v>59</v>
      </c>
      <c r="C39" s="2" t="s">
        <v>66</v>
      </c>
      <c r="D39" s="32">
        <f>MATCH(Xtradata!C39,Xtradata!C$2:C434,0)</f>
        <v>38</v>
      </c>
      <c r="E39" s="33">
        <f>INDEX(Xtradata!G$2:G$397,$D39)</f>
        <v>44340</v>
      </c>
      <c r="F39" s="33">
        <f>INDEX(Xtradata!H$2:H$397,$D39)</f>
        <v>44431</v>
      </c>
      <c r="G39" s="2">
        <v>112</v>
      </c>
      <c r="H39" s="2">
        <v>67</v>
      </c>
      <c r="I39" s="2">
        <v>0</v>
      </c>
      <c r="J39" s="33" t="str">
        <f>INDEX(Xtradata!J$2:J$397,$D39)</f>
        <v>TZ</v>
      </c>
      <c r="K39" s="34">
        <f>IF(J39="TZ",INDEX(Xtradata!P$2:P$397,$D39),IF(J39="clip",INDEX(Xtradata!K$2:K$397,$D39),""))</f>
        <v>35</v>
      </c>
      <c r="L39" s="34">
        <f>IF($J39="TZ",INDEX(Xtradata!Q$2:Q$397,$D39),IF($J39="clip",INDEX(Xtradata!L$2:L$397,$D39),""))</f>
        <v>24</v>
      </c>
      <c r="M39" s="34">
        <f>IF($J39="TZ",INDEX(Xtradata!R$2:R$397,$D39),IF($J39="clip",INDEX(Xtradata!M$2:M$397,$D39),""))</f>
        <v>11</v>
      </c>
      <c r="N39" s="2">
        <v>10</v>
      </c>
      <c r="O39" s="34">
        <f>INDEX(Xtradata!T$2:T$397,$D39)</f>
        <v>0</v>
      </c>
      <c r="P39" s="38">
        <f t="shared" si="2"/>
        <v>0</v>
      </c>
      <c r="Q39" s="48">
        <f t="shared" si="3"/>
        <v>0.5982142857142857</v>
      </c>
      <c r="R39" s="48">
        <f t="shared" si="4"/>
        <v>0.5982142857142857</v>
      </c>
      <c r="S39" s="48">
        <f t="shared" si="9"/>
        <v>0.21428571428571427</v>
      </c>
      <c r="T39" s="48">
        <f t="shared" si="5"/>
        <v>0.8125</v>
      </c>
      <c r="U39" s="48">
        <f t="shared" si="10"/>
        <v>8.9285714285714288E-2</v>
      </c>
      <c r="V39" s="48">
        <f t="shared" si="6"/>
        <v>9.8214285714285712E-2</v>
      </c>
      <c r="W39" s="48">
        <f t="shared" si="8"/>
        <v>1</v>
      </c>
      <c r="X39" s="14">
        <f>MATCH(C39,'Weights and Seed Amounts'!C$2:C$400,0)</f>
        <v>38</v>
      </c>
      <c r="Y39" s="58">
        <f>INDEX('Weights and Seed Amounts'!D$2:D$400,$X39)</f>
        <v>0.1517</v>
      </c>
      <c r="Z39" s="34">
        <f>INDEX(Xtradata!U$2:U$397,$D39)</f>
        <v>0</v>
      </c>
    </row>
    <row r="40" spans="1:26" x14ac:dyDescent="0.25">
      <c r="A40" s="2" t="s">
        <v>43</v>
      </c>
      <c r="B40" s="2" t="s">
        <v>67</v>
      </c>
      <c r="C40" s="2" t="s">
        <v>68</v>
      </c>
      <c r="D40" s="32">
        <f>MATCH(Xtradata!C40,Xtradata!C$2:C435,0)</f>
        <v>39</v>
      </c>
      <c r="E40" s="33">
        <f>INDEX(Xtradata!G$2:G$397,$D40)</f>
        <v>44340</v>
      </c>
      <c r="F40" s="33">
        <f>INDEX(Xtradata!H$2:H$397,$D40)</f>
        <v>44431</v>
      </c>
      <c r="G40" s="2">
        <v>100</v>
      </c>
      <c r="H40" s="2">
        <v>53</v>
      </c>
      <c r="I40" s="2">
        <v>0</v>
      </c>
      <c r="J40" s="33" t="str">
        <f>INDEX(Xtradata!J$2:J$397,$D40)</f>
        <v>TZ</v>
      </c>
      <c r="K40" s="34">
        <f>IF(J40="TZ",INDEX(Xtradata!P$2:P$397,$D40),IF(J40="clip",INDEX(Xtradata!K$2:K$397,$D40),""))</f>
        <v>28</v>
      </c>
      <c r="L40" s="34">
        <f>IF($J40="TZ",INDEX(Xtradata!Q$2:Q$397,$D40),IF($J40="clip",INDEX(Xtradata!L$2:L$397,$D40),""))</f>
        <v>11</v>
      </c>
      <c r="M40" s="34">
        <f>IF($J40="TZ",INDEX(Xtradata!R$2:R$397,$D40),IF($J40="clip",INDEX(Xtradata!M$2:M$397,$D40),""))</f>
        <v>17</v>
      </c>
      <c r="N40" s="2">
        <v>19</v>
      </c>
      <c r="O40" s="34">
        <f>INDEX(Xtradata!T$2:T$397,$D40)</f>
        <v>0</v>
      </c>
      <c r="P40" s="38">
        <f t="shared" si="2"/>
        <v>0</v>
      </c>
      <c r="Q40" s="48">
        <f t="shared" si="3"/>
        <v>0.53</v>
      </c>
      <c r="R40" s="48">
        <f t="shared" si="4"/>
        <v>0.53</v>
      </c>
      <c r="S40" s="48">
        <f t="shared" si="9"/>
        <v>0.11</v>
      </c>
      <c r="T40" s="48">
        <f t="shared" si="5"/>
        <v>0.64</v>
      </c>
      <c r="U40" s="48">
        <f t="shared" si="10"/>
        <v>0.19</v>
      </c>
      <c r="V40" s="48">
        <f t="shared" si="6"/>
        <v>0.16999999999999998</v>
      </c>
      <c r="W40" s="48">
        <f t="shared" si="8"/>
        <v>1</v>
      </c>
      <c r="X40" s="14">
        <f>MATCH(C40,'Weights and Seed Amounts'!C$2:C$400,0)</f>
        <v>39</v>
      </c>
      <c r="Y40" s="58">
        <f>INDEX('Weights and Seed Amounts'!D$2:D$400,$X40)</f>
        <v>1.8499999999999999E-2</v>
      </c>
      <c r="Z40" s="34">
        <f>INDEX(Xtradata!U$2:U$397,$D40)</f>
        <v>0</v>
      </c>
    </row>
    <row r="41" spans="1:26" x14ac:dyDescent="0.25">
      <c r="A41" s="2" t="s">
        <v>43</v>
      </c>
      <c r="B41" s="2" t="s">
        <v>67</v>
      </c>
      <c r="C41" s="2" t="s">
        <v>69</v>
      </c>
      <c r="D41" s="32">
        <f>MATCH(Xtradata!C41,Xtradata!C$2:C436,0)</f>
        <v>40</v>
      </c>
      <c r="E41" s="33">
        <f>INDEX(Xtradata!G$2:G$397,$D41)</f>
        <v>44340</v>
      </c>
      <c r="F41" s="33">
        <f>INDEX(Xtradata!H$2:H$397,$D41)</f>
        <v>44431</v>
      </c>
      <c r="G41" s="2">
        <v>100</v>
      </c>
      <c r="H41" s="2">
        <v>26</v>
      </c>
      <c r="I41" s="2">
        <v>0</v>
      </c>
      <c r="J41" s="33" t="str">
        <f>INDEX(Xtradata!J$2:J$397,$D41)</f>
        <v>TZ</v>
      </c>
      <c r="K41" s="34">
        <f>IF(J41="TZ",INDEX(Xtradata!P$2:P$397,$D41),IF(J41="clip",INDEX(Xtradata!K$2:K$397,$D41),""))</f>
        <v>39</v>
      </c>
      <c r="L41" s="34">
        <f>IF($J41="TZ",INDEX(Xtradata!Q$2:Q$397,$D41),IF($J41="clip",INDEX(Xtradata!L$2:L$397,$D41),""))</f>
        <v>5</v>
      </c>
      <c r="M41" s="34">
        <f>IF($J41="TZ",INDEX(Xtradata!R$2:R$397,$D41),IF($J41="clip",INDEX(Xtradata!M$2:M$397,$D41),""))</f>
        <v>34</v>
      </c>
      <c r="N41" s="2">
        <v>35</v>
      </c>
      <c r="O41" s="34">
        <f>INDEX(Xtradata!T$2:T$397,$D41)</f>
        <v>0</v>
      </c>
      <c r="P41" s="38">
        <f t="shared" si="2"/>
        <v>0</v>
      </c>
      <c r="Q41" s="48">
        <f t="shared" si="3"/>
        <v>0.26</v>
      </c>
      <c r="R41" s="48">
        <f t="shared" si="4"/>
        <v>0.26</v>
      </c>
      <c r="S41" s="48">
        <f t="shared" si="9"/>
        <v>0.05</v>
      </c>
      <c r="T41" s="48">
        <f t="shared" si="5"/>
        <v>0.31</v>
      </c>
      <c r="U41" s="48">
        <f t="shared" si="10"/>
        <v>0.35</v>
      </c>
      <c r="V41" s="48">
        <f t="shared" si="6"/>
        <v>0.33999999999999997</v>
      </c>
      <c r="W41" s="48">
        <f t="shared" si="8"/>
        <v>0.99999999999999989</v>
      </c>
      <c r="X41" s="14">
        <f>MATCH(C41,'Weights and Seed Amounts'!C$2:C$400,0)</f>
        <v>40</v>
      </c>
      <c r="Y41" s="58">
        <f>INDEX('Weights and Seed Amounts'!D$2:D$400,$X41)</f>
        <v>2.1000000000000001E-2</v>
      </c>
      <c r="Z41" s="34">
        <f>INDEX(Xtradata!U$2:U$397,$D41)</f>
        <v>0</v>
      </c>
    </row>
    <row r="42" spans="1:26" x14ac:dyDescent="0.25">
      <c r="A42" s="2" t="s">
        <v>43</v>
      </c>
      <c r="B42" s="2" t="s">
        <v>67</v>
      </c>
      <c r="C42" s="2" t="s">
        <v>70</v>
      </c>
      <c r="D42" s="32">
        <f>MATCH(Xtradata!C42,Xtradata!C$2:C437,0)</f>
        <v>41</v>
      </c>
      <c r="E42" s="33">
        <f>INDEX(Xtradata!G$2:G$397,$D42)</f>
        <v>44291</v>
      </c>
      <c r="F42" s="33">
        <f>INDEX(Xtradata!H$2:H$397,$D42)</f>
        <v>44356</v>
      </c>
      <c r="G42" s="2">
        <v>100</v>
      </c>
      <c r="H42" s="2">
        <v>70</v>
      </c>
      <c r="I42" s="2">
        <v>0</v>
      </c>
      <c r="J42" s="33" t="str">
        <f>INDEX(Xtradata!J$2:J$397,$D42)</f>
        <v>TZ</v>
      </c>
      <c r="K42" s="34">
        <f>IF(J42="TZ",INDEX(Xtradata!P$2:P$397,$D42),IF(J42="clip",INDEX(Xtradata!K$2:K$397,$D42),""))</f>
        <v>7</v>
      </c>
      <c r="L42" s="34">
        <f>IF($J42="TZ",INDEX(Xtradata!Q$2:Q$397,$D42),IF($J42="clip",INDEX(Xtradata!L$2:L$397,$D42),""))</f>
        <v>6</v>
      </c>
      <c r="M42" s="34">
        <f>IF($J42="TZ",INDEX(Xtradata!R$2:R$397,$D42),IF($J42="clip",INDEX(Xtradata!M$2:M$397,$D42),""))</f>
        <v>1</v>
      </c>
      <c r="N42" s="2">
        <v>18</v>
      </c>
      <c r="O42" s="34">
        <f>INDEX(Xtradata!T$2:T$397,$D42)</f>
        <v>5</v>
      </c>
      <c r="P42" s="38">
        <f t="shared" si="2"/>
        <v>0</v>
      </c>
      <c r="Q42" s="48">
        <f t="shared" si="3"/>
        <v>0.7</v>
      </c>
      <c r="R42" s="48">
        <f t="shared" si="4"/>
        <v>0.7</v>
      </c>
      <c r="S42" s="48">
        <f t="shared" si="9"/>
        <v>0.06</v>
      </c>
      <c r="T42" s="48">
        <f t="shared" si="5"/>
        <v>0.76</v>
      </c>
      <c r="U42" s="48">
        <f t="shared" si="10"/>
        <v>0.18</v>
      </c>
      <c r="V42" s="48">
        <f t="shared" si="6"/>
        <v>0.06</v>
      </c>
      <c r="W42" s="48">
        <f t="shared" si="8"/>
        <v>1</v>
      </c>
      <c r="X42" s="14">
        <f>MATCH(C42,'Weights and Seed Amounts'!C$2:C$400,0)</f>
        <v>41</v>
      </c>
      <c r="Y42" s="58">
        <f>INDEX('Weights and Seed Amounts'!D$2:D$400,$X42)</f>
        <v>1.49E-2</v>
      </c>
      <c r="Z42" s="34">
        <f>INDEX(Xtradata!U$2:U$397,$D42)</f>
        <v>0</v>
      </c>
    </row>
    <row r="43" spans="1:26" x14ac:dyDescent="0.25">
      <c r="A43" s="2" t="s">
        <v>43</v>
      </c>
      <c r="B43" s="2" t="s">
        <v>67</v>
      </c>
      <c r="C43" s="2" t="s">
        <v>71</v>
      </c>
      <c r="D43" s="32">
        <f>MATCH(Xtradata!C43,Xtradata!C$2:C438,0)</f>
        <v>42</v>
      </c>
      <c r="E43" s="33">
        <f>INDEX(Xtradata!G$2:G$397,$D43)</f>
        <v>44340</v>
      </c>
      <c r="F43" s="33">
        <f>INDEX(Xtradata!H$2:H$397,$D43)</f>
        <v>44431</v>
      </c>
      <c r="G43" s="41">
        <f>106+2</f>
        <v>108</v>
      </c>
      <c r="H43" s="2">
        <v>63</v>
      </c>
      <c r="I43" s="2">
        <v>0</v>
      </c>
      <c r="J43" s="33" t="str">
        <f>INDEX(Xtradata!J$2:J$397,$D43)</f>
        <v>TZ</v>
      </c>
      <c r="K43" s="34">
        <f>IF(J43="TZ",INDEX(Xtradata!P$2:P$397,$D43),IF(J43="clip",INDEX(Xtradata!K$2:K$397,$D43),""))</f>
        <v>23</v>
      </c>
      <c r="L43" s="34">
        <f>IF($J43="TZ",INDEX(Xtradata!Q$2:Q$397,$D43),IF($J43="clip",INDEX(Xtradata!L$2:L$397,$D43),""))</f>
        <v>4</v>
      </c>
      <c r="M43" s="34">
        <f>IF($J43="TZ",INDEX(Xtradata!R$2:R$397,$D43),IF($J43="clip",INDEX(Xtradata!M$2:M$397,$D43),""))</f>
        <v>19</v>
      </c>
      <c r="N43" s="2">
        <v>21</v>
      </c>
      <c r="O43" s="34">
        <f>INDEX(Xtradata!T$2:T$397,$D43)</f>
        <v>1</v>
      </c>
      <c r="P43" s="38">
        <f t="shared" si="2"/>
        <v>0</v>
      </c>
      <c r="Q43" s="48">
        <f t="shared" si="3"/>
        <v>0.58333333333333337</v>
      </c>
      <c r="R43" s="48">
        <f t="shared" si="4"/>
        <v>0.58333333333333337</v>
      </c>
      <c r="S43" s="48">
        <f t="shared" si="9"/>
        <v>3.7037037037037035E-2</v>
      </c>
      <c r="T43" s="48">
        <f t="shared" si="5"/>
        <v>0.62037037037037035</v>
      </c>
      <c r="U43" s="48">
        <f t="shared" si="10"/>
        <v>0.19444444444444445</v>
      </c>
      <c r="V43" s="48">
        <f t="shared" si="6"/>
        <v>0.1851851851851852</v>
      </c>
      <c r="W43" s="48">
        <f t="shared" si="8"/>
        <v>1</v>
      </c>
      <c r="X43" s="14">
        <f>MATCH(C43,'Weights and Seed Amounts'!C$2:C$400,0)</f>
        <v>42</v>
      </c>
      <c r="Y43" s="58">
        <f>INDEX('Weights and Seed Amounts'!D$2:D$400,$X43)</f>
        <v>1.8200000000000001E-2</v>
      </c>
      <c r="Z43" s="34">
        <f>INDEX(Xtradata!U$2:U$397,$D43)</f>
        <v>0</v>
      </c>
    </row>
    <row r="44" spans="1:26" x14ac:dyDescent="0.25">
      <c r="A44" s="2" t="s">
        <v>43</v>
      </c>
      <c r="B44" s="2" t="s">
        <v>72</v>
      </c>
      <c r="C44" s="2" t="s">
        <v>73</v>
      </c>
      <c r="D44" s="32">
        <f>MATCH(Xtradata!C44,Xtradata!C$2:C439,0)</f>
        <v>43</v>
      </c>
      <c r="E44" s="33">
        <f>INDEX(Xtradata!G$2:G$397,$D44)</f>
        <v>44340</v>
      </c>
      <c r="F44" s="33">
        <f>INDEX(Xtradata!H$2:H$397,$D44)</f>
        <v>44431</v>
      </c>
      <c r="G44" s="2">
        <v>100</v>
      </c>
      <c r="H44" s="2">
        <v>0</v>
      </c>
      <c r="I44" s="2">
        <v>0</v>
      </c>
      <c r="J44" s="33" t="str">
        <f>INDEX(Xtradata!J$2:J$397,$D44)</f>
        <v>N/A</v>
      </c>
      <c r="K44" s="34" t="str">
        <f>IF(J44="TZ",INDEX(Xtradata!P$2:P$397,$D44),IF(J44="clip",INDEX(Xtradata!K$2:K$397,$D44),""))</f>
        <v/>
      </c>
      <c r="L44" s="34" t="str">
        <f>IF($J44="TZ",INDEX(Xtradata!Q$2:Q$397,$D44),IF($J44="clip",INDEX(Xtradata!L$2:L$397,$D44),""))</f>
        <v/>
      </c>
      <c r="M44" s="34" t="str">
        <f>IF($J44="TZ",INDEX(Xtradata!R$2:R$397,$D44),IF($J44="clip",INDEX(Xtradata!M$2:M$397,$D44),""))</f>
        <v/>
      </c>
      <c r="N44" s="2">
        <v>100</v>
      </c>
      <c r="O44" s="34">
        <f>INDEX(Xtradata!T$2:T$397,$D44)</f>
        <v>0</v>
      </c>
      <c r="P44" s="38">
        <f t="shared" si="2"/>
        <v>0</v>
      </c>
      <c r="Q44" s="48">
        <f t="shared" si="3"/>
        <v>0</v>
      </c>
      <c r="R44" s="48">
        <f t="shared" si="4"/>
        <v>0</v>
      </c>
      <c r="S44" s="48">
        <f t="shared" si="9"/>
        <v>0</v>
      </c>
      <c r="T44" s="48">
        <f t="shared" si="5"/>
        <v>0</v>
      </c>
      <c r="U44" s="48">
        <f t="shared" si="10"/>
        <v>1</v>
      </c>
      <c r="V44" s="48">
        <f t="shared" si="6"/>
        <v>0</v>
      </c>
      <c r="W44" s="48">
        <f t="shared" si="8"/>
        <v>1</v>
      </c>
      <c r="X44" s="14">
        <f>MATCH(C44,'Weights and Seed Amounts'!C$2:C$400,0)</f>
        <v>43</v>
      </c>
      <c r="Y44" s="58">
        <f>INDEX('Weights and Seed Amounts'!D$2:D$400,$X44)</f>
        <v>1.5599999999999999E-2</v>
      </c>
      <c r="Z44" s="34">
        <f>INDEX(Xtradata!U$2:U$397,$D44)</f>
        <v>0</v>
      </c>
    </row>
    <row r="45" spans="1:26" x14ac:dyDescent="0.25">
      <c r="A45" s="2" t="s">
        <v>74</v>
      </c>
      <c r="B45" s="2" t="s">
        <v>75</v>
      </c>
      <c r="C45" s="2" t="s">
        <v>76</v>
      </c>
      <c r="D45" s="32">
        <f>MATCH(Xtradata!C45,Xtradata!C$2:C440,0)</f>
        <v>44</v>
      </c>
      <c r="E45" s="33">
        <f>INDEX(Xtradata!G$2:G$397,$D45)</f>
        <v>44336</v>
      </c>
      <c r="F45" s="33">
        <f>INDEX(Xtradata!H$2:H$397,$D45)</f>
        <v>44390</v>
      </c>
      <c r="G45" s="2">
        <v>100</v>
      </c>
      <c r="H45" s="2">
        <v>0</v>
      </c>
      <c r="I45" s="2">
        <v>0</v>
      </c>
      <c r="J45" s="33" t="str">
        <f>INDEX(Xtradata!J$2:J$397,$D45)</f>
        <v>TZ</v>
      </c>
      <c r="K45" s="34">
        <f>IF(J45="TZ",INDEX(Xtradata!P$2:P$397,$D45),IF(J45="clip",INDEX(Xtradata!K$2:K$397,$D45),""))</f>
        <v>100</v>
      </c>
      <c r="L45" s="34">
        <f>IF($J45="TZ",INDEX(Xtradata!Q$2:Q$397,$D45),IF($J45="clip",INDEX(Xtradata!L$2:L$397,$D45),""))</f>
        <v>77</v>
      </c>
      <c r="M45" s="34">
        <f>IF($J45="TZ",INDEX(Xtradata!R$2:R$397,$D45),IF($J45="clip",INDEX(Xtradata!M$2:M$397,$D45),""))</f>
        <v>23</v>
      </c>
      <c r="N45" s="2">
        <v>0</v>
      </c>
      <c r="O45" s="34">
        <f>INDEX(Xtradata!T$2:T$397,$D45)</f>
        <v>0</v>
      </c>
      <c r="P45" s="38">
        <f t="shared" si="2"/>
        <v>0</v>
      </c>
      <c r="Q45" s="48">
        <f t="shared" si="3"/>
        <v>0</v>
      </c>
      <c r="R45" s="48">
        <f t="shared" si="4"/>
        <v>0</v>
      </c>
      <c r="S45" s="48">
        <f t="shared" si="9"/>
        <v>0.77</v>
      </c>
      <c r="T45" s="48">
        <f t="shared" si="5"/>
        <v>0.77</v>
      </c>
      <c r="U45" s="48">
        <f t="shared" si="10"/>
        <v>0</v>
      </c>
      <c r="V45" s="48">
        <f t="shared" si="6"/>
        <v>0.22999999999999998</v>
      </c>
      <c r="W45" s="48">
        <f t="shared" si="8"/>
        <v>1</v>
      </c>
      <c r="X45" s="14">
        <f>MATCH(C45,'Weights and Seed Amounts'!C$2:C$400,0)</f>
        <v>44</v>
      </c>
      <c r="Y45" s="58">
        <f>INDEX('Weights and Seed Amounts'!D$2:D$400,$X45)</f>
        <v>1.3983000000000001</v>
      </c>
      <c r="Z45" s="34">
        <f>INDEX(Xtradata!U$2:U$397,$D45)</f>
        <v>0</v>
      </c>
    </row>
    <row r="46" spans="1:26" x14ac:dyDescent="0.25">
      <c r="A46" s="2" t="s">
        <v>77</v>
      </c>
      <c r="B46" s="2" t="s">
        <v>78</v>
      </c>
      <c r="C46" s="2" t="s">
        <v>79</v>
      </c>
      <c r="D46" s="32">
        <f>MATCH(Xtradata!C46,Xtradata!C$2:C441,0)</f>
        <v>45</v>
      </c>
      <c r="E46" s="33">
        <f>INDEX(Xtradata!G$2:G$397,$D46)</f>
        <v>44336</v>
      </c>
      <c r="F46" s="33">
        <f>INDEX(Xtradata!H$2:H$397,$D46)</f>
        <v>44348</v>
      </c>
      <c r="G46" s="2">
        <v>100</v>
      </c>
      <c r="H46" s="2">
        <v>98</v>
      </c>
      <c r="I46" s="2">
        <v>0</v>
      </c>
      <c r="J46" s="33" t="str">
        <f>INDEX(Xtradata!J$2:J$397,$D46)</f>
        <v>N/A</v>
      </c>
      <c r="K46" s="34" t="str">
        <f>IF(J46="TZ",INDEX(Xtradata!P$2:P$397,$D46),IF(J46="clip",INDEX(Xtradata!K$2:K$397,$D46),""))</f>
        <v/>
      </c>
      <c r="L46" s="34" t="str">
        <f>IF($J46="TZ",INDEX(Xtradata!Q$2:Q$397,$D46),IF($J46="clip",INDEX(Xtradata!L$2:L$397,$D46),""))</f>
        <v/>
      </c>
      <c r="M46" s="34" t="str">
        <f>IF($J46="TZ",INDEX(Xtradata!R$2:R$397,$D46),IF($J46="clip",INDEX(Xtradata!M$2:M$397,$D46),""))</f>
        <v/>
      </c>
      <c r="N46" s="2">
        <v>2</v>
      </c>
      <c r="O46" s="34">
        <f>INDEX(Xtradata!T$2:T$397,$D46)</f>
        <v>0</v>
      </c>
      <c r="P46" s="38">
        <f t="shared" si="2"/>
        <v>0</v>
      </c>
      <c r="Q46" s="48">
        <f t="shared" si="3"/>
        <v>0.98</v>
      </c>
      <c r="R46" s="48">
        <f t="shared" si="4"/>
        <v>0.98</v>
      </c>
      <c r="S46" s="48">
        <f t="shared" si="9"/>
        <v>0</v>
      </c>
      <c r="T46" s="48">
        <f t="shared" si="5"/>
        <v>0.98</v>
      </c>
      <c r="U46" s="48">
        <f t="shared" si="10"/>
        <v>0.02</v>
      </c>
      <c r="V46" s="48">
        <f t="shared" si="6"/>
        <v>1.7347234759768071E-17</v>
      </c>
      <c r="W46" s="48">
        <f t="shared" si="8"/>
        <v>1</v>
      </c>
      <c r="X46" s="14">
        <f>MATCH(C46,'Weights and Seed Amounts'!C$2:C$400,0)</f>
        <v>45</v>
      </c>
      <c r="Y46" s="58">
        <f>INDEX('Weights and Seed Amounts'!D$2:D$400,$X46)</f>
        <v>0.44209999999999999</v>
      </c>
      <c r="Z46" s="34">
        <f>INDEX(Xtradata!U$2:U$397,$D46)</f>
        <v>0</v>
      </c>
    </row>
    <row r="47" spans="1:26" x14ac:dyDescent="0.25">
      <c r="A47" s="2" t="s">
        <v>77</v>
      </c>
      <c r="B47" s="2" t="s">
        <v>78</v>
      </c>
      <c r="C47" s="2" t="s">
        <v>80</v>
      </c>
      <c r="D47" s="32">
        <f>MATCH(Xtradata!C47,Xtradata!C$2:C442,0)</f>
        <v>46</v>
      </c>
      <c r="E47" s="33">
        <f>INDEX(Xtradata!G$2:G$397,$D47)</f>
        <v>44336</v>
      </c>
      <c r="F47" s="33">
        <f>INDEX(Xtradata!H$2:H$397,$D47)</f>
        <v>44351</v>
      </c>
      <c r="G47" s="2">
        <v>112</v>
      </c>
      <c r="H47" s="2">
        <v>109</v>
      </c>
      <c r="I47" s="2">
        <v>3</v>
      </c>
      <c r="J47" s="33" t="str">
        <f>INDEX(Xtradata!J$2:J$397,$D47)</f>
        <v>N/A</v>
      </c>
      <c r="K47" s="34" t="str">
        <f>IF(J47="TZ",INDEX(Xtradata!P$2:P$397,$D47),IF(J47="clip",INDEX(Xtradata!K$2:K$397,$D47),""))</f>
        <v/>
      </c>
      <c r="L47" s="34" t="str">
        <f>IF($J47="TZ",INDEX(Xtradata!Q$2:Q$397,$D47),IF($J47="clip",INDEX(Xtradata!L$2:L$397,$D47),""))</f>
        <v/>
      </c>
      <c r="M47" s="34" t="str">
        <f>IF($J47="TZ",INDEX(Xtradata!R$2:R$397,$D47),IF($J47="clip",INDEX(Xtradata!M$2:M$397,$D47),""))</f>
        <v/>
      </c>
      <c r="N47" s="2">
        <v>0</v>
      </c>
      <c r="O47" s="34">
        <f>INDEX(Xtradata!T$2:T$397,$D47)</f>
        <v>0</v>
      </c>
      <c r="P47" s="38">
        <f t="shared" si="2"/>
        <v>0</v>
      </c>
      <c r="Q47" s="48">
        <f t="shared" si="3"/>
        <v>0.9732142857142857</v>
      </c>
      <c r="R47" s="48">
        <f t="shared" si="4"/>
        <v>1</v>
      </c>
      <c r="S47" s="48">
        <f t="shared" si="9"/>
        <v>0</v>
      </c>
      <c r="T47" s="48">
        <f t="shared" si="5"/>
        <v>1</v>
      </c>
      <c r="U47" s="48">
        <f t="shared" si="10"/>
        <v>0</v>
      </c>
      <c r="V47" s="48">
        <f t="shared" si="6"/>
        <v>0</v>
      </c>
      <c r="W47" s="48">
        <f t="shared" si="8"/>
        <v>1</v>
      </c>
      <c r="X47" s="14">
        <f>MATCH(C47,'Weights and Seed Amounts'!C$2:C$400,0)</f>
        <v>46</v>
      </c>
      <c r="Y47" s="58">
        <f>INDEX('Weights and Seed Amounts'!D$2:D$400,$X47)</f>
        <v>0.1734</v>
      </c>
      <c r="Z47" s="34">
        <f>INDEX(Xtradata!U$2:U$397,$D47)</f>
        <v>0</v>
      </c>
    </row>
    <row r="48" spans="1:26" x14ac:dyDescent="0.25">
      <c r="A48" s="2" t="s">
        <v>81</v>
      </c>
      <c r="B48" s="2" t="s">
        <v>82</v>
      </c>
      <c r="C48" s="2" t="s">
        <v>83</v>
      </c>
      <c r="D48" s="32">
        <f>MATCH(Xtradata!C48,Xtradata!C$2:C443,0)</f>
        <v>47</v>
      </c>
      <c r="E48" s="33">
        <f>INDEX(Xtradata!G$2:G$397,$D48)</f>
        <v>44336</v>
      </c>
      <c r="F48" s="33">
        <f>INDEX(Xtradata!H$2:H$397,$D48)</f>
        <v>44427</v>
      </c>
      <c r="G48" s="41">
        <f>112-12</f>
        <v>100</v>
      </c>
      <c r="H48" s="2">
        <v>10</v>
      </c>
      <c r="I48" s="2">
        <v>0</v>
      </c>
      <c r="J48" s="33" t="str">
        <f>INDEX(Xtradata!J$2:J$397,$D48)</f>
        <v>TZ</v>
      </c>
      <c r="K48" s="34">
        <f>IF(J48="TZ",INDEX(Xtradata!P$2:P$397,$D48),IF(J48="clip",INDEX(Xtradata!K$2:K$397,$D48),""))</f>
        <v>45</v>
      </c>
      <c r="L48" s="34">
        <f>IF($J48="TZ",INDEX(Xtradata!Q$2:Q$397,$D48),IF($J48="clip",INDEX(Xtradata!L$2:L$397,$D48),""))</f>
        <v>5</v>
      </c>
      <c r="M48" s="34">
        <f>IF($J48="TZ",INDEX(Xtradata!R$2:R$397,$D48),IF($J48="clip",INDEX(Xtradata!M$2:M$397,$D48),""))</f>
        <v>40</v>
      </c>
      <c r="N48" s="2">
        <v>45</v>
      </c>
      <c r="O48" s="34">
        <f>INDEX(Xtradata!T$2:T$397,$D48)</f>
        <v>0</v>
      </c>
      <c r="P48" s="38">
        <f t="shared" si="2"/>
        <v>0</v>
      </c>
      <c r="Q48" s="48">
        <f t="shared" si="3"/>
        <v>0.1</v>
      </c>
      <c r="R48" s="48">
        <f t="shared" si="4"/>
        <v>0.1</v>
      </c>
      <c r="S48" s="48">
        <f t="shared" si="9"/>
        <v>0.05</v>
      </c>
      <c r="T48" s="48">
        <f t="shared" si="5"/>
        <v>0.15</v>
      </c>
      <c r="U48" s="48">
        <f t="shared" si="10"/>
        <v>0.45</v>
      </c>
      <c r="V48" s="48">
        <f t="shared" si="6"/>
        <v>0.39999999999999997</v>
      </c>
      <c r="W48" s="48">
        <f t="shared" si="8"/>
        <v>1</v>
      </c>
      <c r="X48" s="14">
        <f>MATCH(C48,'Weights and Seed Amounts'!C$2:C$400,0)</f>
        <v>47</v>
      </c>
      <c r="Y48" s="58">
        <f>INDEX('Weights and Seed Amounts'!D$2:D$400,$X48)</f>
        <v>0.13619999999999999</v>
      </c>
      <c r="Z48" s="34">
        <f>INDEX(Xtradata!U$2:U$397,$D48)</f>
        <v>0</v>
      </c>
    </row>
    <row r="49" spans="1:26" x14ac:dyDescent="0.25">
      <c r="A49" s="2" t="s">
        <v>84</v>
      </c>
      <c r="B49" s="2" t="s">
        <v>85</v>
      </c>
      <c r="C49" s="2" t="s">
        <v>86</v>
      </c>
      <c r="D49" s="32">
        <f>MATCH(Xtradata!C49,Xtradata!C$2:C444,0)</f>
        <v>48</v>
      </c>
      <c r="E49" s="33">
        <f>INDEX(Xtradata!G$2:G$397,$D49)</f>
        <v>44336</v>
      </c>
      <c r="F49" s="33">
        <f>INDEX(Xtradata!H$2:H$397,$D49)</f>
        <v>44383</v>
      </c>
      <c r="G49" s="2">
        <v>96</v>
      </c>
      <c r="H49" s="2">
        <v>19</v>
      </c>
      <c r="I49" s="2">
        <v>0</v>
      </c>
      <c r="J49" s="33" t="str">
        <f>INDEX(Xtradata!J$2:J$397,$D49)</f>
        <v>TZ</v>
      </c>
      <c r="K49" s="34">
        <f>IF(J49="TZ",INDEX(Xtradata!P$2:P$397,$D49),IF(J49="clip",INDEX(Xtradata!K$2:K$397,$D49),""))</f>
        <v>77</v>
      </c>
      <c r="L49" s="34">
        <f>IF($J49="TZ",INDEX(Xtradata!Q$2:Q$397,$D49),IF($J49="clip",INDEX(Xtradata!L$2:L$397,$D49),""))</f>
        <v>28</v>
      </c>
      <c r="M49" s="34">
        <f>IF($J49="TZ",INDEX(Xtradata!R$2:R$397,$D49),IF($J49="clip",INDEX(Xtradata!M$2:M$397,$D49),""))</f>
        <v>49</v>
      </c>
      <c r="N49" s="2">
        <v>0</v>
      </c>
      <c r="O49" s="34">
        <f>INDEX(Xtradata!T$2:T$397,$D49)</f>
        <v>0</v>
      </c>
      <c r="P49" s="38">
        <f t="shared" si="2"/>
        <v>0</v>
      </c>
      <c r="Q49" s="48">
        <f t="shared" si="3"/>
        <v>0.19791666666666666</v>
      </c>
      <c r="R49" s="48">
        <f t="shared" si="4"/>
        <v>0.19791666666666666</v>
      </c>
      <c r="S49" s="48">
        <f t="shared" si="9"/>
        <v>0.29166666666666669</v>
      </c>
      <c r="T49" s="48">
        <f t="shared" si="5"/>
        <v>0.48958333333333331</v>
      </c>
      <c r="U49" s="48">
        <f t="shared" si="10"/>
        <v>0</v>
      </c>
      <c r="V49" s="48">
        <f t="shared" si="6"/>
        <v>0.51041666666666674</v>
      </c>
      <c r="W49" s="48">
        <f t="shared" si="8"/>
        <v>1</v>
      </c>
      <c r="X49" s="14">
        <f>MATCH(C49,'Weights and Seed Amounts'!C$2:C$400,0)</f>
        <v>48</v>
      </c>
      <c r="Y49" s="58">
        <f>INDEX('Weights and Seed Amounts'!D$2:D$400,$X49)</f>
        <v>1.15E-2</v>
      </c>
      <c r="Z49" s="34">
        <f>INDEX(Xtradata!U$2:U$397,$D49)</f>
        <v>0</v>
      </c>
    </row>
    <row r="50" spans="1:26" x14ac:dyDescent="0.25">
      <c r="A50" s="2" t="s">
        <v>84</v>
      </c>
      <c r="B50" s="2" t="s">
        <v>85</v>
      </c>
      <c r="C50" s="2" t="s">
        <v>189</v>
      </c>
      <c r="D50" s="32">
        <f>MATCH(Xtradata!C50,Xtradata!C$2:C445,0)</f>
        <v>49</v>
      </c>
      <c r="E50" s="33">
        <f>INDEX(Xtradata!G$2:G$397,$D50)</f>
        <v>44336</v>
      </c>
      <c r="F50" s="33">
        <f>INDEX(Xtradata!H$2:H$397,$D50)</f>
        <v>44383</v>
      </c>
      <c r="G50" s="2">
        <v>110</v>
      </c>
      <c r="H50" s="2">
        <v>17</v>
      </c>
      <c r="I50" s="2">
        <v>0</v>
      </c>
      <c r="J50" s="33" t="str">
        <f>INDEX(Xtradata!J$2:J$397,$D50)</f>
        <v>TZ</v>
      </c>
      <c r="K50" s="34">
        <f>IF(J50="TZ",INDEX(Xtradata!P$2:P$397,$D50),IF(J50="clip",INDEX(Xtradata!K$2:K$397,$D50),""))</f>
        <v>82</v>
      </c>
      <c r="L50" s="34">
        <f>IF($J50="TZ",INDEX(Xtradata!Q$2:Q$397,$D50),IF($J50="clip",INDEX(Xtradata!L$2:L$397,$D50),""))</f>
        <v>43</v>
      </c>
      <c r="M50" s="34">
        <f>IF($J50="TZ",INDEX(Xtradata!R$2:R$397,$D50),IF($J50="clip",INDEX(Xtradata!M$2:M$397,$D50),""))</f>
        <v>39</v>
      </c>
      <c r="N50" s="2">
        <v>0</v>
      </c>
      <c r="O50" s="34">
        <f>INDEX(Xtradata!T$2:T$397,$D50)</f>
        <v>11</v>
      </c>
      <c r="P50" s="38">
        <f t="shared" si="2"/>
        <v>0</v>
      </c>
      <c r="Q50" s="48">
        <f t="shared" si="3"/>
        <v>0.15454545454545454</v>
      </c>
      <c r="R50" s="48">
        <f t="shared" si="4"/>
        <v>0.15454545454545454</v>
      </c>
      <c r="S50" s="48">
        <f t="shared" si="9"/>
        <v>0.39090909090909093</v>
      </c>
      <c r="T50" s="48">
        <f t="shared" si="5"/>
        <v>0.54545454545454541</v>
      </c>
      <c r="U50" s="48">
        <f t="shared" si="10"/>
        <v>0</v>
      </c>
      <c r="V50" s="48">
        <f t="shared" si="6"/>
        <v>0.45454545454545459</v>
      </c>
      <c r="W50" s="48">
        <f t="shared" si="8"/>
        <v>1</v>
      </c>
      <c r="X50" s="14">
        <f>MATCH(C50,'Weights and Seed Amounts'!C$2:C$400,0)</f>
        <v>108</v>
      </c>
      <c r="Y50" s="58">
        <f>INDEX('Weights and Seed Amounts'!D$2:D$400,$X50)</f>
        <v>8.8999999999999999E-3</v>
      </c>
      <c r="Z50" s="34">
        <f>INDEX(Xtradata!U$2:U$397,$D50)</f>
        <v>0</v>
      </c>
    </row>
    <row r="51" spans="1:26" x14ac:dyDescent="0.25">
      <c r="A51" s="2" t="s">
        <v>88</v>
      </c>
      <c r="B51" s="2" t="s">
        <v>89</v>
      </c>
      <c r="C51" s="2" t="s">
        <v>90</v>
      </c>
      <c r="D51" s="32">
        <f>MATCH(Xtradata!C51,Xtradata!C$2:C446,0)</f>
        <v>50</v>
      </c>
      <c r="E51" s="33">
        <f>INDEX(Xtradata!G$2:G$397,$D51)</f>
        <v>44329</v>
      </c>
      <c r="F51" s="33">
        <f>INDEX(Xtradata!H$2:H$397,$D51)</f>
        <v>44368</v>
      </c>
      <c r="G51" s="2">
        <v>100</v>
      </c>
      <c r="H51" s="2">
        <v>1</v>
      </c>
      <c r="I51" s="2">
        <v>0</v>
      </c>
      <c r="J51" s="33" t="str">
        <f>INDEX(Xtradata!J$2:J$397,$D51)</f>
        <v>TZ</v>
      </c>
      <c r="K51" s="34">
        <f>IF(J51="TZ",INDEX(Xtradata!P$2:P$397,$D51),IF(J51="clip",INDEX(Xtradata!K$2:K$397,$D51),""))</f>
        <v>23</v>
      </c>
      <c r="L51" s="34">
        <f>IF($J51="TZ",INDEX(Xtradata!Q$2:Q$397,$D51),IF($J51="clip",INDEX(Xtradata!L$2:L$397,$D51),""))</f>
        <v>8</v>
      </c>
      <c r="M51" s="34">
        <f>IF($J51="TZ",INDEX(Xtradata!R$2:R$397,$D51),IF($J51="clip",INDEX(Xtradata!M$2:M$397,$D51),""))</f>
        <v>15</v>
      </c>
      <c r="N51" s="2">
        <v>76</v>
      </c>
      <c r="O51" s="34">
        <f>INDEX(Xtradata!T$2:T$397,$D51)</f>
        <v>0</v>
      </c>
      <c r="P51" s="38">
        <f t="shared" si="2"/>
        <v>0</v>
      </c>
      <c r="Q51" s="48">
        <f t="shared" si="3"/>
        <v>0.01</v>
      </c>
      <c r="R51" s="48">
        <f t="shared" si="4"/>
        <v>0.01</v>
      </c>
      <c r="S51" s="48">
        <f t="shared" si="9"/>
        <v>0.08</v>
      </c>
      <c r="T51" s="48">
        <f t="shared" si="5"/>
        <v>0.09</v>
      </c>
      <c r="U51" s="48">
        <f t="shared" si="10"/>
        <v>0.76</v>
      </c>
      <c r="V51" s="48">
        <f t="shared" si="6"/>
        <v>0.15000000000000002</v>
      </c>
      <c r="W51" s="48">
        <f t="shared" si="8"/>
        <v>1</v>
      </c>
      <c r="X51" s="14">
        <f>MATCH(C51,'Weights and Seed Amounts'!C$2:C$400,0)</f>
        <v>50</v>
      </c>
      <c r="Y51" s="58">
        <f>INDEX('Weights and Seed Amounts'!D$2:D$400,$X51)</f>
        <v>1.0200000000000001E-2</v>
      </c>
      <c r="Z51" s="34">
        <f>INDEX(Xtradata!U$2:U$397,$D51)</f>
        <v>0</v>
      </c>
    </row>
    <row r="52" spans="1:26" x14ac:dyDescent="0.25">
      <c r="A52" s="2" t="s">
        <v>88</v>
      </c>
      <c r="B52" s="2" t="s">
        <v>89</v>
      </c>
      <c r="C52" s="2" t="s">
        <v>91</v>
      </c>
      <c r="D52" s="32">
        <f>MATCH(Xtradata!C52,Xtradata!C$2:C447,0)</f>
        <v>51</v>
      </c>
      <c r="E52" s="33">
        <f>INDEX(Xtradata!G$2:G$397,$D52)</f>
        <v>44329</v>
      </c>
      <c r="F52" s="33">
        <f>INDEX(Xtradata!H$2:H$397,$D52)</f>
        <v>44368</v>
      </c>
      <c r="G52" s="2">
        <v>100</v>
      </c>
      <c r="H52" s="2">
        <v>0</v>
      </c>
      <c r="I52" s="2">
        <v>0</v>
      </c>
      <c r="J52" s="33" t="str">
        <f>INDEX(Xtradata!J$2:J$397,$D52)</f>
        <v>TZ</v>
      </c>
      <c r="K52" s="34">
        <f>IF(J52="TZ",INDEX(Xtradata!P$2:P$397,$D52),IF(J52="clip",INDEX(Xtradata!K$2:K$397,$D52),""))</f>
        <v>23</v>
      </c>
      <c r="L52" s="34">
        <f>IF($J52="TZ",INDEX(Xtradata!Q$2:Q$397,$D52),IF($J52="clip",INDEX(Xtradata!L$2:L$397,$D52),""))</f>
        <v>5</v>
      </c>
      <c r="M52" s="34">
        <f>IF($J52="TZ",INDEX(Xtradata!R$2:R$397,$D52),IF($J52="clip",INDEX(Xtradata!M$2:M$397,$D52),""))</f>
        <v>18</v>
      </c>
      <c r="N52" s="2">
        <v>77</v>
      </c>
      <c r="O52" s="34">
        <f>INDEX(Xtradata!T$2:T$397,$D52)</f>
        <v>0</v>
      </c>
      <c r="P52" s="38">
        <f t="shared" si="2"/>
        <v>0</v>
      </c>
      <c r="Q52" s="48">
        <f t="shared" si="3"/>
        <v>0</v>
      </c>
      <c r="R52" s="48">
        <f t="shared" si="4"/>
        <v>0</v>
      </c>
      <c r="S52" s="48">
        <f t="shared" si="9"/>
        <v>0.05</v>
      </c>
      <c r="T52" s="48">
        <f t="shared" si="5"/>
        <v>0.05</v>
      </c>
      <c r="U52" s="48">
        <f t="shared" si="10"/>
        <v>0.77</v>
      </c>
      <c r="V52" s="48">
        <f t="shared" si="6"/>
        <v>0.17999999999999994</v>
      </c>
      <c r="W52" s="48">
        <f t="shared" si="8"/>
        <v>1</v>
      </c>
      <c r="X52" s="14">
        <f>MATCH(C52,'Weights and Seed Amounts'!C$2:C$400,0)</f>
        <v>51</v>
      </c>
      <c r="Y52" s="58">
        <f>INDEX('Weights and Seed Amounts'!D$2:D$400,$X52)</f>
        <v>9.1999999999999998E-3</v>
      </c>
      <c r="Z52" s="34">
        <f>INDEX(Xtradata!U$2:U$397,$D52)</f>
        <v>0</v>
      </c>
    </row>
    <row r="53" spans="1:26" x14ac:dyDescent="0.25">
      <c r="A53" s="2" t="s">
        <v>88</v>
      </c>
      <c r="B53" s="2" t="s">
        <v>89</v>
      </c>
      <c r="C53" s="2" t="s">
        <v>92</v>
      </c>
      <c r="D53" s="32">
        <f>MATCH(Xtradata!C53,Xtradata!C$2:C448,0)</f>
        <v>52</v>
      </c>
      <c r="E53" s="33">
        <f>INDEX(Xtradata!G$2:G$397,$D53)</f>
        <v>44328</v>
      </c>
      <c r="F53" s="33">
        <f>INDEX(Xtradata!H$2:H$397,$D53)</f>
        <v>44368</v>
      </c>
      <c r="G53" s="2">
        <v>100</v>
      </c>
      <c r="H53" s="2">
        <v>0</v>
      </c>
      <c r="I53" s="2">
        <v>0</v>
      </c>
      <c r="J53" s="33" t="str">
        <f>INDEX(Xtradata!J$2:J$397,$D53)</f>
        <v>TZ</v>
      </c>
      <c r="K53" s="34">
        <f>IF(J53="TZ",INDEX(Xtradata!P$2:P$397,$D53),IF(J53="clip",INDEX(Xtradata!K$2:K$397,$D53),""))</f>
        <v>35</v>
      </c>
      <c r="L53" s="34">
        <f>IF($J53="TZ",INDEX(Xtradata!Q$2:Q$397,$D53),IF($J53="clip",INDEX(Xtradata!L$2:L$397,$D53),""))</f>
        <v>17</v>
      </c>
      <c r="M53" s="34">
        <f>IF($J53="TZ",INDEX(Xtradata!R$2:R$397,$D53),IF($J53="clip",INDEX(Xtradata!M$2:M$397,$D53),""))</f>
        <v>18</v>
      </c>
      <c r="N53" s="2">
        <v>65</v>
      </c>
      <c r="O53" s="34">
        <f>INDEX(Xtradata!T$2:T$397,$D53)</f>
        <v>0</v>
      </c>
      <c r="P53" s="38">
        <f t="shared" si="2"/>
        <v>0</v>
      </c>
      <c r="Q53" s="48">
        <f t="shared" si="3"/>
        <v>0</v>
      </c>
      <c r="R53" s="48">
        <f t="shared" si="4"/>
        <v>0</v>
      </c>
      <c r="S53" s="48">
        <f t="shared" si="9"/>
        <v>0.17</v>
      </c>
      <c r="T53" s="48">
        <f t="shared" si="5"/>
        <v>0.17</v>
      </c>
      <c r="U53" s="48">
        <f t="shared" si="10"/>
        <v>0.65</v>
      </c>
      <c r="V53" s="48">
        <f t="shared" si="6"/>
        <v>0.17999999999999994</v>
      </c>
      <c r="W53" s="48">
        <f t="shared" si="8"/>
        <v>1</v>
      </c>
      <c r="X53" s="14">
        <f>MATCH(C53,'Weights and Seed Amounts'!C$2:C$400,0)</f>
        <v>52</v>
      </c>
      <c r="Y53" s="58">
        <f>INDEX('Weights and Seed Amounts'!D$2:D$400,$X53)</f>
        <v>3.6299999999999999E-2</v>
      </c>
      <c r="Z53" s="34">
        <f>INDEX(Xtradata!U$2:U$397,$D53)</f>
        <v>0</v>
      </c>
    </row>
    <row r="54" spans="1:26" x14ac:dyDescent="0.25">
      <c r="A54" s="2" t="s">
        <v>88</v>
      </c>
      <c r="B54" s="2" t="s">
        <v>89</v>
      </c>
      <c r="C54" s="2" t="s">
        <v>93</v>
      </c>
      <c r="D54" s="32">
        <f>MATCH(Xtradata!C54,Xtradata!C$2:C449,0)</f>
        <v>53</v>
      </c>
      <c r="E54" s="33">
        <f>INDEX(Xtradata!G$2:G$397,$D54)</f>
        <v>44328</v>
      </c>
      <c r="F54" s="33">
        <f>INDEX(Xtradata!H$2:H$397,$D54)</f>
        <v>44368</v>
      </c>
      <c r="G54" s="2">
        <v>100</v>
      </c>
      <c r="H54" s="2">
        <v>0</v>
      </c>
      <c r="I54" s="2">
        <v>0</v>
      </c>
      <c r="J54" s="33" t="str">
        <f>INDEX(Xtradata!J$2:J$397,$D54)</f>
        <v>TZ</v>
      </c>
      <c r="K54" s="34">
        <f>IF(J54="TZ",INDEX(Xtradata!P$2:P$397,$D54),IF(J54="clip",INDEX(Xtradata!K$2:K$397,$D54),""))</f>
        <v>25</v>
      </c>
      <c r="L54" s="34">
        <f>IF($J54="TZ",INDEX(Xtradata!Q$2:Q$397,$D54),IF($J54="clip",INDEX(Xtradata!L$2:L$397,$D54),""))</f>
        <v>14</v>
      </c>
      <c r="M54" s="34">
        <f>IF($J54="TZ",INDEX(Xtradata!R$2:R$397,$D54),IF($J54="clip",INDEX(Xtradata!M$2:M$397,$D54),""))</f>
        <v>11</v>
      </c>
      <c r="N54" s="2">
        <v>75</v>
      </c>
      <c r="O54" s="34">
        <f>INDEX(Xtradata!T$2:T$397,$D54)</f>
        <v>0</v>
      </c>
      <c r="P54" s="38">
        <f t="shared" si="2"/>
        <v>0</v>
      </c>
      <c r="Q54" s="48">
        <f t="shared" si="3"/>
        <v>0</v>
      </c>
      <c r="R54" s="48">
        <f t="shared" si="4"/>
        <v>0</v>
      </c>
      <c r="S54" s="48">
        <f t="shared" si="9"/>
        <v>0.14000000000000001</v>
      </c>
      <c r="T54" s="48">
        <f t="shared" si="5"/>
        <v>0.14000000000000001</v>
      </c>
      <c r="U54" s="48">
        <f t="shared" si="10"/>
        <v>0.75</v>
      </c>
      <c r="V54" s="48">
        <f t="shared" si="6"/>
        <v>0.10999999999999999</v>
      </c>
      <c r="W54" s="48">
        <f t="shared" si="8"/>
        <v>1</v>
      </c>
      <c r="X54" s="14">
        <f>MATCH(C54,'Weights and Seed Amounts'!C$2:C$400,0)</f>
        <v>53</v>
      </c>
      <c r="Y54" s="58">
        <f>INDEX('Weights and Seed Amounts'!D$2:D$400,$X54)</f>
        <v>4.2299999999999997E-2</v>
      </c>
      <c r="Z54" s="34">
        <f>INDEX(Xtradata!U$2:U$397,$D54)</f>
        <v>0</v>
      </c>
    </row>
    <row r="55" spans="1:26" x14ac:dyDescent="0.25">
      <c r="A55" s="2" t="s">
        <v>88</v>
      </c>
      <c r="B55" s="2" t="s">
        <v>89</v>
      </c>
      <c r="C55" s="2" t="s">
        <v>94</v>
      </c>
      <c r="D55" s="32">
        <f>MATCH(Xtradata!C55,Xtradata!C$2:C450,0)</f>
        <v>54</v>
      </c>
      <c r="E55" s="33">
        <f>INDEX(Xtradata!G$2:G$397,$D55)</f>
        <v>44328</v>
      </c>
      <c r="F55" s="33">
        <f>INDEX(Xtradata!H$2:H$397,$D55)</f>
        <v>44368</v>
      </c>
      <c r="G55" s="2">
        <v>100</v>
      </c>
      <c r="H55" s="2">
        <v>1</v>
      </c>
      <c r="I55" s="2">
        <v>0</v>
      </c>
      <c r="J55" s="33" t="str">
        <f>INDEX(Xtradata!J$2:J$397,$D55)</f>
        <v>TZ</v>
      </c>
      <c r="K55" s="34">
        <f>IF(J55="TZ",INDEX(Xtradata!P$2:P$397,$D55),IF(J55="clip",INDEX(Xtradata!K$2:K$397,$D55),""))</f>
        <v>19</v>
      </c>
      <c r="L55" s="34">
        <f>IF($J55="TZ",INDEX(Xtradata!Q$2:Q$397,$D55),IF($J55="clip",INDEX(Xtradata!L$2:L$397,$D55),""))</f>
        <v>11</v>
      </c>
      <c r="M55" s="34">
        <f>IF($J55="TZ",INDEX(Xtradata!R$2:R$397,$D55),IF($J55="clip",INDEX(Xtradata!M$2:M$397,$D55),""))</f>
        <v>8</v>
      </c>
      <c r="N55" s="2">
        <v>80</v>
      </c>
      <c r="O55" s="34">
        <f>INDEX(Xtradata!T$2:T$397,$D55)</f>
        <v>0</v>
      </c>
      <c r="P55" s="38">
        <f t="shared" si="2"/>
        <v>0</v>
      </c>
      <c r="Q55" s="48">
        <f t="shared" si="3"/>
        <v>0.01</v>
      </c>
      <c r="R55" s="48">
        <f t="shared" si="4"/>
        <v>0.01</v>
      </c>
      <c r="S55" s="48">
        <f t="shared" si="9"/>
        <v>0.11</v>
      </c>
      <c r="T55" s="48">
        <f t="shared" si="5"/>
        <v>0.12</v>
      </c>
      <c r="U55" s="48">
        <f t="shared" si="10"/>
        <v>0.8</v>
      </c>
      <c r="V55" s="48">
        <f t="shared" si="6"/>
        <v>7.999999999999996E-2</v>
      </c>
      <c r="W55" s="48">
        <f t="shared" si="8"/>
        <v>1</v>
      </c>
      <c r="X55" s="14">
        <f>MATCH(C55,'Weights and Seed Amounts'!C$2:C$400,0)</f>
        <v>54</v>
      </c>
      <c r="Y55" s="58">
        <f>INDEX('Weights and Seed Amounts'!D$2:D$400,$X55)</f>
        <v>5.1499999999999997E-2</v>
      </c>
      <c r="Z55" s="34">
        <f>INDEX(Xtradata!U$2:U$397,$D55)</f>
        <v>0</v>
      </c>
    </row>
    <row r="56" spans="1:26" x14ac:dyDescent="0.25">
      <c r="A56" s="2" t="s">
        <v>88</v>
      </c>
      <c r="B56" s="2" t="s">
        <v>89</v>
      </c>
      <c r="C56" s="2" t="s">
        <v>95</v>
      </c>
      <c r="D56" s="32">
        <f>MATCH(Xtradata!C56,Xtradata!C$2:C451,0)</f>
        <v>55</v>
      </c>
      <c r="E56" s="33">
        <f>INDEX(Xtradata!G$2:G$397,$D56)</f>
        <v>44328</v>
      </c>
      <c r="F56" s="33">
        <f>INDEX(Xtradata!H$2:H$397,$D56)</f>
        <v>44368</v>
      </c>
      <c r="G56" s="2">
        <v>100</v>
      </c>
      <c r="H56" s="2">
        <v>0</v>
      </c>
      <c r="I56" s="2">
        <v>0</v>
      </c>
      <c r="J56" s="33" t="str">
        <f>INDEX(Xtradata!J$2:J$397,$D56)</f>
        <v>TZ</v>
      </c>
      <c r="K56" s="34">
        <f>IF(J56="TZ",INDEX(Xtradata!P$2:P$397,$D56),IF(J56="clip",INDEX(Xtradata!K$2:K$397,$D56),""))</f>
        <v>26</v>
      </c>
      <c r="L56" s="34">
        <f>IF($J56="TZ",INDEX(Xtradata!Q$2:Q$397,$D56),IF($J56="clip",INDEX(Xtradata!L$2:L$397,$D56),""))</f>
        <v>9</v>
      </c>
      <c r="M56" s="34">
        <f>IF($J56="TZ",INDEX(Xtradata!R$2:R$397,$D56),IF($J56="clip",INDEX(Xtradata!M$2:M$397,$D56),""))</f>
        <v>17</v>
      </c>
      <c r="N56" s="2">
        <v>74</v>
      </c>
      <c r="O56" s="34">
        <f>INDEX(Xtradata!T$2:T$397,$D56)</f>
        <v>0</v>
      </c>
      <c r="P56" s="38">
        <f t="shared" si="2"/>
        <v>0</v>
      </c>
      <c r="Q56" s="48">
        <f t="shared" si="3"/>
        <v>0</v>
      </c>
      <c r="R56" s="48">
        <f t="shared" si="4"/>
        <v>0</v>
      </c>
      <c r="S56" s="48">
        <f t="shared" si="9"/>
        <v>0.09</v>
      </c>
      <c r="T56" s="48">
        <f t="shared" si="5"/>
        <v>0.09</v>
      </c>
      <c r="U56" s="48">
        <f t="shared" si="10"/>
        <v>0.74</v>
      </c>
      <c r="V56" s="48">
        <f t="shared" si="6"/>
        <v>0.17000000000000004</v>
      </c>
      <c r="W56" s="48">
        <f t="shared" si="8"/>
        <v>1</v>
      </c>
      <c r="X56" s="14">
        <f>MATCH(C56,'Weights and Seed Amounts'!C$2:C$400,0)</f>
        <v>55</v>
      </c>
      <c r="Y56" s="58">
        <f>INDEX('Weights and Seed Amounts'!D$2:D$400,$X56)</f>
        <v>5.1400000000000001E-2</v>
      </c>
      <c r="Z56" s="34">
        <f>INDEX(Xtradata!U$2:U$397,$D56)</f>
        <v>0</v>
      </c>
    </row>
    <row r="57" spans="1:26" x14ac:dyDescent="0.25">
      <c r="A57" s="2" t="s">
        <v>88</v>
      </c>
      <c r="B57" s="2" t="s">
        <v>89</v>
      </c>
      <c r="C57" s="2" t="s">
        <v>96</v>
      </c>
      <c r="D57" s="32">
        <f>MATCH(Xtradata!C57,Xtradata!C$2:C452,0)</f>
        <v>56</v>
      </c>
      <c r="E57" s="33">
        <f>INDEX(Xtradata!G$2:G$397,$D57)</f>
        <v>44328</v>
      </c>
      <c r="F57" s="33">
        <f>INDEX(Xtradata!H$2:H$397,$D57)</f>
        <v>44368</v>
      </c>
      <c r="G57" s="2">
        <v>100</v>
      </c>
      <c r="H57" s="2">
        <v>0</v>
      </c>
      <c r="I57" s="2">
        <v>0</v>
      </c>
      <c r="J57" s="33" t="str">
        <f>INDEX(Xtradata!J$2:J$397,$D57)</f>
        <v>TZ</v>
      </c>
      <c r="K57" s="34">
        <f>IF(J57="TZ",INDEX(Xtradata!P$2:P$397,$D57),IF(J57="clip",INDEX(Xtradata!K$2:K$397,$D57),""))</f>
        <v>19</v>
      </c>
      <c r="L57" s="34">
        <f>IF($J57="TZ",INDEX(Xtradata!Q$2:Q$397,$D57),IF($J57="clip",INDEX(Xtradata!L$2:L$397,$D57),""))</f>
        <v>10</v>
      </c>
      <c r="M57" s="34">
        <f>IF($J57="TZ",INDEX(Xtradata!R$2:R$397,$D57),IF($J57="clip",INDEX(Xtradata!M$2:M$397,$D57),""))</f>
        <v>9</v>
      </c>
      <c r="N57" s="2">
        <v>81</v>
      </c>
      <c r="O57" s="34">
        <f>INDEX(Xtradata!T$2:T$397,$D57)</f>
        <v>0</v>
      </c>
      <c r="P57" s="38">
        <f t="shared" si="2"/>
        <v>0</v>
      </c>
      <c r="Q57" s="48">
        <f t="shared" si="3"/>
        <v>0</v>
      </c>
      <c r="R57" s="48">
        <f t="shared" si="4"/>
        <v>0</v>
      </c>
      <c r="S57" s="48">
        <f t="shared" si="9"/>
        <v>0.1</v>
      </c>
      <c r="T57" s="48">
        <f t="shared" si="5"/>
        <v>0.1</v>
      </c>
      <c r="U57" s="48">
        <f t="shared" si="10"/>
        <v>0.81</v>
      </c>
      <c r="V57" s="48">
        <f t="shared" si="6"/>
        <v>8.9999999999999969E-2</v>
      </c>
      <c r="W57" s="48">
        <f t="shared" si="8"/>
        <v>1</v>
      </c>
      <c r="X57" s="14">
        <f>MATCH(C57,'Weights and Seed Amounts'!C$2:C$400,0)</f>
        <v>56</v>
      </c>
      <c r="Y57" s="58">
        <f>INDEX('Weights and Seed Amounts'!D$2:D$400,$X57)</f>
        <v>7.6899999999999996E-2</v>
      </c>
      <c r="Z57" s="34">
        <f>INDEX(Xtradata!U$2:U$397,$D57)</f>
        <v>0</v>
      </c>
    </row>
    <row r="58" spans="1:26" x14ac:dyDescent="0.25">
      <c r="A58" s="2" t="s">
        <v>97</v>
      </c>
      <c r="B58" s="2" t="s">
        <v>98</v>
      </c>
      <c r="C58" s="2" t="s">
        <v>99</v>
      </c>
      <c r="D58" s="32">
        <f>MATCH(Xtradata!C58,Xtradata!C$2:C453,0)</f>
        <v>57</v>
      </c>
      <c r="E58" s="33">
        <f>INDEX(Xtradata!G$2:G$397,$D58)</f>
        <v>44320</v>
      </c>
      <c r="F58" s="33">
        <f>INDEX(Xtradata!H$2:H$397,$D58)</f>
        <v>44364</v>
      </c>
      <c r="G58" s="41">
        <f>100+20</f>
        <v>120</v>
      </c>
      <c r="H58" s="2">
        <v>59</v>
      </c>
      <c r="I58" s="2">
        <v>0</v>
      </c>
      <c r="J58" s="33" t="str">
        <f>INDEX(Xtradata!J$2:J$397,$D58)</f>
        <v>TZ</v>
      </c>
      <c r="K58" s="34">
        <f>IF(J58="TZ",INDEX(Xtradata!P$2:P$397,$D58),IF(J58="clip",INDEX(Xtradata!K$2:K$397,$D58),""))</f>
        <v>45</v>
      </c>
      <c r="L58" s="34">
        <f>IF($J58="TZ",INDEX(Xtradata!Q$2:Q$397,$D58),IF($J58="clip",INDEX(Xtradata!L$2:L$397,$D58),""))</f>
        <v>20</v>
      </c>
      <c r="M58" s="34">
        <f>IF($J58="TZ",INDEX(Xtradata!R$2:R$397,$D58),IF($J58="clip",INDEX(Xtradata!M$2:M$397,$D58),""))</f>
        <v>25</v>
      </c>
      <c r="N58" s="2">
        <v>10</v>
      </c>
      <c r="O58" s="34">
        <f>INDEX(Xtradata!T$2:T$397,$D58)</f>
        <v>6</v>
      </c>
      <c r="P58" s="38">
        <f t="shared" si="2"/>
        <v>0</v>
      </c>
      <c r="Q58" s="48">
        <f t="shared" si="3"/>
        <v>0.49166666666666664</v>
      </c>
      <c r="R58" s="48">
        <f t="shared" si="4"/>
        <v>0.49166666666666664</v>
      </c>
      <c r="S58" s="48">
        <f t="shared" si="9"/>
        <v>0.16666666666666666</v>
      </c>
      <c r="T58" s="48">
        <f t="shared" si="5"/>
        <v>0.65833333333333333</v>
      </c>
      <c r="U58" s="48">
        <f t="shared" si="10"/>
        <v>8.3333333333333329E-2</v>
      </c>
      <c r="V58" s="48">
        <f t="shared" si="6"/>
        <v>0.25833333333333336</v>
      </c>
      <c r="W58" s="48">
        <f t="shared" si="8"/>
        <v>1</v>
      </c>
      <c r="X58" s="14">
        <f>MATCH(C58,'Weights and Seed Amounts'!C$2:C$400,0)</f>
        <v>57</v>
      </c>
      <c r="Y58" s="58">
        <f>INDEX('Weights and Seed Amounts'!D$2:D$400,$X58)</f>
        <v>1.32E-2</v>
      </c>
      <c r="Z58" s="34">
        <f>INDEX(Xtradata!U$2:U$397,$D58)</f>
        <v>0</v>
      </c>
    </row>
    <row r="59" spans="1:26" x14ac:dyDescent="0.25">
      <c r="A59" s="2" t="s">
        <v>97</v>
      </c>
      <c r="B59" s="2" t="s">
        <v>100</v>
      </c>
      <c r="C59" s="2" t="s">
        <v>101</v>
      </c>
      <c r="D59" s="32">
        <f>MATCH(Xtradata!C59,Xtradata!C$2:C454,0)</f>
        <v>58</v>
      </c>
      <c r="E59" s="33">
        <f>INDEX(Xtradata!G$2:G$397,$D59)</f>
        <v>44320</v>
      </c>
      <c r="F59" s="33">
        <f>INDEX(Xtradata!H$2:H$397,$D59)</f>
        <v>44364</v>
      </c>
      <c r="G59" s="2">
        <v>100</v>
      </c>
      <c r="H59" s="2">
        <v>6</v>
      </c>
      <c r="I59" s="2">
        <v>0</v>
      </c>
      <c r="J59" s="33" t="str">
        <f>INDEX(Xtradata!J$2:J$397,$D59)</f>
        <v>TZ</v>
      </c>
      <c r="K59" s="34">
        <f>IF(J59="TZ",INDEX(Xtradata!P$2:P$397,$D59),IF(J59="clip",INDEX(Xtradata!K$2:K$397,$D59),""))</f>
        <v>73</v>
      </c>
      <c r="L59" s="34">
        <f>IF($J59="TZ",INDEX(Xtradata!Q$2:Q$397,$D59),IF($J59="clip",INDEX(Xtradata!L$2:L$397,$D59),""))</f>
        <v>54</v>
      </c>
      <c r="M59" s="34">
        <f>IF($J59="TZ",INDEX(Xtradata!R$2:R$397,$D59),IF($J59="clip",INDEX(Xtradata!M$2:M$397,$D59),""))</f>
        <v>19</v>
      </c>
      <c r="N59" s="2">
        <v>21</v>
      </c>
      <c r="O59" s="34">
        <f>INDEX(Xtradata!T$2:T$397,$D59)</f>
        <v>0</v>
      </c>
      <c r="P59" s="38">
        <f t="shared" si="2"/>
        <v>0</v>
      </c>
      <c r="Q59" s="48">
        <f t="shared" si="3"/>
        <v>0.06</v>
      </c>
      <c r="R59" s="48">
        <f t="shared" si="4"/>
        <v>0.06</v>
      </c>
      <c r="S59" s="48">
        <f t="shared" si="9"/>
        <v>0.54</v>
      </c>
      <c r="T59" s="48">
        <f t="shared" si="5"/>
        <v>0.6</v>
      </c>
      <c r="U59" s="48">
        <f t="shared" si="10"/>
        <v>0.21</v>
      </c>
      <c r="V59" s="48">
        <f t="shared" si="6"/>
        <v>0.19000000000000003</v>
      </c>
      <c r="W59" s="48">
        <f t="shared" si="8"/>
        <v>1</v>
      </c>
      <c r="X59" s="14">
        <f>MATCH(C59,'Weights and Seed Amounts'!C$2:C$400,0)</f>
        <v>58</v>
      </c>
      <c r="Y59" s="58">
        <f>INDEX('Weights and Seed Amounts'!D$2:D$400,$X59)</f>
        <v>1.0699999999999999E-2</v>
      </c>
      <c r="Z59" s="34">
        <f>INDEX(Xtradata!U$2:U$397,$D59)</f>
        <v>0</v>
      </c>
    </row>
    <row r="60" spans="1:26" x14ac:dyDescent="0.25">
      <c r="A60" s="2" t="s">
        <v>97</v>
      </c>
      <c r="B60" s="2" t="s">
        <v>102</v>
      </c>
      <c r="C60" s="2" t="s">
        <v>103</v>
      </c>
      <c r="D60" s="32">
        <f>MATCH(Xtradata!C60,Xtradata!C$2:C455,0)</f>
        <v>59</v>
      </c>
      <c r="E60" s="33">
        <f>INDEX(Xtradata!G$2:G$397,$D60)</f>
        <v>44320</v>
      </c>
      <c r="F60" s="33">
        <f>INDEX(Xtradata!H$2:H$397,$D60)</f>
        <v>44364</v>
      </c>
      <c r="G60" s="41">
        <f>100+2</f>
        <v>102</v>
      </c>
      <c r="H60" s="2">
        <v>1</v>
      </c>
      <c r="I60" s="2">
        <v>0</v>
      </c>
      <c r="J60" s="33" t="str">
        <f>INDEX(Xtradata!J$2:J$397,$D60)</f>
        <v>TZ</v>
      </c>
      <c r="K60" s="34">
        <f>IF(J60="TZ",INDEX(Xtradata!P$2:P$397,$D60),IF(J60="clip",INDEX(Xtradata!K$2:K$397,$D60),""))</f>
        <v>87</v>
      </c>
      <c r="L60" s="34">
        <f>IF($J60="TZ",INDEX(Xtradata!Q$2:Q$397,$D60),IF($J60="clip",INDEX(Xtradata!L$2:L$397,$D60),""))</f>
        <v>74</v>
      </c>
      <c r="M60" s="34">
        <f>IF($J60="TZ",INDEX(Xtradata!R$2:R$397,$D60),IF($J60="clip",INDEX(Xtradata!M$2:M$397,$D60),""))</f>
        <v>13</v>
      </c>
      <c r="N60" s="2">
        <v>13</v>
      </c>
      <c r="O60" s="34">
        <f>INDEX(Xtradata!T$2:T$397,$D60)</f>
        <v>1</v>
      </c>
      <c r="P60" s="38">
        <f t="shared" si="2"/>
        <v>0</v>
      </c>
      <c r="Q60" s="48">
        <f t="shared" si="3"/>
        <v>9.8039215686274508E-3</v>
      </c>
      <c r="R60" s="48">
        <f t="shared" si="4"/>
        <v>9.8039215686274508E-3</v>
      </c>
      <c r="S60" s="48">
        <f t="shared" si="9"/>
        <v>0.72549019607843135</v>
      </c>
      <c r="T60" s="48">
        <f t="shared" si="5"/>
        <v>0.73529411764705888</v>
      </c>
      <c r="U60" s="48">
        <f t="shared" si="10"/>
        <v>0.12745098039215685</v>
      </c>
      <c r="V60" s="48">
        <f t="shared" si="6"/>
        <v>0.13725490196078427</v>
      </c>
      <c r="W60" s="48">
        <f t="shared" si="8"/>
        <v>0.99999999999999989</v>
      </c>
      <c r="X60" s="14">
        <f>MATCH(C60,'Weights and Seed Amounts'!C$2:C$400,0)</f>
        <v>59</v>
      </c>
      <c r="Y60" s="58">
        <f>INDEX('Weights and Seed Amounts'!D$2:D$400,$X60)</f>
        <v>4.6600000000000003E-2</v>
      </c>
      <c r="Z60" s="34">
        <f>INDEX(Xtradata!U$2:U$397,$D60)</f>
        <v>0</v>
      </c>
    </row>
    <row r="61" spans="1:26" x14ac:dyDescent="0.25">
      <c r="A61" s="2" t="s">
        <v>97</v>
      </c>
      <c r="B61" s="2" t="s">
        <v>102</v>
      </c>
      <c r="C61" s="2" t="s">
        <v>104</v>
      </c>
      <c r="D61" s="32">
        <f>MATCH(Xtradata!C61,Xtradata!C$2:C456,0)</f>
        <v>60</v>
      </c>
      <c r="E61" s="33">
        <f>INDEX(Xtradata!G$2:G$397,$D61)</f>
        <v>44320</v>
      </c>
      <c r="F61" s="33">
        <f>INDEX(Xtradata!H$2:H$397,$D61)</f>
        <v>44364</v>
      </c>
      <c r="G61" s="2">
        <v>100</v>
      </c>
      <c r="H61" s="2">
        <v>0</v>
      </c>
      <c r="I61" s="2">
        <v>0</v>
      </c>
      <c r="J61" s="33" t="str">
        <f>INDEX(Xtradata!J$2:J$397,$D61)</f>
        <v>TZ</v>
      </c>
      <c r="K61" s="34">
        <f>IF(J61="TZ",INDEX(Xtradata!P$2:P$397,$D61),IF(J61="clip",INDEX(Xtradata!K$2:K$397,$D61),""))</f>
        <v>74</v>
      </c>
      <c r="L61" s="34">
        <f>IF($J61="TZ",INDEX(Xtradata!Q$2:Q$397,$D61),IF($J61="clip",INDEX(Xtradata!L$2:L$397,$D61),""))</f>
        <v>61</v>
      </c>
      <c r="M61" s="34">
        <f>IF($J61="TZ",INDEX(Xtradata!R$2:R$397,$D61),IF($J61="clip",INDEX(Xtradata!M$2:M$397,$D61),""))</f>
        <v>13</v>
      </c>
      <c r="N61" s="2">
        <v>26</v>
      </c>
      <c r="O61" s="34">
        <f>INDEX(Xtradata!T$2:T$397,$D61)</f>
        <v>0</v>
      </c>
      <c r="P61" s="38">
        <f t="shared" si="2"/>
        <v>0</v>
      </c>
      <c r="Q61" s="48">
        <f t="shared" si="3"/>
        <v>0</v>
      </c>
      <c r="R61" s="48">
        <f t="shared" si="4"/>
        <v>0</v>
      </c>
      <c r="S61" s="48">
        <f t="shared" si="9"/>
        <v>0.61</v>
      </c>
      <c r="T61" s="48">
        <f t="shared" si="5"/>
        <v>0.61</v>
      </c>
      <c r="U61" s="48">
        <f t="shared" si="10"/>
        <v>0.26</v>
      </c>
      <c r="V61" s="48">
        <f t="shared" si="6"/>
        <v>0.13</v>
      </c>
      <c r="W61" s="48">
        <f t="shared" si="8"/>
        <v>1</v>
      </c>
      <c r="X61" s="14">
        <f>MATCH(C61,'Weights and Seed Amounts'!C$2:C$400,0)</f>
        <v>60</v>
      </c>
      <c r="Y61" s="58">
        <f>INDEX('Weights and Seed Amounts'!D$2:D$400,$X61)</f>
        <v>4.6100000000000002E-2</v>
      </c>
      <c r="Z61" s="34">
        <f>INDEX(Xtradata!U$2:U$397,$D61)</f>
        <v>0</v>
      </c>
    </row>
    <row r="62" spans="1:26" x14ac:dyDescent="0.25">
      <c r="A62" s="2" t="s">
        <v>97</v>
      </c>
      <c r="B62" s="2" t="s">
        <v>102</v>
      </c>
      <c r="C62" s="2" t="s">
        <v>105</v>
      </c>
      <c r="D62" s="32">
        <f>MATCH(Xtradata!C62,Xtradata!C$2:C457,0)</f>
        <v>61</v>
      </c>
      <c r="E62" s="33">
        <f>INDEX(Xtradata!G$2:G$397,$D62)</f>
        <v>44320</v>
      </c>
      <c r="F62" s="33">
        <f>INDEX(Xtradata!H$2:H$397,$D62)</f>
        <v>44364</v>
      </c>
      <c r="G62" s="2">
        <v>100</v>
      </c>
      <c r="H62" s="2">
        <v>8</v>
      </c>
      <c r="I62" s="2">
        <v>0</v>
      </c>
      <c r="J62" s="33" t="str">
        <f>INDEX(Xtradata!J$2:J$397,$D62)</f>
        <v>TZ</v>
      </c>
      <c r="K62" s="34">
        <f>IF(J62="TZ",INDEX(Xtradata!P$2:P$397,$D62),IF(J62="clip",INDEX(Xtradata!K$2:K$397,$D62),""))</f>
        <v>80</v>
      </c>
      <c r="L62" s="34">
        <f>IF($J62="TZ",INDEX(Xtradata!Q$2:Q$397,$D62),IF($J62="clip",INDEX(Xtradata!L$2:L$397,$D62),""))</f>
        <v>64</v>
      </c>
      <c r="M62" s="34">
        <f>IF($J62="TZ",INDEX(Xtradata!R$2:R$397,$D62),IF($J62="clip",INDEX(Xtradata!M$2:M$397,$D62),""))</f>
        <v>16</v>
      </c>
      <c r="N62" s="2">
        <v>12</v>
      </c>
      <c r="O62" s="34">
        <f>INDEX(Xtradata!T$2:T$397,$D62)</f>
        <v>0</v>
      </c>
      <c r="P62" s="38">
        <f t="shared" si="2"/>
        <v>0</v>
      </c>
      <c r="Q62" s="48">
        <f t="shared" si="3"/>
        <v>0.08</v>
      </c>
      <c r="R62" s="48">
        <f t="shared" si="4"/>
        <v>0.08</v>
      </c>
      <c r="S62" s="48">
        <f t="shared" si="9"/>
        <v>0.64</v>
      </c>
      <c r="T62" s="48">
        <f t="shared" si="5"/>
        <v>0.72</v>
      </c>
      <c r="U62" s="48">
        <f t="shared" si="10"/>
        <v>0.12</v>
      </c>
      <c r="V62" s="48">
        <f t="shared" si="6"/>
        <v>0.16000000000000003</v>
      </c>
      <c r="W62" s="48">
        <f t="shared" si="8"/>
        <v>1</v>
      </c>
      <c r="X62" s="14">
        <f>MATCH(C62,'Weights and Seed Amounts'!C$2:C$400,0)</f>
        <v>61</v>
      </c>
      <c r="Y62" s="58">
        <f>INDEX('Weights and Seed Amounts'!D$2:D$400,$X62)</f>
        <v>5.21E-2</v>
      </c>
      <c r="Z62" s="34">
        <f>INDEX(Xtradata!U$2:U$397,$D62)</f>
        <v>0</v>
      </c>
    </row>
    <row r="63" spans="1:26" x14ac:dyDescent="0.25">
      <c r="A63" s="2" t="s">
        <v>97</v>
      </c>
      <c r="B63" s="2" t="s">
        <v>106</v>
      </c>
      <c r="C63" s="2" t="s">
        <v>107</v>
      </c>
      <c r="D63" s="32">
        <f>MATCH(Xtradata!C63,Xtradata!C$2:C458,0)</f>
        <v>62</v>
      </c>
      <c r="E63" s="33">
        <f>INDEX(Xtradata!G$2:G$397,$D63)</f>
        <v>44320</v>
      </c>
      <c r="F63" s="33">
        <f>INDEX(Xtradata!H$2:H$397,$D63)</f>
        <v>44364</v>
      </c>
      <c r="G63" s="2">
        <v>100</v>
      </c>
      <c r="H63" s="2">
        <v>0</v>
      </c>
      <c r="I63" s="2">
        <v>0</v>
      </c>
      <c r="J63" s="33" t="str">
        <f>INDEX(Xtradata!J$2:J$397,$D63)</f>
        <v>TZ</v>
      </c>
      <c r="K63" s="34">
        <f>IF(J63="TZ",INDEX(Xtradata!P$2:P$397,$D63),IF(J63="clip",INDEX(Xtradata!K$2:K$397,$D63),""))</f>
        <v>71</v>
      </c>
      <c r="L63" s="34">
        <f>IF($J63="TZ",INDEX(Xtradata!Q$2:Q$397,$D63),IF($J63="clip",INDEX(Xtradata!L$2:L$397,$D63),""))</f>
        <v>51</v>
      </c>
      <c r="M63" s="34">
        <f>IF($J63="TZ",INDEX(Xtradata!R$2:R$397,$D63),IF($J63="clip",INDEX(Xtradata!M$2:M$397,$D63),""))</f>
        <v>20</v>
      </c>
      <c r="N63" s="2">
        <v>29</v>
      </c>
      <c r="O63" s="34">
        <f>INDEX(Xtradata!T$2:T$397,$D63)</f>
        <v>0</v>
      </c>
      <c r="P63" s="38">
        <f t="shared" si="2"/>
        <v>0</v>
      </c>
      <c r="Q63" s="48">
        <f t="shared" si="3"/>
        <v>0</v>
      </c>
      <c r="R63" s="48">
        <f t="shared" si="4"/>
        <v>0</v>
      </c>
      <c r="S63" s="48">
        <f t="shared" si="9"/>
        <v>0.51</v>
      </c>
      <c r="T63" s="48">
        <f t="shared" si="5"/>
        <v>0.51</v>
      </c>
      <c r="U63" s="48">
        <f t="shared" si="10"/>
        <v>0.28999999999999998</v>
      </c>
      <c r="V63" s="48">
        <f t="shared" si="6"/>
        <v>0.2</v>
      </c>
      <c r="W63" s="48">
        <f t="shared" si="8"/>
        <v>1</v>
      </c>
      <c r="X63" s="14">
        <f>MATCH(C63,'Weights and Seed Amounts'!C$2:C$400,0)</f>
        <v>62</v>
      </c>
      <c r="Y63" s="58">
        <f>INDEX('Weights and Seed Amounts'!D$2:D$400,$X63)</f>
        <v>4.1500000000000002E-2</v>
      </c>
      <c r="Z63" s="34">
        <f>INDEX(Xtradata!U$2:U$397,$D63)</f>
        <v>0</v>
      </c>
    </row>
    <row r="64" spans="1:26" x14ac:dyDescent="0.25">
      <c r="A64" s="2" t="s">
        <v>97</v>
      </c>
      <c r="B64" s="2" t="s">
        <v>108</v>
      </c>
      <c r="C64" s="2" t="s">
        <v>109</v>
      </c>
      <c r="D64" s="32">
        <f>MATCH(Xtradata!C64,Xtradata!C$2:C459,0)</f>
        <v>63</v>
      </c>
      <c r="E64" s="33">
        <f>INDEX(Xtradata!G$2:G$397,$D64)</f>
        <v>44320</v>
      </c>
      <c r="F64" s="33">
        <f>INDEX(Xtradata!H$2:H$397,$D64)</f>
        <v>44364</v>
      </c>
      <c r="G64" s="2">
        <v>100</v>
      </c>
      <c r="H64" s="2">
        <v>98</v>
      </c>
      <c r="I64" s="2">
        <v>0</v>
      </c>
      <c r="J64" s="33" t="str">
        <f>INDEX(Xtradata!J$2:J$397,$D64)</f>
        <v>N/A</v>
      </c>
      <c r="K64" s="34" t="str">
        <f>IF(J64="TZ",INDEX(Xtradata!P$2:P$397,$D64),IF(J64="clip",INDEX(Xtradata!K$2:K$397,$D64),""))</f>
        <v/>
      </c>
      <c r="L64" s="34" t="str">
        <f>IF($J64="TZ",INDEX(Xtradata!Q$2:Q$397,$D64),IF($J64="clip",INDEX(Xtradata!L$2:L$397,$D64),""))</f>
        <v/>
      </c>
      <c r="M64" s="34" t="str">
        <f>IF($J64="TZ",INDEX(Xtradata!R$2:R$397,$D64),IF($J64="clip",INDEX(Xtradata!M$2:M$397,$D64),""))</f>
        <v/>
      </c>
      <c r="N64" s="2">
        <v>2</v>
      </c>
      <c r="O64" s="34">
        <f>INDEX(Xtradata!T$2:T$397,$D64)</f>
        <v>0</v>
      </c>
      <c r="P64" s="38">
        <f t="shared" si="2"/>
        <v>0</v>
      </c>
      <c r="Q64" s="48">
        <f t="shared" si="3"/>
        <v>0.98</v>
      </c>
      <c r="R64" s="48">
        <f t="shared" si="4"/>
        <v>0.98</v>
      </c>
      <c r="S64" s="48">
        <f t="shared" si="9"/>
        <v>0</v>
      </c>
      <c r="T64" s="48">
        <f t="shared" si="5"/>
        <v>0.98</v>
      </c>
      <c r="U64" s="48">
        <f t="shared" si="10"/>
        <v>0.02</v>
      </c>
      <c r="V64" s="48">
        <f t="shared" si="6"/>
        <v>1.7347234759768071E-17</v>
      </c>
      <c r="W64" s="48">
        <f t="shared" si="8"/>
        <v>1</v>
      </c>
      <c r="X64" s="14">
        <f>MATCH(C64,'Weights and Seed Amounts'!C$2:C$400,0)</f>
        <v>63</v>
      </c>
      <c r="Y64" s="58">
        <f>INDEX('Weights and Seed Amounts'!D$2:D$400,$X64)</f>
        <v>1.52E-2</v>
      </c>
      <c r="Z64" s="34">
        <f>INDEX(Xtradata!U$2:U$397,$D64)</f>
        <v>0</v>
      </c>
    </row>
    <row r="65" spans="1:26" x14ac:dyDescent="0.25">
      <c r="A65" s="2" t="s">
        <v>97</v>
      </c>
      <c r="B65" s="2" t="s">
        <v>110</v>
      </c>
      <c r="C65" s="2" t="s">
        <v>111</v>
      </c>
      <c r="D65" s="32">
        <f>MATCH(Xtradata!C65,Xtradata!C$2:C460,0)</f>
        <v>64</v>
      </c>
      <c r="E65" s="33">
        <f>INDEX(Xtradata!G$2:G$397,$D65)</f>
        <v>44320</v>
      </c>
      <c r="F65" s="33">
        <f>INDEX(Xtradata!H$2:H$397,$D65)</f>
        <v>44364</v>
      </c>
      <c r="G65" s="2">
        <v>100</v>
      </c>
      <c r="H65" s="2">
        <v>54</v>
      </c>
      <c r="I65" s="2">
        <v>0</v>
      </c>
      <c r="J65" s="33" t="str">
        <f>INDEX(Xtradata!J$2:J$397,$D65)</f>
        <v>TZ</v>
      </c>
      <c r="K65" s="34">
        <f>IF(J65="TZ",INDEX(Xtradata!P$2:P$397,$D65),IF(J65="clip",INDEX(Xtradata!K$2:K$397,$D65),""))</f>
        <v>38</v>
      </c>
      <c r="L65" s="34">
        <f>IF($J65="TZ",INDEX(Xtradata!Q$2:Q$397,$D65),IF($J65="clip",INDEX(Xtradata!L$2:L$397,$D65),""))</f>
        <v>31</v>
      </c>
      <c r="M65" s="34">
        <f>IF($J65="TZ",INDEX(Xtradata!R$2:R$397,$D65),IF($J65="clip",INDEX(Xtradata!M$2:M$397,$D65),""))</f>
        <v>7</v>
      </c>
      <c r="N65" s="2">
        <v>8</v>
      </c>
      <c r="O65" s="34">
        <f>INDEX(Xtradata!T$2:T$397,$D65)</f>
        <v>0</v>
      </c>
      <c r="P65" s="38">
        <f t="shared" si="2"/>
        <v>0</v>
      </c>
      <c r="Q65" s="48">
        <f t="shared" si="3"/>
        <v>0.54</v>
      </c>
      <c r="R65" s="48">
        <f t="shared" si="4"/>
        <v>0.54</v>
      </c>
      <c r="S65" s="48">
        <f t="shared" si="9"/>
        <v>0.31</v>
      </c>
      <c r="T65" s="48">
        <f t="shared" si="5"/>
        <v>0.85</v>
      </c>
      <c r="U65" s="48">
        <f t="shared" si="10"/>
        <v>0.08</v>
      </c>
      <c r="V65" s="48">
        <f t="shared" si="6"/>
        <v>7.0000000000000021E-2</v>
      </c>
      <c r="W65" s="48">
        <f t="shared" si="8"/>
        <v>1</v>
      </c>
      <c r="X65" s="14">
        <f>MATCH(C65,'Weights and Seed Amounts'!C$2:C$400,0)</f>
        <v>64</v>
      </c>
      <c r="Y65" s="58">
        <f>INDEX('Weights and Seed Amounts'!D$2:D$400,$X65)</f>
        <v>2.8400000000000002E-2</v>
      </c>
      <c r="Z65" s="34">
        <f>INDEX(Xtradata!U$2:U$397,$D65)</f>
        <v>0</v>
      </c>
    </row>
    <row r="66" spans="1:26" x14ac:dyDescent="0.25">
      <c r="A66" s="2" t="s">
        <v>112</v>
      </c>
      <c r="B66" s="2" t="s">
        <v>113</v>
      </c>
      <c r="C66" s="2" t="s">
        <v>114</v>
      </c>
      <c r="D66" s="32">
        <f>MATCH(Xtradata!C66,Xtradata!C$2:C461,0)</f>
        <v>65</v>
      </c>
      <c r="E66" s="33" t="str">
        <f>INDEX(Xtradata!G$2:G$397,$D66)</f>
        <v>N/A</v>
      </c>
      <c r="F66" s="33" t="str">
        <f>INDEX(Xtradata!H$2:H$397,$D66)</f>
        <v>N/A</v>
      </c>
      <c r="G66" s="2">
        <v>0</v>
      </c>
      <c r="H66" s="2" t="s">
        <v>581</v>
      </c>
      <c r="I66" s="2" t="s">
        <v>581</v>
      </c>
      <c r="J66" s="33" t="str">
        <f>INDEX(Xtradata!J$2:J$397,$D66)</f>
        <v>TZ</v>
      </c>
      <c r="K66" s="34">
        <f>IF(J66="TZ",INDEX(Xtradata!P$2:P$397,$D66),IF(J66="clip",INDEX(Xtradata!K$2:K$397,$D66),""))</f>
        <v>10</v>
      </c>
      <c r="L66" s="34">
        <f>IF($J66="TZ",INDEX(Xtradata!Q$2:Q$397,$D66),IF($J66="clip",INDEX(Xtradata!L$2:L$397,$D66),""))</f>
        <v>0</v>
      </c>
      <c r="M66" s="34">
        <f>IF($J66="TZ",INDEX(Xtradata!R$2:R$397,$D66),IF($J66="clip",INDEX(Xtradata!M$2:M$397,$D66),""))</f>
        <v>0</v>
      </c>
      <c r="N66" s="2" t="s">
        <v>581</v>
      </c>
      <c r="O66" s="34">
        <f>INDEX(Xtradata!T$2:T$397,$D66)</f>
        <v>10</v>
      </c>
      <c r="P66" s="38">
        <f t="shared" si="2"/>
        <v>0</v>
      </c>
      <c r="Q66" s="48" t="str">
        <f t="shared" si="3"/>
        <v/>
      </c>
      <c r="R66" s="48" t="str">
        <f t="shared" si="4"/>
        <v/>
      </c>
      <c r="S66" s="48" t="str">
        <f t="shared" si="9"/>
        <v/>
      </c>
      <c r="T66" s="48">
        <f t="shared" si="5"/>
        <v>0</v>
      </c>
      <c r="U66" s="48" t="str">
        <f t="shared" si="10"/>
        <v/>
      </c>
      <c r="V66" s="48">
        <f t="shared" si="6"/>
        <v>1</v>
      </c>
      <c r="W66" s="48">
        <f t="shared" si="8"/>
        <v>1</v>
      </c>
      <c r="X66" s="14">
        <f>MATCH(C66,'Weights and Seed Amounts'!C$2:C$400,0)</f>
        <v>65</v>
      </c>
      <c r="Y66" s="58">
        <f>INDEX('Weights and Seed Amounts'!D$2:D$400,$X66)</f>
        <v>7.1900000000000006E-2</v>
      </c>
      <c r="Z66" s="34" t="str">
        <f>INDEX(Xtradata!U$2:U$397,$D66)</f>
        <v>Initial TZ of ~ 10 seeds indicated no viability.  High proportion of empty seeds or embryos damaged by insect/handling. Perhaps immature. Not planted for germ assay.</v>
      </c>
    </row>
    <row r="67" spans="1:26" x14ac:dyDescent="0.25">
      <c r="A67" s="2" t="s">
        <v>112</v>
      </c>
      <c r="B67" s="2" t="s">
        <v>113</v>
      </c>
      <c r="C67" s="2" t="s">
        <v>115</v>
      </c>
      <c r="D67" s="32">
        <f>MATCH(Xtradata!C67,Xtradata!C$2:C462,0)</f>
        <v>66</v>
      </c>
      <c r="E67" s="33" t="str">
        <f>INDEX(Xtradata!G$2:G$397,$D67)</f>
        <v>N/A</v>
      </c>
      <c r="F67" s="33" t="str">
        <f>INDEX(Xtradata!H$2:H$397,$D67)</f>
        <v>N/A</v>
      </c>
      <c r="G67" s="2">
        <v>0</v>
      </c>
      <c r="H67" s="2" t="s">
        <v>581</v>
      </c>
      <c r="I67" s="2" t="s">
        <v>581</v>
      </c>
      <c r="J67" s="33" t="str">
        <f>INDEX(Xtradata!J$2:J$397,$D67)</f>
        <v>TZ</v>
      </c>
      <c r="K67" s="34">
        <f>IF(J67="TZ",INDEX(Xtradata!P$2:P$397,$D67),IF(J67="clip",INDEX(Xtradata!K$2:K$397,$D67),""))</f>
        <v>10</v>
      </c>
      <c r="L67" s="34">
        <f>IF($J67="TZ",INDEX(Xtradata!Q$2:Q$397,$D67),IF($J67="clip",INDEX(Xtradata!L$2:L$397,$D67),""))</f>
        <v>0</v>
      </c>
      <c r="M67" s="34">
        <f>IF($J67="TZ",INDEX(Xtradata!R$2:R$397,$D67),IF($J67="clip",INDEX(Xtradata!M$2:M$397,$D67),""))</f>
        <v>0</v>
      </c>
      <c r="N67" s="2" t="s">
        <v>581</v>
      </c>
      <c r="O67" s="34">
        <f>INDEX(Xtradata!T$2:T$397,$D67)</f>
        <v>10</v>
      </c>
      <c r="P67" s="38">
        <f t="shared" ref="P67:P130" si="11">IF(G67=0,K67-SUM(L67,M67,N67,O67),G67-SUM(H67,I67,L67,M67,N67,O67))</f>
        <v>0</v>
      </c>
      <c r="Q67" s="48" t="str">
        <f t="shared" ref="Q67:Q130" si="12">IF($G67=0,"",H67/$G67)</f>
        <v/>
      </c>
      <c r="R67" s="48" t="str">
        <f t="shared" ref="R67:R130" si="13">IF($G67=0,"",IF(J67="clip",(H67+I67+L67)/$G67,(H67+I67)/$G67))</f>
        <v/>
      </c>
      <c r="S67" s="48" t="str">
        <f t="shared" si="9"/>
        <v/>
      </c>
      <c r="T67" s="48">
        <f t="shared" ref="T67:T130" si="14">IF($G67=0,IF(J67="TZ",(L67)/$K67,""),IF(J67="N/A",(H67+I67)/$G67, (H67+I67+L67)/$G67))</f>
        <v>0</v>
      </c>
      <c r="U67" s="48" t="str">
        <f t="shared" ref="U67:U130" si="15">IFERROR(N67/G67,IFERROR(N67/K67,""))</f>
        <v/>
      </c>
      <c r="V67" s="48">
        <f t="shared" ref="V67:V130" si="16">IFERROR(1-T67-U67,IFERROR(1-T67,""))</f>
        <v>1</v>
      </c>
      <c r="W67" s="48">
        <f t="shared" si="8"/>
        <v>1</v>
      </c>
      <c r="X67" s="14">
        <f>MATCH(C67,'Weights and Seed Amounts'!C$2:C$400,0)</f>
        <v>66</v>
      </c>
      <c r="Y67" s="58">
        <f>INDEX('Weights and Seed Amounts'!D$2:D$400,$X67)</f>
        <v>4.2439999999999999E-2</v>
      </c>
      <c r="Z67" s="34" t="str">
        <f>INDEX(Xtradata!U$2:U$397,$D67)</f>
        <v>Initial TZ of ~ 10 seeds indicated no viability.  High proportion of empty seeds or embryos damaged by insect/handling. Perhaps immature. Not planted for germ assay.</v>
      </c>
    </row>
    <row r="68" spans="1:26" x14ac:dyDescent="0.25">
      <c r="A68" s="2" t="s">
        <v>116</v>
      </c>
      <c r="B68" s="2" t="s">
        <v>117</v>
      </c>
      <c r="C68" s="2" t="s">
        <v>118</v>
      </c>
      <c r="D68" s="32">
        <f>MATCH(Xtradata!C68,Xtradata!C$2:C463,0)</f>
        <v>67</v>
      </c>
      <c r="E68" s="33">
        <f>INDEX(Xtradata!G$2:G$397,$D68)</f>
        <v>44315</v>
      </c>
      <c r="F68" s="33">
        <f>INDEX(Xtradata!H$2:H$397,$D68)</f>
        <v>44356</v>
      </c>
      <c r="G68" s="2">
        <v>116</v>
      </c>
      <c r="H68" s="2">
        <v>3</v>
      </c>
      <c r="I68" s="2">
        <v>0</v>
      </c>
      <c r="J68" s="33" t="str">
        <f>INDEX(Xtradata!J$2:J$397,$D68)</f>
        <v>TZ</v>
      </c>
      <c r="K68" s="34">
        <f>IF(J68="TZ",INDEX(Xtradata!P$2:P$397,$D68),IF(J68="clip",INDEX(Xtradata!K$2:K$397,$D68),""))</f>
        <v>44</v>
      </c>
      <c r="L68" s="34">
        <f>IF($J68="TZ",INDEX(Xtradata!Q$2:Q$397,$D68),IF($J68="clip",INDEX(Xtradata!L$2:L$397,$D68),""))</f>
        <v>10</v>
      </c>
      <c r="M68" s="34">
        <f>IF($J68="TZ",INDEX(Xtradata!R$2:R$397,$D68),IF($J68="clip",INDEX(Xtradata!M$2:M$397,$D68),""))</f>
        <v>34</v>
      </c>
      <c r="N68" s="2">
        <v>69</v>
      </c>
      <c r="O68" s="34">
        <f>INDEX(Xtradata!T$2:T$397,$D68)</f>
        <v>0</v>
      </c>
      <c r="P68" s="38">
        <f t="shared" si="11"/>
        <v>0</v>
      </c>
      <c r="Q68" s="48">
        <f t="shared" si="12"/>
        <v>2.5862068965517241E-2</v>
      </c>
      <c r="R68" s="48">
        <f t="shared" si="13"/>
        <v>2.5862068965517241E-2</v>
      </c>
      <c r="S68" s="48">
        <f t="shared" si="9"/>
        <v>8.6206896551724144E-2</v>
      </c>
      <c r="T68" s="48">
        <f t="shared" si="14"/>
        <v>0.11206896551724138</v>
      </c>
      <c r="U68" s="48">
        <f t="shared" si="15"/>
        <v>0.59482758620689657</v>
      </c>
      <c r="V68" s="48">
        <f t="shared" si="16"/>
        <v>0.2931034482758621</v>
      </c>
      <c r="W68" s="48">
        <f t="shared" si="8"/>
        <v>1</v>
      </c>
      <c r="X68" s="14">
        <f>MATCH(C68,'Weights and Seed Amounts'!C$2:C$400,0)</f>
        <v>67</v>
      </c>
      <c r="Y68" s="58">
        <f>INDEX('Weights and Seed Amounts'!D$2:D$400,$X68)</f>
        <v>6.6400000000000001E-2</v>
      </c>
      <c r="Z68" s="34">
        <f>INDEX(Xtradata!U$2:U$397,$D68)</f>
        <v>0</v>
      </c>
    </row>
    <row r="69" spans="1:26" x14ac:dyDescent="0.25">
      <c r="A69" s="2" t="s">
        <v>119</v>
      </c>
      <c r="B69" s="2" t="s">
        <v>120</v>
      </c>
      <c r="C69" s="2" t="s">
        <v>121</v>
      </c>
      <c r="D69" s="32">
        <f>MATCH(Xtradata!C69,Xtradata!C$2:C464,0)</f>
        <v>68</v>
      </c>
      <c r="E69" s="33">
        <f>INDEX(Xtradata!G$2:G$397,$D69)</f>
        <v>44315</v>
      </c>
      <c r="F69" s="33">
        <f>INDEX(Xtradata!H$2:H$397,$D69)</f>
        <v>44349</v>
      </c>
      <c r="G69" s="2">
        <v>106</v>
      </c>
      <c r="H69" s="2">
        <v>37</v>
      </c>
      <c r="I69" s="2">
        <v>6</v>
      </c>
      <c r="J69" s="33" t="str">
        <f>INDEX(Xtradata!J$2:J$397,$D69)</f>
        <v>N/A</v>
      </c>
      <c r="K69" s="34" t="str">
        <f>IF(J69="TZ",INDEX(Xtradata!P$2:P$397,$D69),IF(J69="clip",INDEX(Xtradata!K$2:K$397,$D69),""))</f>
        <v/>
      </c>
      <c r="L69" s="34" t="str">
        <f>IF($J69="TZ",INDEX(Xtradata!Q$2:Q$397,$D69),IF($J69="clip",INDEX(Xtradata!L$2:L$397,$D69),""))</f>
        <v/>
      </c>
      <c r="M69" s="34" t="str">
        <f>IF($J69="TZ",INDEX(Xtradata!R$2:R$397,$D69),IF($J69="clip",INDEX(Xtradata!M$2:M$397,$D69),""))</f>
        <v/>
      </c>
      <c r="N69" s="2">
        <v>63</v>
      </c>
      <c r="O69" s="34">
        <f>INDEX(Xtradata!T$2:T$397,$D69)</f>
        <v>0</v>
      </c>
      <c r="P69" s="38">
        <f t="shared" si="11"/>
        <v>0</v>
      </c>
      <c r="Q69" s="48">
        <f t="shared" si="12"/>
        <v>0.34905660377358488</v>
      </c>
      <c r="R69" s="48">
        <f t="shared" si="13"/>
        <v>0.40566037735849059</v>
      </c>
      <c r="S69" s="48">
        <f t="shared" si="9"/>
        <v>0</v>
      </c>
      <c r="T69" s="48">
        <f t="shared" si="14"/>
        <v>0.40566037735849059</v>
      </c>
      <c r="U69" s="48">
        <f t="shared" si="15"/>
        <v>0.59433962264150941</v>
      </c>
      <c r="V69" s="48">
        <f t="shared" si="16"/>
        <v>0</v>
      </c>
      <c r="W69" s="48">
        <f t="shared" ref="W69:W132" si="17">SUM(R69,S69,U69,V69)</f>
        <v>1</v>
      </c>
      <c r="X69" s="14">
        <f>MATCH(C69,'Weights and Seed Amounts'!C$2:C$400,0)</f>
        <v>68</v>
      </c>
      <c r="Y69" s="58">
        <f>INDEX('Weights and Seed Amounts'!D$2:D$400,$X69)</f>
        <v>2.9499999999999998E-2</v>
      </c>
      <c r="Z69" s="34">
        <f>INDEX(Xtradata!U$2:U$397,$D69)</f>
        <v>0</v>
      </c>
    </row>
    <row r="70" spans="1:26" x14ac:dyDescent="0.25">
      <c r="A70" s="2" t="s">
        <v>122</v>
      </c>
      <c r="B70" s="2" t="s">
        <v>123</v>
      </c>
      <c r="C70" s="2" t="s">
        <v>124</v>
      </c>
      <c r="D70" s="32">
        <f>MATCH(Xtradata!C70,Xtradata!C$2:C465,0)</f>
        <v>69</v>
      </c>
      <c r="E70" s="33">
        <f>INDEX(Xtradata!G$2:G$397,$D70)</f>
        <v>44309</v>
      </c>
      <c r="F70" s="33">
        <f>INDEX(Xtradata!H$2:H$397,$D70)</f>
        <v>44428</v>
      </c>
      <c r="G70" s="2">
        <v>100</v>
      </c>
      <c r="H70" s="2">
        <v>68</v>
      </c>
      <c r="I70" s="2">
        <v>0</v>
      </c>
      <c r="J70" s="33" t="str">
        <f>INDEX(Xtradata!J$2:J$397,$D70)</f>
        <v>TZ</v>
      </c>
      <c r="K70" s="34">
        <f>IF(J70="TZ",INDEX(Xtradata!P$2:P$397,$D70),IF(J70="clip",INDEX(Xtradata!K$2:K$397,$D70),""))</f>
        <v>31</v>
      </c>
      <c r="L70" s="34">
        <f>IF($J70="TZ",INDEX(Xtradata!Q$2:Q$397,$D70),IF($J70="clip",INDEX(Xtradata!L$2:L$397,$D70),""))</f>
        <v>3</v>
      </c>
      <c r="M70" s="34">
        <f>IF($J70="TZ",INDEX(Xtradata!R$2:R$397,$D70),IF($J70="clip",INDEX(Xtradata!M$2:M$397,$D70),""))</f>
        <v>28</v>
      </c>
      <c r="N70" s="2">
        <v>1</v>
      </c>
      <c r="O70" s="34">
        <f>INDEX(Xtradata!T$2:T$397,$D70)</f>
        <v>0</v>
      </c>
      <c r="P70" s="38">
        <f t="shared" si="11"/>
        <v>0</v>
      </c>
      <c r="Q70" s="48">
        <f t="shared" si="12"/>
        <v>0.68</v>
      </c>
      <c r="R70" s="48">
        <f t="shared" si="13"/>
        <v>0.68</v>
      </c>
      <c r="S70" s="48">
        <f t="shared" si="9"/>
        <v>0.03</v>
      </c>
      <c r="T70" s="48">
        <f t="shared" si="14"/>
        <v>0.71</v>
      </c>
      <c r="U70" s="48">
        <f t="shared" si="15"/>
        <v>0.01</v>
      </c>
      <c r="V70" s="48">
        <f t="shared" si="16"/>
        <v>0.28000000000000003</v>
      </c>
      <c r="W70" s="48">
        <f t="shared" si="17"/>
        <v>1</v>
      </c>
      <c r="X70" s="14">
        <f>MATCH(C70,'Weights and Seed Amounts'!C$2:C$400,0)</f>
        <v>69</v>
      </c>
      <c r="Y70" s="58">
        <f>INDEX('Weights and Seed Amounts'!D$2:D$400,$X70)</f>
        <v>31.938600000000001</v>
      </c>
      <c r="Z70" s="34">
        <f>INDEX(Xtradata!U$2:U$397,$D70)</f>
        <v>0</v>
      </c>
    </row>
    <row r="71" spans="1:26" x14ac:dyDescent="0.25">
      <c r="A71" s="2" t="s">
        <v>125</v>
      </c>
      <c r="B71" s="2" t="s">
        <v>126</v>
      </c>
      <c r="C71" s="2" t="s">
        <v>127</v>
      </c>
      <c r="D71" s="32">
        <f>MATCH(Xtradata!C71,Xtradata!C$2:C466,0)</f>
        <v>70</v>
      </c>
      <c r="E71" s="33">
        <f>INDEX(Xtradata!G$2:G$397,$D71)</f>
        <v>44308</v>
      </c>
      <c r="F71" s="33">
        <f>INDEX(Xtradata!H$2:H$397,$D71)</f>
        <v>44356</v>
      </c>
      <c r="G71" s="41">
        <f>81+3</f>
        <v>84</v>
      </c>
      <c r="H71" s="2">
        <v>55</v>
      </c>
      <c r="I71" s="2">
        <v>0</v>
      </c>
      <c r="J71" s="33" t="str">
        <f>INDEX(Xtradata!J$2:J$397,$D71)</f>
        <v>TZ</v>
      </c>
      <c r="K71" s="34">
        <f>IF(J71="TZ",INDEX(Xtradata!P$2:P$397,$D71),IF(J71="clip",INDEX(Xtradata!K$2:K$397,$D71),""))</f>
        <v>27</v>
      </c>
      <c r="L71" s="34">
        <f>IF($J71="TZ",INDEX(Xtradata!Q$2:Q$397,$D71),IF($J71="clip",INDEX(Xtradata!L$2:L$397,$D71),""))</f>
        <v>12</v>
      </c>
      <c r="M71" s="34">
        <f>IF($J71="TZ",INDEX(Xtradata!R$2:R$397,$D71),IF($J71="clip",INDEX(Xtradata!M$2:M$397,$D71),""))</f>
        <v>15</v>
      </c>
      <c r="N71" s="2">
        <v>0</v>
      </c>
      <c r="O71" s="34">
        <f>INDEX(Xtradata!T$2:T$397,$D71)</f>
        <v>2</v>
      </c>
      <c r="P71" s="38">
        <f t="shared" si="11"/>
        <v>0</v>
      </c>
      <c r="Q71" s="48">
        <f t="shared" si="12"/>
        <v>0.65476190476190477</v>
      </c>
      <c r="R71" s="48">
        <f t="shared" si="13"/>
        <v>0.65476190476190477</v>
      </c>
      <c r="S71" s="48">
        <f t="shared" si="9"/>
        <v>0.14285714285714285</v>
      </c>
      <c r="T71" s="48">
        <f t="shared" si="14"/>
        <v>0.79761904761904767</v>
      </c>
      <c r="U71" s="48">
        <f t="shared" si="15"/>
        <v>0</v>
      </c>
      <c r="V71" s="48">
        <f t="shared" si="16"/>
        <v>0.20238095238095233</v>
      </c>
      <c r="W71" s="48">
        <f t="shared" si="17"/>
        <v>1</v>
      </c>
      <c r="X71" s="14">
        <f>MATCH(C71,'Weights and Seed Amounts'!C$2:C$400,0)</f>
        <v>70</v>
      </c>
      <c r="Y71" s="58">
        <f>INDEX('Weights and Seed Amounts'!D$2:D$400,$X71)</f>
        <v>7.7799999999999994E-2</v>
      </c>
      <c r="Z71" s="34">
        <f>INDEX(Xtradata!U$2:U$397,$D71)</f>
        <v>0</v>
      </c>
    </row>
    <row r="72" spans="1:26" x14ac:dyDescent="0.25">
      <c r="A72" s="2" t="s">
        <v>125</v>
      </c>
      <c r="B72" s="2" t="s">
        <v>126</v>
      </c>
      <c r="C72" s="2" t="s">
        <v>128</v>
      </c>
      <c r="D72" s="32">
        <f>MATCH(Xtradata!C72,Xtradata!C$2:C467,0)</f>
        <v>71</v>
      </c>
      <c r="E72" s="33">
        <f>INDEX(Xtradata!G$2:G$397,$D72)</f>
        <v>44308</v>
      </c>
      <c r="F72" s="33">
        <f>INDEX(Xtradata!H$2:H$397,$D72)</f>
        <v>44356</v>
      </c>
      <c r="G72" s="2">
        <v>96</v>
      </c>
      <c r="H72" s="2">
        <v>74</v>
      </c>
      <c r="I72" s="2">
        <v>0</v>
      </c>
      <c r="J72" s="33" t="str">
        <f>INDEX(Xtradata!J$2:J$397,$D72)</f>
        <v>N/A</v>
      </c>
      <c r="K72" s="34" t="str">
        <f>IF(J72="TZ",INDEX(Xtradata!P$2:P$397,$D72),IF(J72="clip",INDEX(Xtradata!K$2:K$397,$D72),""))</f>
        <v/>
      </c>
      <c r="L72" s="34" t="str">
        <f>IF($J72="TZ",INDEX(Xtradata!Q$2:Q$397,$D72),IF($J72="clip",INDEX(Xtradata!L$2:L$397,$D72),""))</f>
        <v/>
      </c>
      <c r="M72" s="34" t="str">
        <f>IF($J72="TZ",INDEX(Xtradata!R$2:R$397,$D72),IF($J72="clip",INDEX(Xtradata!M$2:M$397,$D72),""))</f>
        <v/>
      </c>
      <c r="N72" s="2">
        <v>22</v>
      </c>
      <c r="O72" s="34">
        <f>INDEX(Xtradata!T$2:T$397,$D72)</f>
        <v>0</v>
      </c>
      <c r="P72" s="38">
        <f t="shared" si="11"/>
        <v>0</v>
      </c>
      <c r="Q72" s="48">
        <f t="shared" si="12"/>
        <v>0.77083333333333337</v>
      </c>
      <c r="R72" s="48">
        <f t="shared" si="13"/>
        <v>0.77083333333333337</v>
      </c>
      <c r="S72" s="48">
        <f t="shared" ref="S72:S135" si="18">IF($G72=0,"",IF(J72="N/A",0,L72/$G72))</f>
        <v>0</v>
      </c>
      <c r="T72" s="48">
        <f t="shared" si="14"/>
        <v>0.77083333333333337</v>
      </c>
      <c r="U72" s="48">
        <f t="shared" si="15"/>
        <v>0.22916666666666666</v>
      </c>
      <c r="V72" s="48">
        <f t="shared" si="16"/>
        <v>-2.7755575615628914E-17</v>
      </c>
      <c r="W72" s="48">
        <f t="shared" si="17"/>
        <v>1</v>
      </c>
      <c r="X72" s="14">
        <f>MATCH(C72,'Weights and Seed Amounts'!C$2:C$400,0)</f>
        <v>71</v>
      </c>
      <c r="Y72" s="58">
        <f>INDEX('Weights and Seed Amounts'!D$2:D$400,$X72)</f>
        <v>9.2499999999999999E-2</v>
      </c>
      <c r="Z72" s="34">
        <f>INDEX(Xtradata!U$2:U$397,$D72)</f>
        <v>0</v>
      </c>
    </row>
    <row r="73" spans="1:26" x14ac:dyDescent="0.25">
      <c r="A73" s="2" t="s">
        <v>125</v>
      </c>
      <c r="B73" s="2" t="s">
        <v>126</v>
      </c>
      <c r="C73" s="2" t="s">
        <v>129</v>
      </c>
      <c r="D73" s="32">
        <f>MATCH(Xtradata!C73,Xtradata!C$2:C468,0)</f>
        <v>72</v>
      </c>
      <c r="E73" s="33">
        <f>INDEX(Xtradata!G$2:G$397,$D73)</f>
        <v>44308</v>
      </c>
      <c r="F73" s="33">
        <f>INDEX(Xtradata!H$2:H$397,$D73)</f>
        <v>44356</v>
      </c>
      <c r="G73" s="2">
        <v>100</v>
      </c>
      <c r="H73" s="2">
        <v>72</v>
      </c>
      <c r="I73" s="2">
        <v>0</v>
      </c>
      <c r="J73" s="33" t="str">
        <f>INDEX(Xtradata!J$2:J$397,$D73)</f>
        <v>TZ</v>
      </c>
      <c r="K73" s="34">
        <f>IF(J73="TZ",INDEX(Xtradata!P$2:P$397,$D73),IF(J73="clip",INDEX(Xtradata!K$2:K$397,$D73),""))</f>
        <v>26</v>
      </c>
      <c r="L73" s="34">
        <f>IF($J73="TZ",INDEX(Xtradata!Q$2:Q$397,$D73),IF($J73="clip",INDEX(Xtradata!L$2:L$397,$D73),""))</f>
        <v>3</v>
      </c>
      <c r="M73" s="34">
        <f>IF($J73="TZ",INDEX(Xtradata!R$2:R$397,$D73),IF($J73="clip",INDEX(Xtradata!M$2:M$397,$D73),""))</f>
        <v>23</v>
      </c>
      <c r="N73" s="2">
        <v>2</v>
      </c>
      <c r="O73" s="34">
        <f>INDEX(Xtradata!T$2:T$397,$D73)</f>
        <v>0</v>
      </c>
      <c r="P73" s="38">
        <f t="shared" si="11"/>
        <v>0</v>
      </c>
      <c r="Q73" s="48">
        <f t="shared" si="12"/>
        <v>0.72</v>
      </c>
      <c r="R73" s="48">
        <f t="shared" si="13"/>
        <v>0.72</v>
      </c>
      <c r="S73" s="48">
        <f t="shared" si="18"/>
        <v>0.03</v>
      </c>
      <c r="T73" s="48">
        <f t="shared" si="14"/>
        <v>0.75</v>
      </c>
      <c r="U73" s="48">
        <f t="shared" si="15"/>
        <v>0.02</v>
      </c>
      <c r="V73" s="48">
        <f t="shared" si="16"/>
        <v>0.23</v>
      </c>
      <c r="W73" s="48">
        <f t="shared" si="17"/>
        <v>1</v>
      </c>
      <c r="X73" s="14">
        <f>MATCH(C73,'Weights and Seed Amounts'!C$2:C$400,0)</f>
        <v>72</v>
      </c>
      <c r="Y73" s="58">
        <f>INDEX('Weights and Seed Amounts'!D$2:D$400,$X73)</f>
        <v>7.6600000000000001E-2</v>
      </c>
      <c r="Z73" s="34">
        <f>INDEX(Xtradata!U$2:U$397,$D73)</f>
        <v>0</v>
      </c>
    </row>
    <row r="74" spans="1:26" x14ac:dyDescent="0.25">
      <c r="A74" s="2" t="s">
        <v>125</v>
      </c>
      <c r="B74" s="2" t="s">
        <v>126</v>
      </c>
      <c r="C74" s="2" t="s">
        <v>130</v>
      </c>
      <c r="D74" s="32">
        <f>MATCH(Xtradata!C74,Xtradata!C$2:C469,0)</f>
        <v>73</v>
      </c>
      <c r="E74" s="33">
        <f>INDEX(Xtradata!G$2:G$397,$D74)</f>
        <v>44308</v>
      </c>
      <c r="F74" s="33">
        <f>INDEX(Xtradata!H$2:H$397,$D74)</f>
        <v>44356</v>
      </c>
      <c r="G74" s="2">
        <v>94</v>
      </c>
      <c r="H74" s="2">
        <v>63</v>
      </c>
      <c r="I74" s="2">
        <v>0</v>
      </c>
      <c r="J74" s="33" t="str">
        <f>INDEX(Xtradata!J$2:J$397,$D74)</f>
        <v>TZ</v>
      </c>
      <c r="K74" s="34">
        <f>IF(J74="TZ",INDEX(Xtradata!P$2:P$397,$D74),IF(J74="clip",INDEX(Xtradata!K$2:K$397,$D74),""))</f>
        <v>14</v>
      </c>
      <c r="L74" s="34">
        <f>IF($J74="TZ",INDEX(Xtradata!Q$2:Q$397,$D74),IF($J74="clip",INDEX(Xtradata!L$2:L$397,$D74),""))</f>
        <v>3</v>
      </c>
      <c r="M74" s="34">
        <f>IF($J74="TZ",INDEX(Xtradata!R$2:R$397,$D74),IF($J74="clip",INDEX(Xtradata!M$2:M$397,$D74),""))</f>
        <v>11</v>
      </c>
      <c r="N74" s="2">
        <v>17</v>
      </c>
      <c r="O74" s="34">
        <f>INDEX(Xtradata!T$2:T$397,$D74)</f>
        <v>0</v>
      </c>
      <c r="P74" s="38">
        <f t="shared" si="11"/>
        <v>0</v>
      </c>
      <c r="Q74" s="48">
        <f t="shared" si="12"/>
        <v>0.67021276595744683</v>
      </c>
      <c r="R74" s="48">
        <f t="shared" si="13"/>
        <v>0.67021276595744683</v>
      </c>
      <c r="S74" s="48">
        <f t="shared" si="18"/>
        <v>3.1914893617021274E-2</v>
      </c>
      <c r="T74" s="48">
        <f t="shared" si="14"/>
        <v>0.7021276595744681</v>
      </c>
      <c r="U74" s="48">
        <f t="shared" si="15"/>
        <v>0.18085106382978725</v>
      </c>
      <c r="V74" s="48">
        <f t="shared" si="16"/>
        <v>0.11702127659574466</v>
      </c>
      <c r="W74" s="48">
        <f t="shared" si="17"/>
        <v>1</v>
      </c>
      <c r="X74" s="14">
        <f>MATCH(C74,'Weights and Seed Amounts'!C$2:C$400,0)</f>
        <v>73</v>
      </c>
      <c r="Y74" s="58">
        <f>INDEX('Weights and Seed Amounts'!D$2:D$400,$X74)</f>
        <v>0.11559999999999999</v>
      </c>
      <c r="Z74" s="34">
        <f>INDEX(Xtradata!U$2:U$397,$D74)</f>
        <v>0</v>
      </c>
    </row>
    <row r="75" spans="1:26" x14ac:dyDescent="0.25">
      <c r="A75" s="2" t="s">
        <v>125</v>
      </c>
      <c r="B75" s="2" t="s">
        <v>126</v>
      </c>
      <c r="C75" s="2" t="s">
        <v>131</v>
      </c>
      <c r="D75" s="32">
        <f>MATCH(Xtradata!C75,Xtradata!C$2:C470,0)</f>
        <v>74</v>
      </c>
      <c r="E75" s="33">
        <f>INDEX(Xtradata!G$2:G$397,$D75)</f>
        <v>44308</v>
      </c>
      <c r="F75" s="33">
        <f>INDEX(Xtradata!H$2:H$397,$D75)</f>
        <v>44356</v>
      </c>
      <c r="G75" s="2">
        <v>114</v>
      </c>
      <c r="H75" s="2">
        <v>99</v>
      </c>
      <c r="I75" s="2">
        <v>0</v>
      </c>
      <c r="J75" s="33" t="str">
        <f>INDEX(Xtradata!J$2:J$397,$D75)</f>
        <v>TZ</v>
      </c>
      <c r="K75" s="34">
        <f>IF(J75="TZ",INDEX(Xtradata!P$2:P$397,$D75),IF(J75="clip",INDEX(Xtradata!K$2:K$397,$D75),""))</f>
        <v>8</v>
      </c>
      <c r="L75" s="34">
        <f>IF($J75="TZ",INDEX(Xtradata!Q$2:Q$397,$D75),IF($J75="clip",INDEX(Xtradata!L$2:L$397,$D75),""))</f>
        <v>1</v>
      </c>
      <c r="M75" s="34">
        <f>IF($J75="TZ",INDEX(Xtradata!R$2:R$397,$D75),IF($J75="clip",INDEX(Xtradata!M$2:M$397,$D75),""))</f>
        <v>7</v>
      </c>
      <c r="N75" s="2">
        <v>7</v>
      </c>
      <c r="O75" s="34">
        <f>INDEX(Xtradata!T$2:T$397,$D75)</f>
        <v>0</v>
      </c>
      <c r="P75" s="38">
        <f t="shared" si="11"/>
        <v>0</v>
      </c>
      <c r="Q75" s="48">
        <f t="shared" si="12"/>
        <v>0.86842105263157898</v>
      </c>
      <c r="R75" s="48">
        <f t="shared" si="13"/>
        <v>0.86842105263157898</v>
      </c>
      <c r="S75" s="48">
        <f t="shared" si="18"/>
        <v>8.771929824561403E-3</v>
      </c>
      <c r="T75" s="48">
        <f t="shared" si="14"/>
        <v>0.8771929824561403</v>
      </c>
      <c r="U75" s="48">
        <f t="shared" si="15"/>
        <v>6.1403508771929821E-2</v>
      </c>
      <c r="V75" s="48">
        <f t="shared" si="16"/>
        <v>6.1403508771929877E-2</v>
      </c>
      <c r="W75" s="48">
        <f t="shared" si="17"/>
        <v>1</v>
      </c>
      <c r="X75" s="14">
        <f>MATCH(C75,'Weights and Seed Amounts'!C$2:C$400,0)</f>
        <v>74</v>
      </c>
      <c r="Y75" s="58">
        <f>INDEX('Weights and Seed Amounts'!D$2:D$400,$X75)</f>
        <v>0.1138</v>
      </c>
      <c r="Z75" s="34">
        <f>INDEX(Xtradata!U$2:U$397,$D75)</f>
        <v>0</v>
      </c>
    </row>
    <row r="76" spans="1:26" x14ac:dyDescent="0.25">
      <c r="A76" s="2" t="s">
        <v>125</v>
      </c>
      <c r="B76" s="2" t="s">
        <v>126</v>
      </c>
      <c r="C76" s="2" t="s">
        <v>132</v>
      </c>
      <c r="D76" s="32">
        <f>MATCH(Xtradata!C76,Xtradata!C$2:C471,0)</f>
        <v>75</v>
      </c>
      <c r="E76" s="33">
        <f>INDEX(Xtradata!G$2:G$397,$D76)</f>
        <v>44308</v>
      </c>
      <c r="F76" s="33">
        <f>INDEX(Xtradata!H$2:H$397,$D76)</f>
        <v>44356</v>
      </c>
      <c r="G76" s="41">
        <f>114+16</f>
        <v>130</v>
      </c>
      <c r="H76" s="2">
        <v>78</v>
      </c>
      <c r="I76" s="2">
        <v>0</v>
      </c>
      <c r="J76" s="33" t="str">
        <f>INDEX(Xtradata!J$2:J$397,$D76)</f>
        <v>TZ</v>
      </c>
      <c r="K76" s="34">
        <f>IF(J76="TZ",INDEX(Xtradata!P$2:P$397,$D76),IF(J76="clip",INDEX(Xtradata!K$2:K$397,$D76),""))</f>
        <v>28</v>
      </c>
      <c r="L76" s="34">
        <f>IF($J76="TZ",INDEX(Xtradata!Q$2:Q$397,$D76),IF($J76="clip",INDEX(Xtradata!L$2:L$397,$D76),""))</f>
        <v>6</v>
      </c>
      <c r="M76" s="34">
        <f>IF($J76="TZ",INDEX(Xtradata!R$2:R$397,$D76),IF($J76="clip",INDEX(Xtradata!M$2:M$397,$D76),""))</f>
        <v>22</v>
      </c>
      <c r="N76" s="2">
        <v>14</v>
      </c>
      <c r="O76" s="34">
        <f>INDEX(Xtradata!T$2:T$397,$D76)</f>
        <v>10</v>
      </c>
      <c r="P76" s="38">
        <f t="shared" si="11"/>
        <v>0</v>
      </c>
      <c r="Q76" s="48">
        <f t="shared" si="12"/>
        <v>0.6</v>
      </c>
      <c r="R76" s="48">
        <f t="shared" si="13"/>
        <v>0.6</v>
      </c>
      <c r="S76" s="48">
        <f t="shared" si="18"/>
        <v>4.6153846153846156E-2</v>
      </c>
      <c r="T76" s="48">
        <f t="shared" si="14"/>
        <v>0.64615384615384619</v>
      </c>
      <c r="U76" s="48">
        <f t="shared" si="15"/>
        <v>0.1076923076923077</v>
      </c>
      <c r="V76" s="48">
        <f t="shared" si="16"/>
        <v>0.24615384615384611</v>
      </c>
      <c r="W76" s="48">
        <f t="shared" si="17"/>
        <v>1</v>
      </c>
      <c r="X76" s="14">
        <f>MATCH(C76,'Weights and Seed Amounts'!C$2:C$400,0)</f>
        <v>75</v>
      </c>
      <c r="Y76" s="58">
        <f>INDEX('Weights and Seed Amounts'!D$2:D$400,$X76)</f>
        <v>9.9299999999999999E-2</v>
      </c>
      <c r="Z76" s="34">
        <f>INDEX(Xtradata!U$2:U$397,$D76)</f>
        <v>0</v>
      </c>
    </row>
    <row r="77" spans="1:26" x14ac:dyDescent="0.25">
      <c r="A77" s="2" t="s">
        <v>125</v>
      </c>
      <c r="B77" s="2" t="s">
        <v>126</v>
      </c>
      <c r="C77" s="2" t="s">
        <v>133</v>
      </c>
      <c r="D77" s="32">
        <f>MATCH(Xtradata!C77,Xtradata!C$2:C472,0)</f>
        <v>76</v>
      </c>
      <c r="E77" s="33">
        <f>INDEX(Xtradata!G$2:G$397,$D77)</f>
        <v>44308</v>
      </c>
      <c r="F77" s="33">
        <f>INDEX(Xtradata!H$2:H$397,$D77)</f>
        <v>44356</v>
      </c>
      <c r="G77" s="2">
        <v>100</v>
      </c>
      <c r="H77" s="2">
        <v>76</v>
      </c>
      <c r="I77" s="2">
        <v>0</v>
      </c>
      <c r="J77" s="33" t="str">
        <f>INDEX(Xtradata!J$2:J$397,$D77)</f>
        <v>TZ</v>
      </c>
      <c r="K77" s="34">
        <f>IF(J77="TZ",INDEX(Xtradata!P$2:P$397,$D77),IF(J77="clip",INDEX(Xtradata!K$2:K$397,$D77),""))</f>
        <v>20</v>
      </c>
      <c r="L77" s="34">
        <f>IF($J77="TZ",INDEX(Xtradata!Q$2:Q$397,$D77),IF($J77="clip",INDEX(Xtradata!L$2:L$397,$D77),""))</f>
        <v>6</v>
      </c>
      <c r="M77" s="34">
        <f>IF($J77="TZ",INDEX(Xtradata!R$2:R$397,$D77),IF($J77="clip",INDEX(Xtradata!M$2:M$397,$D77),""))</f>
        <v>14</v>
      </c>
      <c r="N77" s="2">
        <v>4</v>
      </c>
      <c r="O77" s="34">
        <f>INDEX(Xtradata!T$2:T$397,$D77)</f>
        <v>0</v>
      </c>
      <c r="P77" s="38">
        <f t="shared" si="11"/>
        <v>0</v>
      </c>
      <c r="Q77" s="48">
        <f t="shared" si="12"/>
        <v>0.76</v>
      </c>
      <c r="R77" s="48">
        <f t="shared" si="13"/>
        <v>0.76</v>
      </c>
      <c r="S77" s="48">
        <f t="shared" si="18"/>
        <v>0.06</v>
      </c>
      <c r="T77" s="48">
        <f t="shared" si="14"/>
        <v>0.82</v>
      </c>
      <c r="U77" s="48">
        <f t="shared" si="15"/>
        <v>0.04</v>
      </c>
      <c r="V77" s="48">
        <f t="shared" si="16"/>
        <v>0.14000000000000004</v>
      </c>
      <c r="W77" s="48">
        <f t="shared" si="17"/>
        <v>1.0000000000000002</v>
      </c>
      <c r="X77" s="14">
        <f>MATCH(C77,'Weights and Seed Amounts'!C$2:C$400,0)</f>
        <v>76</v>
      </c>
      <c r="Y77" s="58">
        <f>INDEX('Weights and Seed Amounts'!D$2:D$400,$X77)</f>
        <v>0.123</v>
      </c>
      <c r="Z77" s="34">
        <f>INDEX(Xtradata!U$2:U$397,$D77)</f>
        <v>0</v>
      </c>
    </row>
    <row r="78" spans="1:26" x14ac:dyDescent="0.25">
      <c r="A78" s="2" t="s">
        <v>125</v>
      </c>
      <c r="B78" s="2" t="s">
        <v>126</v>
      </c>
      <c r="C78" s="2" t="s">
        <v>134</v>
      </c>
      <c r="D78" s="32">
        <f>MATCH(Xtradata!C78,Xtradata!C$2:C473,0)</f>
        <v>77</v>
      </c>
      <c r="E78" s="33" t="str">
        <f>INDEX(Xtradata!G$2:G$397,$D78)</f>
        <v>N/A</v>
      </c>
      <c r="F78" s="33" t="str">
        <f>INDEX(Xtradata!H$2:H$397,$D78)</f>
        <v>N/A</v>
      </c>
      <c r="G78" s="2">
        <v>0</v>
      </c>
      <c r="H78" s="2" t="s">
        <v>581</v>
      </c>
      <c r="I78" s="2" t="s">
        <v>581</v>
      </c>
      <c r="J78" s="33" t="str">
        <f>INDEX(Xtradata!J$2:J$397,$D78)</f>
        <v>TZ</v>
      </c>
      <c r="K78" s="34">
        <f>IF(J78="TZ",INDEX(Xtradata!P$2:P$397,$D78),IF(J78="clip",INDEX(Xtradata!K$2:K$397,$D78),""))</f>
        <v>11</v>
      </c>
      <c r="L78" s="34">
        <f>IF($J78="TZ",INDEX(Xtradata!Q$2:Q$397,$D78),IF($J78="clip",INDEX(Xtradata!L$2:L$397,$D78),""))</f>
        <v>0</v>
      </c>
      <c r="M78" s="34">
        <f>IF($J78="TZ",INDEX(Xtradata!R$2:R$397,$D78),IF($J78="clip",INDEX(Xtradata!M$2:M$397,$D78),""))</f>
        <v>11</v>
      </c>
      <c r="N78" s="2" t="s">
        <v>581</v>
      </c>
      <c r="O78" s="34">
        <f>INDEX(Xtradata!T$2:T$397,$D78)</f>
        <v>0</v>
      </c>
      <c r="P78" s="38">
        <f t="shared" si="11"/>
        <v>0</v>
      </c>
      <c r="Q78" s="48" t="str">
        <f t="shared" si="12"/>
        <v/>
      </c>
      <c r="R78" s="48" t="str">
        <f t="shared" si="13"/>
        <v/>
      </c>
      <c r="S78" s="48" t="str">
        <f t="shared" si="18"/>
        <v/>
      </c>
      <c r="T78" s="48">
        <f t="shared" si="14"/>
        <v>0</v>
      </c>
      <c r="U78" s="48" t="str">
        <f t="shared" si="15"/>
        <v/>
      </c>
      <c r="V78" s="48">
        <f t="shared" si="16"/>
        <v>1</v>
      </c>
      <c r="W78" s="48">
        <f t="shared" si="17"/>
        <v>1</v>
      </c>
      <c r="X78" s="14">
        <f>MATCH(C78,'Weights and Seed Amounts'!C$2:C$400,0)</f>
        <v>77</v>
      </c>
      <c r="Y78" s="58">
        <f>INDEX('Weights and Seed Amounts'!D$2:D$400,$X78)</f>
        <v>0.1011</v>
      </c>
      <c r="Z78" s="34" t="str">
        <f>INDEX(Xtradata!U$2:U$397,$D78)</f>
        <v>Initial TZ of ~ 10 seeds indicated no viability.  High proportion of empty seeds or embryos damaged by insect/handling. Perhaps immature. Not planted for germ assay.</v>
      </c>
    </row>
    <row r="79" spans="1:26" x14ac:dyDescent="0.25">
      <c r="A79" s="2" t="s">
        <v>125</v>
      </c>
      <c r="B79" s="2" t="s">
        <v>126</v>
      </c>
      <c r="C79" s="2" t="s">
        <v>135</v>
      </c>
      <c r="D79" s="32">
        <f>MATCH(Xtradata!C79,Xtradata!C$2:C474,0)</f>
        <v>78</v>
      </c>
      <c r="E79" s="33" t="str">
        <f>INDEX(Xtradata!G$2:G$397,$D79)</f>
        <v>N/A</v>
      </c>
      <c r="F79" s="33" t="str">
        <f>INDEX(Xtradata!H$2:H$397,$D79)</f>
        <v>N/A</v>
      </c>
      <c r="G79" s="2">
        <v>0</v>
      </c>
      <c r="H79" s="2" t="s">
        <v>581</v>
      </c>
      <c r="I79" s="2" t="s">
        <v>581</v>
      </c>
      <c r="J79" s="33" t="str">
        <f>INDEX(Xtradata!J$2:J$397,$D79)</f>
        <v>TZ</v>
      </c>
      <c r="K79" s="34">
        <f>IF(J79="TZ",INDEX(Xtradata!P$2:P$397,$D79),IF(J79="clip",INDEX(Xtradata!K$2:K$397,$D79),""))</f>
        <v>12</v>
      </c>
      <c r="L79" s="34">
        <f>IF($J79="TZ",INDEX(Xtradata!Q$2:Q$397,$D79),IF($J79="clip",INDEX(Xtradata!L$2:L$397,$D79),""))</f>
        <v>0</v>
      </c>
      <c r="M79" s="34">
        <f>IF($J79="TZ",INDEX(Xtradata!R$2:R$397,$D79),IF($J79="clip",INDEX(Xtradata!M$2:M$397,$D79),""))</f>
        <v>12</v>
      </c>
      <c r="N79" s="2" t="s">
        <v>581</v>
      </c>
      <c r="O79" s="34">
        <f>INDEX(Xtradata!T$2:T$397,$D79)</f>
        <v>0</v>
      </c>
      <c r="P79" s="38">
        <f t="shared" si="11"/>
        <v>0</v>
      </c>
      <c r="Q79" s="48" t="str">
        <f t="shared" si="12"/>
        <v/>
      </c>
      <c r="R79" s="48" t="str">
        <f t="shared" si="13"/>
        <v/>
      </c>
      <c r="S79" s="48" t="str">
        <f t="shared" si="18"/>
        <v/>
      </c>
      <c r="T79" s="48">
        <f t="shared" si="14"/>
        <v>0</v>
      </c>
      <c r="U79" s="48" t="str">
        <f t="shared" si="15"/>
        <v/>
      </c>
      <c r="V79" s="48">
        <f t="shared" si="16"/>
        <v>1</v>
      </c>
      <c r="W79" s="48">
        <f t="shared" si="17"/>
        <v>1</v>
      </c>
      <c r="X79" s="14">
        <f>MATCH(C79,'Weights and Seed Amounts'!C$2:C$400,0)</f>
        <v>78</v>
      </c>
      <c r="Y79" s="58">
        <f>INDEX('Weights and Seed Amounts'!D$2:D$400,$X79)</f>
        <v>9.2299999999999993E-2</v>
      </c>
      <c r="Z79" s="34" t="str">
        <f>INDEX(Xtradata!U$2:U$397,$D79)</f>
        <v>Initial TZ of ~ 10 seeds indicated no viability.  High proportion of empty seeds or embryos damaged by insect/handling. Perhaps immature. Not planted for germ assay.</v>
      </c>
    </row>
    <row r="80" spans="1:26" x14ac:dyDescent="0.25">
      <c r="A80" s="2" t="s">
        <v>136</v>
      </c>
      <c r="B80" s="2" t="s">
        <v>137</v>
      </c>
      <c r="C80" s="2" t="s">
        <v>138</v>
      </c>
      <c r="D80" s="32">
        <f>MATCH(Xtradata!C80,Xtradata!C$2:C475,0)</f>
        <v>79</v>
      </c>
      <c r="E80" s="33">
        <f>INDEX(Xtradata!G$2:G$397,$D80)</f>
        <v>44341</v>
      </c>
      <c r="F80" s="33">
        <f>INDEX(Xtradata!H$2:H$397,$D80)</f>
        <v>44389</v>
      </c>
      <c r="G80" s="2">
        <v>110</v>
      </c>
      <c r="H80" s="2">
        <v>11</v>
      </c>
      <c r="I80" s="2">
        <v>0</v>
      </c>
      <c r="J80" s="33" t="str">
        <f>INDEX(Xtradata!J$2:J$397,$D80)</f>
        <v>N/A</v>
      </c>
      <c r="K80" s="34" t="str">
        <f>IF(J80="TZ",INDEX(Xtradata!P$2:P$397,$D80),IF(J80="clip",INDEX(Xtradata!K$2:K$397,$D80),""))</f>
        <v/>
      </c>
      <c r="L80" s="34" t="str">
        <f>IF($J80="TZ",INDEX(Xtradata!Q$2:Q$397,$D80),IF($J80="clip",INDEX(Xtradata!L$2:L$397,$D80),""))</f>
        <v/>
      </c>
      <c r="M80" s="34" t="str">
        <f>IF($J80="TZ",INDEX(Xtradata!R$2:R$397,$D80),IF($J80="clip",INDEX(Xtradata!M$2:M$397,$D80),""))</f>
        <v/>
      </c>
      <c r="N80" s="2">
        <v>89</v>
      </c>
      <c r="O80" s="34">
        <f>INDEX(Xtradata!T$2:T$397,$D80)</f>
        <v>10</v>
      </c>
      <c r="P80" s="38">
        <f t="shared" si="11"/>
        <v>0</v>
      </c>
      <c r="Q80" s="48">
        <f t="shared" si="12"/>
        <v>0.1</v>
      </c>
      <c r="R80" s="48">
        <f t="shared" si="13"/>
        <v>0.1</v>
      </c>
      <c r="S80" s="48">
        <f t="shared" si="18"/>
        <v>0</v>
      </c>
      <c r="T80" s="48">
        <f t="shared" si="14"/>
        <v>0.1</v>
      </c>
      <c r="U80" s="48">
        <f t="shared" si="15"/>
        <v>0.80909090909090908</v>
      </c>
      <c r="V80" s="48">
        <f t="shared" si="16"/>
        <v>9.0909090909090939E-2</v>
      </c>
      <c r="W80" s="48">
        <f t="shared" si="17"/>
        <v>1</v>
      </c>
      <c r="X80" s="14">
        <f>MATCH(C80,'Weights and Seed Amounts'!C$2:C$400,0)</f>
        <v>79</v>
      </c>
      <c r="Y80" s="58">
        <f>INDEX('Weights and Seed Amounts'!D$2:D$400,$X80)</f>
        <v>4.1099999999999998E-2</v>
      </c>
      <c r="Z80" s="34">
        <f>INDEX(Xtradata!U$2:U$397,$D80)</f>
        <v>0</v>
      </c>
    </row>
    <row r="81" spans="1:26" x14ac:dyDescent="0.25">
      <c r="A81" s="2" t="s">
        <v>139</v>
      </c>
      <c r="B81" s="2" t="s">
        <v>140</v>
      </c>
      <c r="C81" s="2" t="s">
        <v>141</v>
      </c>
      <c r="D81" s="32">
        <f>MATCH(Xtradata!C81,Xtradata!C$2:C476,0)</f>
        <v>80</v>
      </c>
      <c r="E81" s="33">
        <f>INDEX(Xtradata!G$2:G$397,$D81)</f>
        <v>44341</v>
      </c>
      <c r="F81" s="33">
        <f>INDEX(Xtradata!H$2:H$397,$D81)</f>
        <v>44384</v>
      </c>
      <c r="G81" s="2">
        <v>100</v>
      </c>
      <c r="H81" s="2">
        <v>0</v>
      </c>
      <c r="I81" s="2">
        <v>0</v>
      </c>
      <c r="J81" s="33" t="str">
        <f>INDEX(Xtradata!J$2:J$397,$D81)</f>
        <v>TZ</v>
      </c>
      <c r="K81" s="34">
        <f>IF(J81="TZ",INDEX(Xtradata!P$2:P$397,$D81),IF(J81="clip",INDEX(Xtradata!K$2:K$397,$D81),""))</f>
        <v>58</v>
      </c>
      <c r="L81" s="34">
        <f>IF($J81="TZ",INDEX(Xtradata!Q$2:Q$397,$D81),IF($J81="clip",INDEX(Xtradata!L$2:L$397,$D81),""))</f>
        <v>50</v>
      </c>
      <c r="M81" s="34">
        <f>IF($J81="TZ",INDEX(Xtradata!R$2:R$397,$D81),IF($J81="clip",INDEX(Xtradata!M$2:M$397,$D81),""))</f>
        <v>8</v>
      </c>
      <c r="N81" s="2">
        <v>42</v>
      </c>
      <c r="O81" s="34">
        <f>INDEX(Xtradata!T$2:T$397,$D81)</f>
        <v>0</v>
      </c>
      <c r="P81" s="38">
        <f t="shared" si="11"/>
        <v>0</v>
      </c>
      <c r="Q81" s="48">
        <f t="shared" si="12"/>
        <v>0</v>
      </c>
      <c r="R81" s="48">
        <f t="shared" si="13"/>
        <v>0</v>
      </c>
      <c r="S81" s="48">
        <f t="shared" si="18"/>
        <v>0.5</v>
      </c>
      <c r="T81" s="48">
        <f t="shared" si="14"/>
        <v>0.5</v>
      </c>
      <c r="U81" s="48">
        <f t="shared" si="15"/>
        <v>0.42</v>
      </c>
      <c r="V81" s="48">
        <f t="shared" si="16"/>
        <v>8.0000000000000016E-2</v>
      </c>
      <c r="W81" s="48">
        <f t="shared" si="17"/>
        <v>1</v>
      </c>
      <c r="X81" s="14">
        <f>MATCH(C81,'Weights and Seed Amounts'!C$2:C$400,0)</f>
        <v>80</v>
      </c>
      <c r="Y81" s="58">
        <f>INDEX('Weights and Seed Amounts'!D$2:D$400,$X81)</f>
        <v>0.11749999999999999</v>
      </c>
      <c r="Z81" s="34">
        <f>INDEX(Xtradata!U$2:U$397,$D81)</f>
        <v>0</v>
      </c>
    </row>
    <row r="82" spans="1:26" x14ac:dyDescent="0.25">
      <c r="A82" s="2" t="s">
        <v>139</v>
      </c>
      <c r="B82" s="2" t="s">
        <v>140</v>
      </c>
      <c r="C82" s="2" t="s">
        <v>142</v>
      </c>
      <c r="D82" s="32">
        <f>MATCH(Xtradata!C82,Xtradata!C$2:C477,0)</f>
        <v>81</v>
      </c>
      <c r="E82" s="33">
        <f>INDEX(Xtradata!G$2:G$397,$D82)</f>
        <v>44341</v>
      </c>
      <c r="F82" s="33">
        <f>INDEX(Xtradata!H$2:H$397,$D82)</f>
        <v>44384</v>
      </c>
      <c r="G82" s="2">
        <v>106</v>
      </c>
      <c r="H82" s="2">
        <v>1</v>
      </c>
      <c r="I82" s="2">
        <v>0</v>
      </c>
      <c r="J82" s="33" t="str">
        <f>INDEX(Xtradata!J$2:J$397,$D82)</f>
        <v>TZ</v>
      </c>
      <c r="K82" s="34">
        <f>IF(J82="TZ",INDEX(Xtradata!P$2:P$397,$D82),IF(J82="clip",INDEX(Xtradata!K$2:K$397,$D82),""))</f>
        <v>84</v>
      </c>
      <c r="L82" s="34">
        <f>IF($J82="TZ",INDEX(Xtradata!Q$2:Q$397,$D82),IF($J82="clip",INDEX(Xtradata!L$2:L$397,$D82),""))</f>
        <v>68</v>
      </c>
      <c r="M82" s="34">
        <f>IF($J82="TZ",INDEX(Xtradata!R$2:R$397,$D82),IF($J82="clip",INDEX(Xtradata!M$2:M$397,$D82),""))</f>
        <v>16</v>
      </c>
      <c r="N82" s="2">
        <v>21</v>
      </c>
      <c r="O82" s="34">
        <f>INDEX(Xtradata!T$2:T$397,$D82)</f>
        <v>0</v>
      </c>
      <c r="P82" s="38">
        <f t="shared" si="11"/>
        <v>0</v>
      </c>
      <c r="Q82" s="48">
        <f t="shared" si="12"/>
        <v>9.433962264150943E-3</v>
      </c>
      <c r="R82" s="48">
        <f t="shared" si="13"/>
        <v>9.433962264150943E-3</v>
      </c>
      <c r="S82" s="48">
        <f t="shared" si="18"/>
        <v>0.64150943396226412</v>
      </c>
      <c r="T82" s="48">
        <f t="shared" si="14"/>
        <v>0.65094339622641506</v>
      </c>
      <c r="U82" s="48">
        <f t="shared" si="15"/>
        <v>0.19811320754716982</v>
      </c>
      <c r="V82" s="48">
        <f t="shared" si="16"/>
        <v>0.15094339622641512</v>
      </c>
      <c r="W82" s="48">
        <f t="shared" si="17"/>
        <v>1</v>
      </c>
      <c r="X82" s="14">
        <f>MATCH(C82,'Weights and Seed Amounts'!C$2:C$400,0)</f>
        <v>81</v>
      </c>
      <c r="Y82" s="58">
        <f>INDEX('Weights and Seed Amounts'!D$2:D$400,$X82)</f>
        <v>0.12670000000000001</v>
      </c>
      <c r="Z82" s="34">
        <f>INDEX(Xtradata!U$2:U$397,$D82)</f>
        <v>0</v>
      </c>
    </row>
    <row r="83" spans="1:26" x14ac:dyDescent="0.25">
      <c r="A83" s="2" t="s">
        <v>139</v>
      </c>
      <c r="B83" s="2" t="s">
        <v>140</v>
      </c>
      <c r="C83" s="2" t="s">
        <v>143</v>
      </c>
      <c r="D83" s="32">
        <f>MATCH(Xtradata!C83,Xtradata!C$2:C478,0)</f>
        <v>82</v>
      </c>
      <c r="E83" s="33">
        <f>INDEX(Xtradata!G$2:G$397,$D83)</f>
        <v>44341</v>
      </c>
      <c r="F83" s="33">
        <f>INDEX(Xtradata!H$2:H$397,$D83)</f>
        <v>44384</v>
      </c>
      <c r="G83" s="41">
        <f>100+8</f>
        <v>108</v>
      </c>
      <c r="H83" s="2">
        <v>1</v>
      </c>
      <c r="I83" s="2">
        <v>0</v>
      </c>
      <c r="J83" s="33" t="str">
        <f>INDEX(Xtradata!J$2:J$397,$D83)</f>
        <v>TZ</v>
      </c>
      <c r="K83" s="34">
        <f>IF(J83="TZ",INDEX(Xtradata!P$2:P$397,$D83),IF(J83="clip",INDEX(Xtradata!K$2:K$397,$D83),""))</f>
        <v>98</v>
      </c>
      <c r="L83" s="34">
        <f>IF($J83="TZ",INDEX(Xtradata!Q$2:Q$397,$D83),IF($J83="clip",INDEX(Xtradata!L$2:L$397,$D83),""))</f>
        <v>66</v>
      </c>
      <c r="M83" s="34">
        <f>IF($J83="TZ",INDEX(Xtradata!R$2:R$397,$D83),IF($J83="clip",INDEX(Xtradata!M$2:M$397,$D83),""))</f>
        <v>32</v>
      </c>
      <c r="N83" s="2">
        <v>5</v>
      </c>
      <c r="O83" s="34">
        <f>INDEX(Xtradata!T$2:T$397,$D83)</f>
        <v>4</v>
      </c>
      <c r="P83" s="38">
        <f t="shared" si="11"/>
        <v>0</v>
      </c>
      <c r="Q83" s="48">
        <f t="shared" si="12"/>
        <v>9.2592592592592587E-3</v>
      </c>
      <c r="R83" s="48">
        <f t="shared" si="13"/>
        <v>9.2592592592592587E-3</v>
      </c>
      <c r="S83" s="48">
        <f t="shared" si="18"/>
        <v>0.61111111111111116</v>
      </c>
      <c r="T83" s="48">
        <f t="shared" si="14"/>
        <v>0.62037037037037035</v>
      </c>
      <c r="U83" s="48">
        <f t="shared" si="15"/>
        <v>4.6296296296296294E-2</v>
      </c>
      <c r="V83" s="48">
        <f t="shared" si="16"/>
        <v>0.33333333333333337</v>
      </c>
      <c r="W83" s="48">
        <f t="shared" si="17"/>
        <v>1</v>
      </c>
      <c r="X83" s="14">
        <f>MATCH(C83,'Weights and Seed Amounts'!C$2:C$400,0)</f>
        <v>82</v>
      </c>
      <c r="Y83" s="58">
        <f>INDEX('Weights and Seed Amounts'!D$2:D$400,$X83)</f>
        <v>0.1012</v>
      </c>
      <c r="Z83" s="34">
        <f>INDEX(Xtradata!U$2:U$397,$D83)</f>
        <v>0</v>
      </c>
    </row>
    <row r="84" spans="1:26" x14ac:dyDescent="0.25">
      <c r="A84" s="2" t="s">
        <v>144</v>
      </c>
      <c r="B84" s="2" t="s">
        <v>145</v>
      </c>
      <c r="C84" s="2" t="s">
        <v>146</v>
      </c>
      <c r="D84" s="32">
        <f>MATCH(Xtradata!C84,Xtradata!C$2:C479,0)</f>
        <v>83</v>
      </c>
      <c r="E84" s="33">
        <f>INDEX(Xtradata!G$2:G$397,$D84)</f>
        <v>44313</v>
      </c>
      <c r="F84" s="33">
        <f>INDEX(Xtradata!H$2:H$397,$D84)</f>
        <v>44356</v>
      </c>
      <c r="G84" s="2">
        <v>100</v>
      </c>
      <c r="H84" s="2">
        <v>8</v>
      </c>
      <c r="I84" s="2">
        <v>0</v>
      </c>
      <c r="J84" s="33" t="str">
        <f>INDEX(Xtradata!J$2:J$397,$D84)</f>
        <v>TZ</v>
      </c>
      <c r="K84" s="34">
        <f>IF(J84="TZ",INDEX(Xtradata!P$2:P$397,$D84),IF(J84="clip",INDEX(Xtradata!K$2:K$397,$D84),""))</f>
        <v>92</v>
      </c>
      <c r="L84" s="34">
        <f>IF($J84="TZ",INDEX(Xtradata!Q$2:Q$397,$D84),IF($J84="clip",INDEX(Xtradata!L$2:L$397,$D84),""))</f>
        <v>65</v>
      </c>
      <c r="M84" s="34">
        <f>IF($J84="TZ",INDEX(Xtradata!R$2:R$397,$D84),IF($J84="clip",INDEX(Xtradata!M$2:M$397,$D84),""))</f>
        <v>27</v>
      </c>
      <c r="N84" s="2">
        <v>0</v>
      </c>
      <c r="O84" s="34">
        <f>INDEX(Xtradata!T$2:T$397,$D84)</f>
        <v>0</v>
      </c>
      <c r="P84" s="38">
        <f t="shared" si="11"/>
        <v>0</v>
      </c>
      <c r="Q84" s="48">
        <f t="shared" si="12"/>
        <v>0.08</v>
      </c>
      <c r="R84" s="48">
        <f t="shared" si="13"/>
        <v>0.08</v>
      </c>
      <c r="S84" s="48">
        <f t="shared" si="18"/>
        <v>0.65</v>
      </c>
      <c r="T84" s="48">
        <f t="shared" si="14"/>
        <v>0.73</v>
      </c>
      <c r="U84" s="48">
        <f t="shared" si="15"/>
        <v>0</v>
      </c>
      <c r="V84" s="48">
        <f t="shared" si="16"/>
        <v>0.27</v>
      </c>
      <c r="W84" s="48">
        <f t="shared" si="17"/>
        <v>1</v>
      </c>
      <c r="X84" s="14">
        <f>MATCH(C84,'Weights and Seed Amounts'!C$2:C$400,0)</f>
        <v>83</v>
      </c>
      <c r="Y84" s="58">
        <f>INDEX('Weights and Seed Amounts'!D$2:D$400,$X84)</f>
        <v>1.89E-2</v>
      </c>
      <c r="Z84" s="34">
        <f>INDEX(Xtradata!U$2:U$397,$D84)</f>
        <v>0</v>
      </c>
    </row>
    <row r="85" spans="1:26" x14ac:dyDescent="0.25">
      <c r="A85" s="2" t="s">
        <v>144</v>
      </c>
      <c r="B85" s="2" t="s">
        <v>145</v>
      </c>
      <c r="C85" s="2" t="s">
        <v>147</v>
      </c>
      <c r="D85" s="32">
        <f>MATCH(Xtradata!C85,Xtradata!C$2:C480,0)</f>
        <v>84</v>
      </c>
      <c r="E85" s="33">
        <f>INDEX(Xtradata!G$2:G$397,$D85)</f>
        <v>44291</v>
      </c>
      <c r="F85" s="33">
        <f>INDEX(Xtradata!H$2:H$397,$D85)</f>
        <v>44349</v>
      </c>
      <c r="G85" s="2">
        <v>95</v>
      </c>
      <c r="H85" s="2">
        <v>40</v>
      </c>
      <c r="I85" s="2">
        <v>7</v>
      </c>
      <c r="J85" s="33" t="str">
        <f>INDEX(Xtradata!J$2:J$397,$D85)</f>
        <v>TZ</v>
      </c>
      <c r="K85" s="34">
        <f>IF(J85="TZ",INDEX(Xtradata!P$2:P$397,$D85),IF(J85="clip",INDEX(Xtradata!K$2:K$397,$D85),""))</f>
        <v>40</v>
      </c>
      <c r="L85" s="34">
        <f>IF($J85="TZ",INDEX(Xtradata!Q$2:Q$397,$D85),IF($J85="clip",INDEX(Xtradata!L$2:L$397,$D85),""))</f>
        <v>23</v>
      </c>
      <c r="M85" s="34">
        <f>IF($J85="TZ",INDEX(Xtradata!R$2:R$397,$D85),IF($J85="clip",INDEX(Xtradata!M$2:M$397,$D85),""))</f>
        <v>17</v>
      </c>
      <c r="N85" s="2">
        <v>0</v>
      </c>
      <c r="O85" s="34">
        <f>INDEX(Xtradata!T$2:T$397,$D85)</f>
        <v>8</v>
      </c>
      <c r="P85" s="38">
        <f t="shared" si="11"/>
        <v>0</v>
      </c>
      <c r="Q85" s="48">
        <f t="shared" si="12"/>
        <v>0.42105263157894735</v>
      </c>
      <c r="R85" s="48">
        <f t="shared" si="13"/>
        <v>0.49473684210526314</v>
      </c>
      <c r="S85" s="48">
        <f t="shared" si="18"/>
        <v>0.24210526315789474</v>
      </c>
      <c r="T85" s="48">
        <f t="shared" si="14"/>
        <v>0.73684210526315785</v>
      </c>
      <c r="U85" s="48">
        <f t="shared" si="15"/>
        <v>0</v>
      </c>
      <c r="V85" s="48">
        <f t="shared" si="16"/>
        <v>0.26315789473684215</v>
      </c>
      <c r="W85" s="48">
        <f t="shared" si="17"/>
        <v>1</v>
      </c>
      <c r="X85" s="14">
        <f>MATCH(C85,'Weights and Seed Amounts'!C$2:C$400,0)</f>
        <v>84</v>
      </c>
      <c r="Y85" s="58">
        <f>INDEX('Weights and Seed Amounts'!D$2:D$400,$X85)</f>
        <v>1.8499999999999999E-2</v>
      </c>
      <c r="Z85" s="34">
        <f>INDEX(Xtradata!U$2:U$397,$D85)</f>
        <v>0</v>
      </c>
    </row>
    <row r="86" spans="1:26" x14ac:dyDescent="0.25">
      <c r="A86" s="2" t="s">
        <v>144</v>
      </c>
      <c r="B86" s="2" t="s">
        <v>145</v>
      </c>
      <c r="C86" s="2" t="s">
        <v>148</v>
      </c>
      <c r="D86" s="32">
        <f>MATCH(Xtradata!C86,Xtradata!C$2:C481,0)</f>
        <v>85</v>
      </c>
      <c r="E86" s="33">
        <f>INDEX(Xtradata!G$2:G$397,$D86)</f>
        <v>44313</v>
      </c>
      <c r="F86" s="33">
        <f>INDEX(Xtradata!H$2:H$397,$D86)</f>
        <v>44349</v>
      </c>
      <c r="G86" s="2">
        <v>118</v>
      </c>
      <c r="H86" s="2">
        <v>103</v>
      </c>
      <c r="I86" s="2">
        <v>0</v>
      </c>
      <c r="J86" s="33" t="str">
        <f>INDEX(Xtradata!J$2:J$397,$D86)</f>
        <v>TZ</v>
      </c>
      <c r="K86" s="34">
        <f>IF(J86="TZ",INDEX(Xtradata!P$2:P$397,$D86),IF(J86="clip",INDEX(Xtradata!K$2:K$397,$D86),""))</f>
        <v>10</v>
      </c>
      <c r="L86" s="34">
        <f>IF($J86="TZ",INDEX(Xtradata!Q$2:Q$397,$D86),IF($J86="clip",INDEX(Xtradata!L$2:L$397,$D86),""))</f>
        <v>4</v>
      </c>
      <c r="M86" s="34">
        <f>IF($J86="TZ",INDEX(Xtradata!R$2:R$397,$D86),IF($J86="clip",INDEX(Xtradata!M$2:M$397,$D86),""))</f>
        <v>6</v>
      </c>
      <c r="N86" s="2">
        <v>5</v>
      </c>
      <c r="O86" s="34">
        <f>INDEX(Xtradata!T$2:T$397,$D86)</f>
        <v>0</v>
      </c>
      <c r="P86" s="38">
        <f t="shared" si="11"/>
        <v>0</v>
      </c>
      <c r="Q86" s="48">
        <f t="shared" si="12"/>
        <v>0.8728813559322034</v>
      </c>
      <c r="R86" s="48">
        <f t="shared" si="13"/>
        <v>0.8728813559322034</v>
      </c>
      <c r="S86" s="48">
        <f t="shared" si="18"/>
        <v>3.3898305084745763E-2</v>
      </c>
      <c r="T86" s="48">
        <f t="shared" si="14"/>
        <v>0.90677966101694918</v>
      </c>
      <c r="U86" s="48">
        <f t="shared" si="15"/>
        <v>4.2372881355932202E-2</v>
      </c>
      <c r="V86" s="48">
        <f t="shared" si="16"/>
        <v>5.084745762711862E-2</v>
      </c>
      <c r="W86" s="48">
        <f t="shared" si="17"/>
        <v>1</v>
      </c>
      <c r="X86" s="14">
        <f>MATCH(C86,'Weights and Seed Amounts'!C$2:C$400,0)</f>
        <v>85</v>
      </c>
      <c r="Y86" s="58">
        <f>INDEX('Weights and Seed Amounts'!D$2:D$400,$X86)</f>
        <v>2.2800000000000001E-2</v>
      </c>
      <c r="Z86" s="34">
        <f>INDEX(Xtradata!U$2:U$397,$D86)</f>
        <v>0</v>
      </c>
    </row>
    <row r="87" spans="1:26" x14ac:dyDescent="0.25">
      <c r="A87" s="2" t="s">
        <v>144</v>
      </c>
      <c r="B87" s="2" t="s">
        <v>149</v>
      </c>
      <c r="C87" s="2" t="s">
        <v>150</v>
      </c>
      <c r="D87" s="32">
        <f>MATCH(Xtradata!C87,Xtradata!C$2:C482,0)</f>
        <v>86</v>
      </c>
      <c r="E87" s="33">
        <f>INDEX(Xtradata!G$2:G$397,$D87)</f>
        <v>44313</v>
      </c>
      <c r="F87" s="33">
        <f>INDEX(Xtradata!H$2:H$397,$D87)</f>
        <v>44356</v>
      </c>
      <c r="G87" s="2">
        <v>106</v>
      </c>
      <c r="H87" s="2">
        <v>24</v>
      </c>
      <c r="I87" s="2">
        <v>0</v>
      </c>
      <c r="J87" s="33" t="str">
        <f>INDEX(Xtradata!J$2:J$397,$D87)</f>
        <v>TZ</v>
      </c>
      <c r="K87" s="34">
        <f>IF(J87="TZ",INDEX(Xtradata!P$2:P$397,$D87),IF(J87="clip",INDEX(Xtradata!K$2:K$397,$D87),""))</f>
        <v>74</v>
      </c>
      <c r="L87" s="34">
        <f>IF($J87="TZ",INDEX(Xtradata!Q$2:Q$397,$D87),IF($J87="clip",INDEX(Xtradata!L$2:L$397,$D87),""))</f>
        <v>45</v>
      </c>
      <c r="M87" s="34">
        <f>IF($J87="TZ",INDEX(Xtradata!R$2:R$397,$D87),IF($J87="clip",INDEX(Xtradata!M$2:M$397,$D87),""))</f>
        <v>29</v>
      </c>
      <c r="N87" s="2">
        <v>8</v>
      </c>
      <c r="O87" s="34">
        <f>INDEX(Xtradata!T$2:T$397,$D87)</f>
        <v>0</v>
      </c>
      <c r="P87" s="38">
        <f t="shared" si="11"/>
        <v>0</v>
      </c>
      <c r="Q87" s="48">
        <f t="shared" si="12"/>
        <v>0.22641509433962265</v>
      </c>
      <c r="R87" s="48">
        <f t="shared" si="13"/>
        <v>0.22641509433962265</v>
      </c>
      <c r="S87" s="48">
        <f t="shared" si="18"/>
        <v>0.42452830188679247</v>
      </c>
      <c r="T87" s="48">
        <f t="shared" si="14"/>
        <v>0.65094339622641506</v>
      </c>
      <c r="U87" s="48">
        <f t="shared" si="15"/>
        <v>7.5471698113207544E-2</v>
      </c>
      <c r="V87" s="48">
        <f t="shared" si="16"/>
        <v>0.27358490566037741</v>
      </c>
      <c r="W87" s="48">
        <f t="shared" si="17"/>
        <v>1</v>
      </c>
      <c r="X87" s="14">
        <f>MATCH(C87,'Weights and Seed Amounts'!C$2:C$400,0)</f>
        <v>86</v>
      </c>
      <c r="Y87" s="58">
        <f>INDEX('Weights and Seed Amounts'!D$2:D$400,$X87)</f>
        <v>2.7900000000000001E-2</v>
      </c>
      <c r="Z87" s="34">
        <f>INDEX(Xtradata!U$2:U$397,$D87)</f>
        <v>0</v>
      </c>
    </row>
    <row r="88" spans="1:26" x14ac:dyDescent="0.25">
      <c r="A88" s="2" t="s">
        <v>144</v>
      </c>
      <c r="B88" s="2" t="s">
        <v>151</v>
      </c>
      <c r="C88" s="2" t="s">
        <v>152</v>
      </c>
      <c r="D88" s="32">
        <f>MATCH(Xtradata!C88,Xtradata!C$2:C483,0)</f>
        <v>87</v>
      </c>
      <c r="E88" s="33">
        <f>INDEX(Xtradata!G$2:G$397,$D88)</f>
        <v>44313</v>
      </c>
      <c r="F88" s="33">
        <f>INDEX(Xtradata!H$2:H$397,$D88)</f>
        <v>44375</v>
      </c>
      <c r="G88" s="2">
        <v>108</v>
      </c>
      <c r="H88" s="2">
        <v>0</v>
      </c>
      <c r="I88" s="2">
        <v>0</v>
      </c>
      <c r="J88" s="33" t="str">
        <f>INDEX(Xtradata!J$2:J$397,$D88)</f>
        <v>TZ</v>
      </c>
      <c r="K88" s="34">
        <f>IF(J88="TZ",INDEX(Xtradata!P$2:P$397,$D88),IF(J88="clip",INDEX(Xtradata!K$2:K$397,$D88),""))</f>
        <v>100</v>
      </c>
      <c r="L88" s="34">
        <f>IF($J88="TZ",INDEX(Xtradata!Q$2:Q$397,$D88),IF($J88="clip",INDEX(Xtradata!L$2:L$397,$D88),""))</f>
        <v>38</v>
      </c>
      <c r="M88" s="34">
        <f>IF($J88="TZ",INDEX(Xtradata!R$2:R$397,$D88),IF($J88="clip",INDEX(Xtradata!M$2:M$397,$D88),""))</f>
        <v>62</v>
      </c>
      <c r="N88" s="2">
        <v>0</v>
      </c>
      <c r="O88" s="34">
        <f>INDEX(Xtradata!T$2:T$397,$D88)</f>
        <v>8</v>
      </c>
      <c r="P88" s="38">
        <f t="shared" si="11"/>
        <v>0</v>
      </c>
      <c r="Q88" s="48">
        <f t="shared" si="12"/>
        <v>0</v>
      </c>
      <c r="R88" s="48">
        <f t="shared" si="13"/>
        <v>0</v>
      </c>
      <c r="S88" s="48">
        <f t="shared" si="18"/>
        <v>0.35185185185185186</v>
      </c>
      <c r="T88" s="48">
        <f t="shared" si="14"/>
        <v>0.35185185185185186</v>
      </c>
      <c r="U88" s="48">
        <f t="shared" si="15"/>
        <v>0</v>
      </c>
      <c r="V88" s="48">
        <f t="shared" si="16"/>
        <v>0.64814814814814814</v>
      </c>
      <c r="W88" s="48">
        <f t="shared" si="17"/>
        <v>1</v>
      </c>
      <c r="X88" s="14">
        <f>MATCH(C88,'Weights and Seed Amounts'!C$2:C$400,0)</f>
        <v>87</v>
      </c>
      <c r="Y88" s="58">
        <f>INDEX('Weights and Seed Amounts'!D$2:D$400,$X88)</f>
        <v>0.14369999999999999</v>
      </c>
      <c r="Z88" s="34">
        <f>INDEX(Xtradata!U$2:U$397,$D88)</f>
        <v>0</v>
      </c>
    </row>
    <row r="89" spans="1:26" x14ac:dyDescent="0.25">
      <c r="A89" s="2" t="s">
        <v>144</v>
      </c>
      <c r="B89" s="2" t="s">
        <v>151</v>
      </c>
      <c r="C89" s="2" t="s">
        <v>153</v>
      </c>
      <c r="D89" s="32">
        <f>MATCH(Xtradata!C89,Xtradata!C$2:C484,0)</f>
        <v>88</v>
      </c>
      <c r="E89" s="33">
        <f>INDEX(Xtradata!G$2:G$397,$D89)</f>
        <v>44313</v>
      </c>
      <c r="F89" s="33">
        <f>INDEX(Xtradata!H$2:H$397,$D89)</f>
        <v>44375</v>
      </c>
      <c r="G89" s="2">
        <v>102</v>
      </c>
      <c r="H89" s="2">
        <v>0</v>
      </c>
      <c r="I89" s="2">
        <v>0</v>
      </c>
      <c r="J89" s="33" t="str">
        <f>INDEX(Xtradata!J$2:J$397,$D89)</f>
        <v>TZ</v>
      </c>
      <c r="K89" s="34">
        <f>IF(J89="TZ",INDEX(Xtradata!P$2:P$397,$D89),IF(J89="clip",INDEX(Xtradata!K$2:K$397,$D89),""))</f>
        <v>100</v>
      </c>
      <c r="L89" s="34">
        <f>IF($J89="TZ",INDEX(Xtradata!Q$2:Q$397,$D89),IF($J89="clip",INDEX(Xtradata!L$2:L$397,$D89),""))</f>
        <v>14</v>
      </c>
      <c r="M89" s="34">
        <f>IF($J89="TZ",INDEX(Xtradata!R$2:R$397,$D89),IF($J89="clip",INDEX(Xtradata!M$2:M$397,$D89),""))</f>
        <v>86</v>
      </c>
      <c r="N89" s="2">
        <v>0</v>
      </c>
      <c r="O89" s="34">
        <f>INDEX(Xtradata!T$2:T$397,$D89)</f>
        <v>2</v>
      </c>
      <c r="P89" s="38">
        <f t="shared" si="11"/>
        <v>0</v>
      </c>
      <c r="Q89" s="48">
        <f t="shared" si="12"/>
        <v>0</v>
      </c>
      <c r="R89" s="48">
        <f t="shared" si="13"/>
        <v>0</v>
      </c>
      <c r="S89" s="48">
        <f t="shared" si="18"/>
        <v>0.13725490196078433</v>
      </c>
      <c r="T89" s="48">
        <f t="shared" si="14"/>
        <v>0.13725490196078433</v>
      </c>
      <c r="U89" s="48">
        <f t="shared" si="15"/>
        <v>0</v>
      </c>
      <c r="V89" s="48">
        <f t="shared" si="16"/>
        <v>0.86274509803921573</v>
      </c>
      <c r="W89" s="48">
        <f t="shared" si="17"/>
        <v>1</v>
      </c>
      <c r="X89" s="14">
        <f>MATCH(C89,'Weights and Seed Amounts'!C$2:C$400,0)</f>
        <v>88</v>
      </c>
      <c r="Y89" s="58">
        <f>INDEX('Weights and Seed Amounts'!D$2:D$400,$X89)</f>
        <v>0.18210000000000001</v>
      </c>
      <c r="Z89" s="34">
        <f>INDEX(Xtradata!U$2:U$397,$D89)</f>
        <v>0</v>
      </c>
    </row>
    <row r="90" spans="1:26" x14ac:dyDescent="0.25">
      <c r="A90" s="2" t="s">
        <v>154</v>
      </c>
      <c r="B90" s="2" t="s">
        <v>155</v>
      </c>
      <c r="C90" s="2" t="s">
        <v>156</v>
      </c>
      <c r="D90" s="32">
        <f>MATCH(Xtradata!C90,Xtradata!C$2:C485,0)</f>
        <v>89</v>
      </c>
      <c r="E90" s="33">
        <f>INDEX(Xtradata!G$2:G$397,$D90)</f>
        <v>44313</v>
      </c>
      <c r="F90" s="33">
        <f>INDEX(Xtradata!H$2:H$397,$D90)</f>
        <v>44344</v>
      </c>
      <c r="G90" s="2">
        <v>106</v>
      </c>
      <c r="H90" s="2">
        <v>91</v>
      </c>
      <c r="I90" s="2">
        <v>2</v>
      </c>
      <c r="J90" s="33" t="str">
        <f>INDEX(Xtradata!J$2:J$397,$D90)</f>
        <v>N/A</v>
      </c>
      <c r="K90" s="34" t="str">
        <f>IF(J90="TZ",INDEX(Xtradata!P$2:P$397,$D90),IF(J90="clip",INDEX(Xtradata!K$2:K$397,$D90),""))</f>
        <v/>
      </c>
      <c r="L90" s="34" t="str">
        <f>IF($J90="TZ",INDEX(Xtradata!Q$2:Q$397,$D90),IF($J90="clip",INDEX(Xtradata!L$2:L$397,$D90),""))</f>
        <v/>
      </c>
      <c r="M90" s="34" t="str">
        <f>IF($J90="TZ",INDEX(Xtradata!R$2:R$397,$D90),IF($J90="clip",INDEX(Xtradata!M$2:M$397,$D90),""))</f>
        <v/>
      </c>
      <c r="N90" s="2">
        <v>13</v>
      </c>
      <c r="O90" s="34">
        <f>INDEX(Xtradata!T$2:T$397,$D90)</f>
        <v>0</v>
      </c>
      <c r="P90" s="38">
        <f t="shared" si="11"/>
        <v>0</v>
      </c>
      <c r="Q90" s="48">
        <f t="shared" si="12"/>
        <v>0.85849056603773588</v>
      </c>
      <c r="R90" s="48">
        <f t="shared" si="13"/>
        <v>0.87735849056603776</v>
      </c>
      <c r="S90" s="48">
        <f t="shared" si="18"/>
        <v>0</v>
      </c>
      <c r="T90" s="48">
        <f t="shared" si="14"/>
        <v>0.87735849056603776</v>
      </c>
      <c r="U90" s="48">
        <f t="shared" si="15"/>
        <v>0.12264150943396226</v>
      </c>
      <c r="V90" s="48">
        <f t="shared" si="16"/>
        <v>-2.7755575615628914E-17</v>
      </c>
      <c r="W90" s="48">
        <f t="shared" si="17"/>
        <v>1</v>
      </c>
      <c r="X90" s="14">
        <f>MATCH(C90,'Weights and Seed Amounts'!C$2:C$400,0)</f>
        <v>89</v>
      </c>
      <c r="Y90" s="58">
        <f>INDEX('Weights and Seed Amounts'!D$2:D$400,$X90)</f>
        <v>0.56089999999999995</v>
      </c>
      <c r="Z90" s="34">
        <f>INDEX(Xtradata!U$2:U$397,$D90)</f>
        <v>0</v>
      </c>
    </row>
    <row r="91" spans="1:26" x14ac:dyDescent="0.25">
      <c r="A91" s="2" t="s">
        <v>157</v>
      </c>
      <c r="B91" s="2" t="s">
        <v>158</v>
      </c>
      <c r="C91" s="2" t="s">
        <v>159</v>
      </c>
      <c r="D91" s="32">
        <f>MATCH(Xtradata!C91,Xtradata!C$2:C486,0)</f>
        <v>90</v>
      </c>
      <c r="E91" s="33">
        <f>INDEX(Xtradata!G$2:G$397,$D91)</f>
        <v>44328</v>
      </c>
      <c r="F91" s="33">
        <f>INDEX(Xtradata!H$2:H$397,$D91)</f>
        <v>44364</v>
      </c>
      <c r="G91" s="2">
        <v>86</v>
      </c>
      <c r="H91" s="2">
        <v>15</v>
      </c>
      <c r="I91" s="2">
        <v>0</v>
      </c>
      <c r="J91" s="33" t="str">
        <f>INDEX(Xtradata!J$2:J$397,$D91)</f>
        <v>TZ</v>
      </c>
      <c r="K91" s="34">
        <f>IF(J91="TZ",INDEX(Xtradata!P$2:P$397,$D91),IF(J91="clip",INDEX(Xtradata!K$2:K$397,$D91),""))</f>
        <v>20</v>
      </c>
      <c r="L91" s="34">
        <f>IF($J91="TZ",INDEX(Xtradata!Q$2:Q$397,$D91),IF($J91="clip",INDEX(Xtradata!L$2:L$397,$D91),""))</f>
        <v>10</v>
      </c>
      <c r="M91" s="34">
        <f>IF($J91="TZ",INDEX(Xtradata!R$2:R$397,$D91),IF($J91="clip",INDEX(Xtradata!M$2:M$397,$D91),""))</f>
        <v>10</v>
      </c>
      <c r="N91" s="2">
        <v>51</v>
      </c>
      <c r="O91" s="34">
        <f>INDEX(Xtradata!T$2:T$397,$D91)</f>
        <v>0</v>
      </c>
      <c r="P91" s="38">
        <f t="shared" si="11"/>
        <v>0</v>
      </c>
      <c r="Q91" s="48">
        <f t="shared" si="12"/>
        <v>0.1744186046511628</v>
      </c>
      <c r="R91" s="48">
        <f t="shared" si="13"/>
        <v>0.1744186046511628</v>
      </c>
      <c r="S91" s="48">
        <f t="shared" si="18"/>
        <v>0.11627906976744186</v>
      </c>
      <c r="T91" s="48">
        <f t="shared" si="14"/>
        <v>0.29069767441860467</v>
      </c>
      <c r="U91" s="48">
        <f t="shared" si="15"/>
        <v>0.59302325581395354</v>
      </c>
      <c r="V91" s="48">
        <f t="shared" si="16"/>
        <v>0.11627906976744173</v>
      </c>
      <c r="W91" s="48">
        <f t="shared" si="17"/>
        <v>0.99999999999999989</v>
      </c>
      <c r="X91" s="14">
        <f>MATCH(C91,'Weights and Seed Amounts'!C$2:C$400,0)</f>
        <v>90</v>
      </c>
      <c r="Y91" s="58">
        <f>INDEX('Weights and Seed Amounts'!D$2:D$400,$X91)</f>
        <v>9.2999999999999992E-3</v>
      </c>
      <c r="Z91" s="34">
        <f>INDEX(Xtradata!U$2:U$397,$D91)</f>
        <v>0</v>
      </c>
    </row>
    <row r="92" spans="1:26" x14ac:dyDescent="0.25">
      <c r="A92" s="2" t="s">
        <v>157</v>
      </c>
      <c r="B92" s="2" t="s">
        <v>158</v>
      </c>
      <c r="C92" s="2" t="s">
        <v>160</v>
      </c>
      <c r="D92" s="32">
        <f>MATCH(Xtradata!C92,Xtradata!C$2:C487,0)</f>
        <v>91</v>
      </c>
      <c r="E92" s="33">
        <f>INDEX(Xtradata!G$2:G$397,$D92)</f>
        <v>44291</v>
      </c>
      <c r="F92" s="33">
        <f>INDEX(Xtradata!H$2:H$397,$D92)</f>
        <v>44335</v>
      </c>
      <c r="G92" s="41">
        <f>110+6</f>
        <v>116</v>
      </c>
      <c r="H92" s="2">
        <v>97</v>
      </c>
      <c r="I92" s="2">
        <v>1</v>
      </c>
      <c r="J92" s="33" t="str">
        <f>INDEX(Xtradata!J$2:J$397,$D92)</f>
        <v>TZ</v>
      </c>
      <c r="K92" s="34">
        <f>IF(J92="TZ",INDEX(Xtradata!P$2:P$397,$D92),IF(J92="clip",INDEX(Xtradata!K$2:K$397,$D92),""))</f>
        <v>9</v>
      </c>
      <c r="L92" s="34">
        <f>IF($J92="TZ",INDEX(Xtradata!Q$2:Q$397,$D92),IF($J92="clip",INDEX(Xtradata!L$2:L$397,$D92),""))</f>
        <v>4</v>
      </c>
      <c r="M92" s="34">
        <f>IF($J92="TZ",INDEX(Xtradata!R$2:R$397,$D92),IF($J92="clip",INDEX(Xtradata!M$2:M$397,$D92),""))</f>
        <v>5</v>
      </c>
      <c r="N92" s="2">
        <v>8</v>
      </c>
      <c r="O92" s="34">
        <f>INDEX(Xtradata!T$2:T$397,$D92)</f>
        <v>1</v>
      </c>
      <c r="P92" s="38">
        <f t="shared" si="11"/>
        <v>0</v>
      </c>
      <c r="Q92" s="48">
        <f t="shared" si="12"/>
        <v>0.83620689655172409</v>
      </c>
      <c r="R92" s="48">
        <f t="shared" si="13"/>
        <v>0.84482758620689657</v>
      </c>
      <c r="S92" s="48">
        <f t="shared" si="18"/>
        <v>3.4482758620689655E-2</v>
      </c>
      <c r="T92" s="48">
        <f t="shared" si="14"/>
        <v>0.87931034482758619</v>
      </c>
      <c r="U92" s="48">
        <f t="shared" si="15"/>
        <v>6.8965517241379309E-2</v>
      </c>
      <c r="V92" s="48">
        <f t="shared" si="16"/>
        <v>5.1724137931034503E-2</v>
      </c>
      <c r="W92" s="48">
        <f t="shared" si="17"/>
        <v>1</v>
      </c>
      <c r="X92" s="14">
        <f>MATCH(C92,'Weights and Seed Amounts'!C$2:C$400,0)</f>
        <v>91</v>
      </c>
      <c r="Y92" s="58">
        <f>INDEX('Weights and Seed Amounts'!D$2:D$400,$X92)</f>
        <v>8.8000000000000005E-3</v>
      </c>
      <c r="Z92" s="34">
        <f>INDEX(Xtradata!U$2:U$397,$D92)</f>
        <v>0</v>
      </c>
    </row>
    <row r="93" spans="1:26" x14ac:dyDescent="0.25">
      <c r="A93" s="2" t="s">
        <v>161</v>
      </c>
      <c r="B93" s="2" t="s">
        <v>162</v>
      </c>
      <c r="C93" s="2" t="s">
        <v>163</v>
      </c>
      <c r="D93" s="32">
        <f>MATCH(Xtradata!C93,Xtradata!C$2:C488,0)</f>
        <v>92</v>
      </c>
      <c r="E93" s="33">
        <f>INDEX(Xtradata!G$2:G$397,$D93)</f>
        <v>44315</v>
      </c>
      <c r="F93" s="33">
        <f>INDEX(Xtradata!H$2:H$397,$D93)</f>
        <v>44327</v>
      </c>
      <c r="G93" s="2">
        <v>106</v>
      </c>
      <c r="H93" s="2">
        <v>102</v>
      </c>
      <c r="I93" s="2">
        <v>4</v>
      </c>
      <c r="J93" s="33" t="str">
        <f>INDEX(Xtradata!J$2:J$397,$D93)</f>
        <v>N/A</v>
      </c>
      <c r="K93" s="34" t="str">
        <f>IF(J93="TZ",INDEX(Xtradata!P$2:P$397,$D93),IF(J93="clip",INDEX(Xtradata!K$2:K$397,$D93),""))</f>
        <v/>
      </c>
      <c r="L93" s="34" t="str">
        <f>IF($J93="TZ",INDEX(Xtradata!Q$2:Q$397,$D93),IF($J93="clip",INDEX(Xtradata!L$2:L$397,$D93),""))</f>
        <v/>
      </c>
      <c r="M93" s="34" t="str">
        <f>IF($J93="TZ",INDEX(Xtradata!R$2:R$397,$D93),IF($J93="clip",INDEX(Xtradata!M$2:M$397,$D93),""))</f>
        <v/>
      </c>
      <c r="N93" s="2">
        <v>0</v>
      </c>
      <c r="O93" s="34">
        <f>INDEX(Xtradata!T$2:T$397,$D93)</f>
        <v>0</v>
      </c>
      <c r="P93" s="38">
        <f t="shared" si="11"/>
        <v>0</v>
      </c>
      <c r="Q93" s="48">
        <f t="shared" si="12"/>
        <v>0.96226415094339623</v>
      </c>
      <c r="R93" s="48">
        <f t="shared" si="13"/>
        <v>1</v>
      </c>
      <c r="S93" s="48">
        <f t="shared" si="18"/>
        <v>0</v>
      </c>
      <c r="T93" s="48">
        <f t="shared" si="14"/>
        <v>1</v>
      </c>
      <c r="U93" s="48">
        <f t="shared" si="15"/>
        <v>0</v>
      </c>
      <c r="V93" s="48">
        <f t="shared" si="16"/>
        <v>0</v>
      </c>
      <c r="W93" s="48">
        <f t="shared" si="17"/>
        <v>1</v>
      </c>
      <c r="X93" s="14">
        <f>MATCH(C93,'Weights and Seed Amounts'!C$2:C$400,0)</f>
        <v>92</v>
      </c>
      <c r="Y93" s="58">
        <f>INDEX('Weights and Seed Amounts'!D$2:D$400,$X93)</f>
        <v>6.08E-2</v>
      </c>
      <c r="Z93" s="34">
        <f>INDEX(Xtradata!U$2:U$397,$D93)</f>
        <v>0</v>
      </c>
    </row>
    <row r="94" spans="1:26" x14ac:dyDescent="0.25">
      <c r="A94" s="2" t="s">
        <v>164</v>
      </c>
      <c r="B94" s="2" t="s">
        <v>165</v>
      </c>
      <c r="C94" s="2" t="s">
        <v>166</v>
      </c>
      <c r="D94" s="32">
        <f>MATCH(Xtradata!C94,Xtradata!C$2:C489,0)</f>
        <v>93</v>
      </c>
      <c r="E94" s="33">
        <f>INDEX(Xtradata!G$2:G$397,$D94)</f>
        <v>44328</v>
      </c>
      <c r="F94" s="33">
        <f>INDEX(Xtradata!H$2:H$397,$D94)</f>
        <v>44364</v>
      </c>
      <c r="G94" s="41">
        <f>100+4</f>
        <v>104</v>
      </c>
      <c r="H94" s="2">
        <v>0</v>
      </c>
      <c r="I94" s="2">
        <v>0</v>
      </c>
      <c r="J94" s="33" t="str">
        <f>INDEX(Xtradata!J$2:J$397,$D94)</f>
        <v>TZ</v>
      </c>
      <c r="K94" s="34">
        <f>IF(J94="TZ",INDEX(Xtradata!P$2:P$397,$D94),IF(J94="clip",INDEX(Xtradata!K$2:K$397,$D94),""))</f>
        <v>65</v>
      </c>
      <c r="L94" s="34">
        <f>IF($J94="TZ",INDEX(Xtradata!Q$2:Q$397,$D94),IF($J94="clip",INDEX(Xtradata!L$2:L$397,$D94),""))</f>
        <v>56</v>
      </c>
      <c r="M94" s="34">
        <f>IF($J94="TZ",INDEX(Xtradata!R$2:R$397,$D94),IF($J94="clip",INDEX(Xtradata!M$2:M$397,$D94),""))</f>
        <v>9</v>
      </c>
      <c r="N94" s="2">
        <v>37</v>
      </c>
      <c r="O94" s="34">
        <f>INDEX(Xtradata!T$2:T$397,$D94)</f>
        <v>2</v>
      </c>
      <c r="P94" s="38">
        <f t="shared" si="11"/>
        <v>0</v>
      </c>
      <c r="Q94" s="48">
        <f t="shared" si="12"/>
        <v>0</v>
      </c>
      <c r="R94" s="48">
        <f t="shared" si="13"/>
        <v>0</v>
      </c>
      <c r="S94" s="48">
        <f t="shared" si="18"/>
        <v>0.53846153846153844</v>
      </c>
      <c r="T94" s="48">
        <f t="shared" si="14"/>
        <v>0.53846153846153844</v>
      </c>
      <c r="U94" s="48">
        <f t="shared" si="15"/>
        <v>0.35576923076923078</v>
      </c>
      <c r="V94" s="48">
        <f t="shared" si="16"/>
        <v>0.10576923076923078</v>
      </c>
      <c r="W94" s="48">
        <f t="shared" si="17"/>
        <v>1</v>
      </c>
      <c r="X94" s="14">
        <f>MATCH(C94,'Weights and Seed Amounts'!C$2:C$400,0)</f>
        <v>93</v>
      </c>
      <c r="Y94" s="58">
        <f>INDEX('Weights and Seed Amounts'!D$2:D$400,$X94)</f>
        <v>8.5300000000000001E-2</v>
      </c>
      <c r="Z94" s="34">
        <f>INDEX(Xtradata!U$2:U$397,$D94)</f>
        <v>0</v>
      </c>
    </row>
    <row r="95" spans="1:26" x14ac:dyDescent="0.25">
      <c r="A95" s="2" t="s">
        <v>164</v>
      </c>
      <c r="B95" s="2" t="s">
        <v>165</v>
      </c>
      <c r="C95" s="2" t="s">
        <v>167</v>
      </c>
      <c r="D95" s="32">
        <f>MATCH(Xtradata!C95,Xtradata!C$2:C490,0)</f>
        <v>94</v>
      </c>
      <c r="E95" s="33" t="str">
        <f>INDEX(Xtradata!G$2:G$397,$D95)</f>
        <v>N/A</v>
      </c>
      <c r="F95" s="33" t="str">
        <f>INDEX(Xtradata!H$2:H$397,$D95)</f>
        <v>N/A</v>
      </c>
      <c r="G95" s="2">
        <v>0</v>
      </c>
      <c r="H95" s="2" t="s">
        <v>581</v>
      </c>
      <c r="I95" s="2" t="s">
        <v>581</v>
      </c>
      <c r="J95" s="33" t="str">
        <f>INDEX(Xtradata!J$2:J$397,$D95)</f>
        <v>TZ</v>
      </c>
      <c r="K95" s="34">
        <f>IF(J95="TZ",INDEX(Xtradata!P$2:P$397,$D95),IF(J95="clip",INDEX(Xtradata!K$2:K$397,$D95),""))</f>
        <v>10</v>
      </c>
      <c r="L95" s="34">
        <f>IF($J95="TZ",INDEX(Xtradata!Q$2:Q$397,$D95),IF($J95="clip",INDEX(Xtradata!L$2:L$397,$D95),""))</f>
        <v>0</v>
      </c>
      <c r="M95" s="34">
        <f>IF($J95="TZ",INDEX(Xtradata!R$2:R$397,$D95),IF($J95="clip",INDEX(Xtradata!M$2:M$397,$D95),""))</f>
        <v>6</v>
      </c>
      <c r="N95" s="2" t="s">
        <v>581</v>
      </c>
      <c r="O95" s="34">
        <f>INDEX(Xtradata!T$2:T$397,$D95)</f>
        <v>4</v>
      </c>
      <c r="P95" s="38">
        <f t="shared" si="11"/>
        <v>0</v>
      </c>
      <c r="Q95" s="48" t="str">
        <f t="shared" si="12"/>
        <v/>
      </c>
      <c r="R95" s="48" t="str">
        <f t="shared" si="13"/>
        <v/>
      </c>
      <c r="S95" s="48" t="str">
        <f t="shared" si="18"/>
        <v/>
      </c>
      <c r="T95" s="48">
        <f t="shared" si="14"/>
        <v>0</v>
      </c>
      <c r="U95" s="48" t="str">
        <f t="shared" si="15"/>
        <v/>
      </c>
      <c r="V95" s="48">
        <f t="shared" si="16"/>
        <v>1</v>
      </c>
      <c r="W95" s="48">
        <f t="shared" si="17"/>
        <v>1</v>
      </c>
      <c r="X95" s="14">
        <f>MATCH(C95,'Weights and Seed Amounts'!C$2:C$400,0)</f>
        <v>94</v>
      </c>
      <c r="Y95" s="58">
        <f>INDEX('Weights and Seed Amounts'!D$2:D$400,$X95)</f>
        <v>6.13E-2</v>
      </c>
      <c r="Z95" s="34" t="str">
        <f>INDEX(Xtradata!U$2:U$397,$D95)</f>
        <v>Initial TZ of ~ 10 seeds indicated no viability.  High proportion of empty seeds or embryos damaged by insect/handling. Perhaps immature. Not planted for germ assay.</v>
      </c>
    </row>
    <row r="96" spans="1:26" x14ac:dyDescent="0.25">
      <c r="A96" s="2" t="s">
        <v>168</v>
      </c>
      <c r="B96" s="2" t="s">
        <v>169</v>
      </c>
      <c r="C96" s="2" t="s">
        <v>170</v>
      </c>
      <c r="D96" s="32">
        <f>MATCH(Xtradata!C96,Xtradata!C$2:C491,0)</f>
        <v>95</v>
      </c>
      <c r="E96" s="33">
        <f>INDEX(Xtradata!G$2:G$397,$D96)</f>
        <v>44328</v>
      </c>
      <c r="F96" s="33">
        <f>INDEX(Xtradata!H$2:H$397,$D96)</f>
        <v>44375</v>
      </c>
      <c r="G96" s="2">
        <v>100</v>
      </c>
      <c r="H96" s="2">
        <v>32</v>
      </c>
      <c r="I96" s="2">
        <v>0</v>
      </c>
      <c r="J96" s="33" t="str">
        <f>INDEX(Xtradata!J$2:J$397,$D96)</f>
        <v>N/A</v>
      </c>
      <c r="K96" s="34" t="str">
        <f>IF(J96="TZ",INDEX(Xtradata!P$2:P$397,$D96),IF(J96="clip",INDEX(Xtradata!K$2:K$397,$D96),""))</f>
        <v/>
      </c>
      <c r="L96" s="34" t="str">
        <f>IF($J96="TZ",INDEX(Xtradata!Q$2:Q$397,$D96),IF($J96="clip",INDEX(Xtradata!L$2:L$397,$D96),""))</f>
        <v/>
      </c>
      <c r="M96" s="34" t="str">
        <f>IF($J96="TZ",INDEX(Xtradata!R$2:R$397,$D96),IF($J96="clip",INDEX(Xtradata!M$2:M$397,$D96),""))</f>
        <v/>
      </c>
      <c r="N96" s="2">
        <v>68</v>
      </c>
      <c r="O96" s="34">
        <f>INDEX(Xtradata!T$2:T$397,$D96)</f>
        <v>0</v>
      </c>
      <c r="P96" s="38">
        <f t="shared" si="11"/>
        <v>0</v>
      </c>
      <c r="Q96" s="48">
        <f t="shared" si="12"/>
        <v>0.32</v>
      </c>
      <c r="R96" s="48">
        <f t="shared" si="13"/>
        <v>0.32</v>
      </c>
      <c r="S96" s="48">
        <f t="shared" si="18"/>
        <v>0</v>
      </c>
      <c r="T96" s="48">
        <f t="shared" si="14"/>
        <v>0.32</v>
      </c>
      <c r="U96" s="48">
        <f t="shared" si="15"/>
        <v>0.68</v>
      </c>
      <c r="V96" s="48">
        <f t="shared" si="16"/>
        <v>-1.1102230246251565E-16</v>
      </c>
      <c r="W96" s="48">
        <f t="shared" si="17"/>
        <v>0.99999999999999989</v>
      </c>
      <c r="X96" s="14">
        <f>MATCH(C96,'Weights and Seed Amounts'!C$2:C$400,0)</f>
        <v>95</v>
      </c>
      <c r="Y96" s="58">
        <f>INDEX('Weights and Seed Amounts'!D$2:D$400,$X96)</f>
        <v>2.7199999999999998E-2</v>
      </c>
      <c r="Z96" s="34">
        <f>INDEX(Xtradata!U$2:U$397,$D96)</f>
        <v>0</v>
      </c>
    </row>
    <row r="97" spans="1:26" x14ac:dyDescent="0.25">
      <c r="A97" s="2" t="s">
        <v>168</v>
      </c>
      <c r="B97" s="2" t="s">
        <v>169</v>
      </c>
      <c r="C97" s="2" t="s">
        <v>171</v>
      </c>
      <c r="D97" s="32">
        <f>MATCH(Xtradata!C97,Xtradata!C$2:C492,0)</f>
        <v>96</v>
      </c>
      <c r="E97" s="33">
        <f>INDEX(Xtradata!G$2:G$397,$D97)</f>
        <v>44328</v>
      </c>
      <c r="F97" s="33">
        <f>INDEX(Xtradata!H$2:H$397,$D97)</f>
        <v>44375</v>
      </c>
      <c r="G97" s="2">
        <v>100</v>
      </c>
      <c r="H97" s="2">
        <v>13</v>
      </c>
      <c r="I97" s="2">
        <v>0</v>
      </c>
      <c r="J97" s="33" t="str">
        <f>INDEX(Xtradata!J$2:J$397,$D97)</f>
        <v>N/A</v>
      </c>
      <c r="K97" s="34" t="str">
        <f>IF(J97="TZ",INDEX(Xtradata!P$2:P$397,$D97),IF(J97="clip",INDEX(Xtradata!K$2:K$397,$D97),""))</f>
        <v/>
      </c>
      <c r="L97" s="34" t="str">
        <f>IF($J97="TZ",INDEX(Xtradata!Q$2:Q$397,$D97),IF($J97="clip",INDEX(Xtradata!L$2:L$397,$D97),""))</f>
        <v/>
      </c>
      <c r="M97" s="34" t="str">
        <f>IF($J97="TZ",INDEX(Xtradata!R$2:R$397,$D97),IF($J97="clip",INDEX(Xtradata!M$2:M$397,$D97),""))</f>
        <v/>
      </c>
      <c r="N97" s="2">
        <v>83</v>
      </c>
      <c r="O97" s="34">
        <f>INDEX(Xtradata!T$2:T$397,$D97)</f>
        <v>4</v>
      </c>
      <c r="P97" s="38">
        <f t="shared" si="11"/>
        <v>0</v>
      </c>
      <c r="Q97" s="48">
        <f t="shared" si="12"/>
        <v>0.13</v>
      </c>
      <c r="R97" s="48">
        <f t="shared" si="13"/>
        <v>0.13</v>
      </c>
      <c r="S97" s="48">
        <f t="shared" si="18"/>
        <v>0</v>
      </c>
      <c r="T97" s="48">
        <f t="shared" si="14"/>
        <v>0.13</v>
      </c>
      <c r="U97" s="48">
        <f t="shared" si="15"/>
        <v>0.83</v>
      </c>
      <c r="V97" s="48">
        <f t="shared" si="16"/>
        <v>4.0000000000000036E-2</v>
      </c>
      <c r="W97" s="48">
        <f t="shared" si="17"/>
        <v>1</v>
      </c>
      <c r="X97" s="14">
        <f>MATCH(C97,'Weights and Seed Amounts'!C$2:C$400,0)</f>
        <v>96</v>
      </c>
      <c r="Y97" s="58">
        <f>INDEX('Weights and Seed Amounts'!D$2:D$400,$X97)</f>
        <v>3.0700000000000002E-2</v>
      </c>
      <c r="Z97" s="34">
        <f>INDEX(Xtradata!U$2:U$397,$D97)</f>
        <v>0</v>
      </c>
    </row>
    <row r="98" spans="1:26" x14ac:dyDescent="0.25">
      <c r="A98" s="2" t="s">
        <v>168</v>
      </c>
      <c r="B98" s="2" t="s">
        <v>172</v>
      </c>
      <c r="C98" s="2" t="s">
        <v>173</v>
      </c>
      <c r="D98" s="32">
        <f>MATCH(Xtradata!C98,Xtradata!C$2:C493,0)</f>
        <v>97</v>
      </c>
      <c r="E98" s="33">
        <f>INDEX(Xtradata!G$2:G$397,$D98)</f>
        <v>44291</v>
      </c>
      <c r="F98" s="33">
        <f>INDEX(Xtradata!H$2:H$397,$D98)</f>
        <v>44349</v>
      </c>
      <c r="G98" s="41">
        <f>106+4</f>
        <v>110</v>
      </c>
      <c r="H98" s="2">
        <v>34</v>
      </c>
      <c r="I98" s="2">
        <v>11</v>
      </c>
      <c r="J98" s="33" t="str">
        <f>INDEX(Xtradata!J$2:J$397,$D98)</f>
        <v>TZ</v>
      </c>
      <c r="K98" s="34">
        <f>IF(J98="TZ",INDEX(Xtradata!P$2:P$397,$D98),IF(J98="clip",INDEX(Xtradata!K$2:K$397,$D98),""))</f>
        <v>6</v>
      </c>
      <c r="L98" s="34">
        <f>IF($J98="TZ",INDEX(Xtradata!Q$2:Q$397,$D98),IF($J98="clip",INDEX(Xtradata!L$2:L$397,$D98),""))</f>
        <v>1</v>
      </c>
      <c r="M98" s="34">
        <f>IF($J98="TZ",INDEX(Xtradata!R$2:R$397,$D98),IF($J98="clip",INDEX(Xtradata!M$2:M$397,$D98),""))</f>
        <v>5</v>
      </c>
      <c r="N98" s="2">
        <v>59</v>
      </c>
      <c r="O98" s="34">
        <f>INDEX(Xtradata!T$2:T$397,$D98)</f>
        <v>0</v>
      </c>
      <c r="P98" s="38">
        <f t="shared" si="11"/>
        <v>0</v>
      </c>
      <c r="Q98" s="48">
        <f t="shared" si="12"/>
        <v>0.30909090909090908</v>
      </c>
      <c r="R98" s="48">
        <f t="shared" si="13"/>
        <v>0.40909090909090912</v>
      </c>
      <c r="S98" s="48">
        <f t="shared" si="18"/>
        <v>9.0909090909090905E-3</v>
      </c>
      <c r="T98" s="48">
        <f t="shared" si="14"/>
        <v>0.41818181818181815</v>
      </c>
      <c r="U98" s="48">
        <f t="shared" si="15"/>
        <v>0.53636363636363638</v>
      </c>
      <c r="V98" s="48">
        <f t="shared" si="16"/>
        <v>4.5454545454545414E-2</v>
      </c>
      <c r="W98" s="48">
        <f t="shared" si="17"/>
        <v>1</v>
      </c>
      <c r="X98" s="14">
        <f>MATCH(C98,'Weights and Seed Amounts'!C$2:C$400,0)</f>
        <v>97</v>
      </c>
      <c r="Y98" s="58">
        <f>INDEX('Weights and Seed Amounts'!D$2:D$400,$X98)</f>
        <v>1.0999999999999999E-2</v>
      </c>
      <c r="Z98" s="34">
        <f>INDEX(Xtradata!U$2:U$397,$D98)</f>
        <v>0</v>
      </c>
    </row>
    <row r="99" spans="1:26" x14ac:dyDescent="0.25">
      <c r="A99" s="2" t="s">
        <v>168</v>
      </c>
      <c r="B99" s="2" t="s">
        <v>174</v>
      </c>
      <c r="C99" s="2" t="s">
        <v>175</v>
      </c>
      <c r="D99" s="32">
        <f>MATCH(Xtradata!C99,Xtradata!C$2:C494,0)</f>
        <v>98</v>
      </c>
      <c r="E99" s="33">
        <f>INDEX(Xtradata!G$2:G$397,$D99)</f>
        <v>44328</v>
      </c>
      <c r="F99" s="33">
        <f>INDEX(Xtradata!H$2:H$397,$D99)</f>
        <v>44362</v>
      </c>
      <c r="G99" s="2">
        <v>100</v>
      </c>
      <c r="H99" s="2">
        <v>76</v>
      </c>
      <c r="I99" s="2">
        <v>0</v>
      </c>
      <c r="J99" s="33" t="str">
        <f>INDEX(Xtradata!J$2:J$397,$D99)</f>
        <v>N/A</v>
      </c>
      <c r="K99" s="34" t="str">
        <f>IF(J99="TZ",INDEX(Xtradata!P$2:P$397,$D99),IF(J99="clip",INDEX(Xtradata!K$2:K$397,$D99),""))</f>
        <v/>
      </c>
      <c r="L99" s="34" t="str">
        <f>IF($J99="TZ",INDEX(Xtradata!Q$2:Q$397,$D99),IF($J99="clip",INDEX(Xtradata!L$2:L$397,$D99),""))</f>
        <v/>
      </c>
      <c r="M99" s="34" t="str">
        <f>IF($J99="TZ",INDEX(Xtradata!R$2:R$397,$D99),IF($J99="clip",INDEX(Xtradata!M$2:M$397,$D99),""))</f>
        <v/>
      </c>
      <c r="N99" s="2">
        <v>24</v>
      </c>
      <c r="O99" s="34">
        <f>INDEX(Xtradata!T$2:T$397,$D99)</f>
        <v>0</v>
      </c>
      <c r="P99" s="38">
        <f t="shared" si="11"/>
        <v>0</v>
      </c>
      <c r="Q99" s="48">
        <f t="shared" si="12"/>
        <v>0.76</v>
      </c>
      <c r="R99" s="48">
        <f t="shared" si="13"/>
        <v>0.76</v>
      </c>
      <c r="S99" s="48">
        <f t="shared" si="18"/>
        <v>0</v>
      </c>
      <c r="T99" s="48">
        <f t="shared" si="14"/>
        <v>0.76</v>
      </c>
      <c r="U99" s="48">
        <f t="shared" si="15"/>
        <v>0.24</v>
      </c>
      <c r="V99" s="48">
        <f t="shared" si="16"/>
        <v>0</v>
      </c>
      <c r="W99" s="48">
        <f t="shared" si="17"/>
        <v>1</v>
      </c>
      <c r="X99" s="14">
        <f>MATCH(C99,'Weights and Seed Amounts'!C$2:C$400,0)</f>
        <v>98</v>
      </c>
      <c r="Y99" s="58">
        <f>INDEX('Weights and Seed Amounts'!D$2:D$400,$X99)</f>
        <v>2.1499999999999998E-2</v>
      </c>
      <c r="Z99" s="34">
        <f>INDEX(Xtradata!U$2:U$397,$D99)</f>
        <v>0</v>
      </c>
    </row>
    <row r="100" spans="1:26" x14ac:dyDescent="0.25">
      <c r="A100" s="2" t="s">
        <v>176</v>
      </c>
      <c r="B100" s="2" t="s">
        <v>177</v>
      </c>
      <c r="C100" s="2" t="s">
        <v>178</v>
      </c>
      <c r="D100" s="32">
        <f>MATCH(Xtradata!C100,Xtradata!C$2:C495,0)</f>
        <v>99</v>
      </c>
      <c r="E100" s="33">
        <f>INDEX(Xtradata!G$2:G$397,$D100)</f>
        <v>44328</v>
      </c>
      <c r="F100" s="33">
        <f>INDEX(Xtradata!H$2:H$397,$D100)</f>
        <v>44389</v>
      </c>
      <c r="G100" s="2">
        <v>100</v>
      </c>
      <c r="H100" s="2">
        <v>4</v>
      </c>
      <c r="I100" s="2">
        <v>0</v>
      </c>
      <c r="J100" s="33" t="str">
        <f>INDEX(Xtradata!J$2:J$397,$D100)</f>
        <v>TZ</v>
      </c>
      <c r="K100" s="34">
        <f>IF(J100="TZ",INDEX(Xtradata!P$2:P$397,$D100),IF(J100="clip",INDEX(Xtradata!K$2:K$397,$D100),""))</f>
        <v>7</v>
      </c>
      <c r="L100" s="34">
        <f>IF($J100="TZ",INDEX(Xtradata!Q$2:Q$397,$D100),IF($J100="clip",INDEX(Xtradata!L$2:L$397,$D100),""))</f>
        <v>2</v>
      </c>
      <c r="M100" s="34">
        <f>IF($J100="TZ",INDEX(Xtradata!R$2:R$397,$D100),IF($J100="clip",INDEX(Xtradata!M$2:M$397,$D100),""))</f>
        <v>5</v>
      </c>
      <c r="N100" s="2">
        <v>89</v>
      </c>
      <c r="O100" s="34">
        <f>INDEX(Xtradata!T$2:T$397,$D100)</f>
        <v>0</v>
      </c>
      <c r="P100" s="38">
        <f t="shared" si="11"/>
        <v>0</v>
      </c>
      <c r="Q100" s="48">
        <f t="shared" si="12"/>
        <v>0.04</v>
      </c>
      <c r="R100" s="48">
        <f t="shared" si="13"/>
        <v>0.04</v>
      </c>
      <c r="S100" s="48">
        <f t="shared" si="18"/>
        <v>0.02</v>
      </c>
      <c r="T100" s="48">
        <f t="shared" si="14"/>
        <v>0.06</v>
      </c>
      <c r="U100" s="48">
        <f t="shared" si="15"/>
        <v>0.89</v>
      </c>
      <c r="V100" s="48">
        <f t="shared" si="16"/>
        <v>4.9999999999999933E-2</v>
      </c>
      <c r="W100" s="48">
        <f t="shared" si="17"/>
        <v>0.99999999999999989</v>
      </c>
      <c r="X100" s="14">
        <f>MATCH(C100,'Weights and Seed Amounts'!C$2:C$400,0)</f>
        <v>99</v>
      </c>
      <c r="Y100" s="58">
        <f>INDEX('Weights and Seed Amounts'!D$2:D$400,$X100)</f>
        <v>3.5999999999999997E-2</v>
      </c>
      <c r="Z100" s="34">
        <f>INDEX(Xtradata!U$2:U$397,$D100)</f>
        <v>0</v>
      </c>
    </row>
    <row r="101" spans="1:26" x14ac:dyDescent="0.25">
      <c r="A101" s="2" t="s">
        <v>176</v>
      </c>
      <c r="B101" s="2" t="s">
        <v>177</v>
      </c>
      <c r="C101" s="2" t="s">
        <v>179</v>
      </c>
      <c r="D101" s="32">
        <f>MATCH(Xtradata!C101,Xtradata!C$2:C496,0)</f>
        <v>100</v>
      </c>
      <c r="E101" s="33" t="str">
        <f>INDEX(Xtradata!G$2:G$397,$D101)</f>
        <v>N/A</v>
      </c>
      <c r="F101" s="33" t="str">
        <f>INDEX(Xtradata!H$2:H$397,$D101)</f>
        <v>N/A</v>
      </c>
      <c r="G101" s="2">
        <v>0</v>
      </c>
      <c r="H101" s="2" t="s">
        <v>581</v>
      </c>
      <c r="I101" s="2" t="s">
        <v>581</v>
      </c>
      <c r="J101" s="33" t="str">
        <f>INDEX(Xtradata!J$2:J$397,$D101)</f>
        <v>N/A</v>
      </c>
      <c r="K101" s="34" t="str">
        <f>IF(J101="TZ",INDEX(Xtradata!P$2:P$397,$D101),IF(J101="clip",INDEX(Xtradata!K$2:K$397,$D101),""))</f>
        <v/>
      </c>
      <c r="L101" s="34" t="str">
        <f>IF($J101="TZ",INDEX(Xtradata!Q$2:Q$397,$D101),IF($J101="clip",INDEX(Xtradata!L$2:L$397,$D101),""))</f>
        <v/>
      </c>
      <c r="M101" s="34" t="str">
        <f>IF($J101="TZ",INDEX(Xtradata!R$2:R$397,$D101),IF($J101="clip",INDEX(Xtradata!M$2:M$397,$D101),""))</f>
        <v/>
      </c>
      <c r="N101" s="2" t="s">
        <v>581</v>
      </c>
      <c r="O101" s="34" t="str">
        <f>INDEX(Xtradata!T$2:T$397,$D101)</f>
        <v>N/A</v>
      </c>
      <c r="P101" s="38" t="e">
        <f t="shared" si="11"/>
        <v>#VALUE!</v>
      </c>
      <c r="Q101" s="48" t="str">
        <f t="shared" si="12"/>
        <v/>
      </c>
      <c r="R101" s="48" t="str">
        <f t="shared" si="13"/>
        <v/>
      </c>
      <c r="S101" s="48" t="str">
        <f t="shared" si="18"/>
        <v/>
      </c>
      <c r="T101" s="48" t="str">
        <f t="shared" si="14"/>
        <v/>
      </c>
      <c r="U101" s="48" t="str">
        <f t="shared" si="15"/>
        <v/>
      </c>
      <c r="V101" s="48" t="str">
        <f t="shared" si="16"/>
        <v/>
      </c>
      <c r="W101" s="48">
        <f t="shared" si="17"/>
        <v>0</v>
      </c>
      <c r="X101" s="14">
        <f>MATCH(C101,'Weights and Seed Amounts'!C$2:C$400,0)</f>
        <v>100</v>
      </c>
      <c r="Y101" s="58" t="str">
        <f>INDEX('Weights and Seed Amounts'!D$2:D$400,$X101)</f>
        <v>N/A</v>
      </c>
      <c r="Z101" s="34" t="str">
        <f>INDEX(Xtradata!U$2:U$397,$D101)</f>
        <v>Sample on packing list but not included in shipment</v>
      </c>
    </row>
    <row r="102" spans="1:26" x14ac:dyDescent="0.25">
      <c r="A102" s="2" t="s">
        <v>176</v>
      </c>
      <c r="B102" s="2" t="s">
        <v>177</v>
      </c>
      <c r="C102" s="2" t="s">
        <v>180</v>
      </c>
      <c r="D102" s="32">
        <f>MATCH(Xtradata!C102,Xtradata!C$2:C497,0)</f>
        <v>101</v>
      </c>
      <c r="E102" s="33">
        <f>INDEX(Xtradata!G$2:G$397,$D102)</f>
        <v>44328</v>
      </c>
      <c r="F102" s="33">
        <f>INDEX(Xtradata!H$2:H$397,$D102)</f>
        <v>44389</v>
      </c>
      <c r="G102" s="2">
        <v>100</v>
      </c>
      <c r="H102" s="2">
        <v>9</v>
      </c>
      <c r="I102" s="2">
        <v>0</v>
      </c>
      <c r="J102" s="33" t="str">
        <f>INDEX(Xtradata!J$2:J$397,$D102)</f>
        <v>TZ</v>
      </c>
      <c r="K102" s="34">
        <f>IF(J102="TZ",INDEX(Xtradata!P$2:P$397,$D102),IF(J102="clip",INDEX(Xtradata!K$2:K$397,$D102),""))</f>
        <v>15</v>
      </c>
      <c r="L102" s="34">
        <f>IF($J102="TZ",INDEX(Xtradata!Q$2:Q$397,$D102),IF($J102="clip",INDEX(Xtradata!L$2:L$397,$D102),""))</f>
        <v>7</v>
      </c>
      <c r="M102" s="34">
        <f>IF($J102="TZ",INDEX(Xtradata!R$2:R$397,$D102),IF($J102="clip",INDEX(Xtradata!M$2:M$397,$D102),""))</f>
        <v>8</v>
      </c>
      <c r="N102" s="2">
        <v>76</v>
      </c>
      <c r="O102" s="34">
        <f>INDEX(Xtradata!T$2:T$397,$D102)</f>
        <v>0</v>
      </c>
      <c r="P102" s="38">
        <f t="shared" si="11"/>
        <v>0</v>
      </c>
      <c r="Q102" s="48">
        <f t="shared" si="12"/>
        <v>0.09</v>
      </c>
      <c r="R102" s="48">
        <f t="shared" si="13"/>
        <v>0.09</v>
      </c>
      <c r="S102" s="48">
        <f t="shared" si="18"/>
        <v>7.0000000000000007E-2</v>
      </c>
      <c r="T102" s="48">
        <f t="shared" si="14"/>
        <v>0.16</v>
      </c>
      <c r="U102" s="48">
        <f t="shared" si="15"/>
        <v>0.76</v>
      </c>
      <c r="V102" s="48">
        <f t="shared" si="16"/>
        <v>7.999999999999996E-2</v>
      </c>
      <c r="W102" s="48">
        <f t="shared" si="17"/>
        <v>1</v>
      </c>
      <c r="X102" s="14">
        <f>MATCH(C102,'Weights and Seed Amounts'!C$2:C$400,0)</f>
        <v>101</v>
      </c>
      <c r="Y102" s="58">
        <f>INDEX('Weights and Seed Amounts'!D$2:D$400,$X102)</f>
        <v>3.0300000000000001E-2</v>
      </c>
      <c r="Z102" s="34">
        <f>INDEX(Xtradata!U$2:U$397,$D102)</f>
        <v>0</v>
      </c>
    </row>
    <row r="103" spans="1:26" x14ac:dyDescent="0.25">
      <c r="A103" s="2" t="s">
        <v>176</v>
      </c>
      <c r="B103" s="2" t="s">
        <v>177</v>
      </c>
      <c r="C103" s="2" t="s">
        <v>181</v>
      </c>
      <c r="D103" s="32">
        <f>MATCH(Xtradata!C103,Xtradata!C$2:C498,0)</f>
        <v>102</v>
      </c>
      <c r="E103" s="33">
        <f>INDEX(Xtradata!G$2:G$397,$D103)</f>
        <v>44328</v>
      </c>
      <c r="F103" s="33">
        <f>INDEX(Xtradata!H$2:H$397,$D103)</f>
        <v>44389</v>
      </c>
      <c r="G103" s="41">
        <f>100+2</f>
        <v>102</v>
      </c>
      <c r="H103" s="2">
        <v>23</v>
      </c>
      <c r="I103" s="2">
        <v>0</v>
      </c>
      <c r="J103" s="33" t="str">
        <f>INDEX(Xtradata!J$2:J$397,$D103)</f>
        <v>TZ</v>
      </c>
      <c r="K103" s="34">
        <f>IF(J103="TZ",INDEX(Xtradata!P$2:P$397,$D103),IF(J103="clip",INDEX(Xtradata!K$2:K$397,$D103),""))</f>
        <v>8</v>
      </c>
      <c r="L103" s="34">
        <f>IF($J103="TZ",INDEX(Xtradata!Q$2:Q$397,$D103),IF($J103="clip",INDEX(Xtradata!L$2:L$397,$D103),""))</f>
        <v>2</v>
      </c>
      <c r="M103" s="34">
        <f>IF($J103="TZ",INDEX(Xtradata!R$2:R$397,$D103),IF($J103="clip",INDEX(Xtradata!M$2:M$397,$D103),""))</f>
        <v>6</v>
      </c>
      <c r="N103" s="2">
        <v>71</v>
      </c>
      <c r="O103" s="34">
        <f>INDEX(Xtradata!T$2:T$397,$D103)</f>
        <v>0</v>
      </c>
      <c r="P103" s="38">
        <f t="shared" si="11"/>
        <v>0</v>
      </c>
      <c r="Q103" s="48">
        <f t="shared" si="12"/>
        <v>0.22549019607843138</v>
      </c>
      <c r="R103" s="48">
        <f t="shared" si="13"/>
        <v>0.22549019607843138</v>
      </c>
      <c r="S103" s="48">
        <f t="shared" si="18"/>
        <v>1.9607843137254902E-2</v>
      </c>
      <c r="T103" s="48">
        <f t="shared" si="14"/>
        <v>0.24509803921568626</v>
      </c>
      <c r="U103" s="48">
        <f t="shared" si="15"/>
        <v>0.69607843137254899</v>
      </c>
      <c r="V103" s="48">
        <f t="shared" si="16"/>
        <v>5.8823529411764719E-2</v>
      </c>
      <c r="W103" s="48">
        <f t="shared" si="17"/>
        <v>1</v>
      </c>
      <c r="X103" s="14">
        <f>MATCH(C103,'Weights and Seed Amounts'!C$2:C$400,0)</f>
        <v>102</v>
      </c>
      <c r="Y103" s="58">
        <f>INDEX('Weights and Seed Amounts'!D$2:D$400,$X103)</f>
        <v>3.0599999999999999E-2</v>
      </c>
      <c r="Z103" s="34">
        <f>INDEX(Xtradata!U$2:U$397,$D103)</f>
        <v>0</v>
      </c>
    </row>
    <row r="104" spans="1:26" x14ac:dyDescent="0.25">
      <c r="A104" s="2" t="s">
        <v>182</v>
      </c>
      <c r="B104" s="2" t="s">
        <v>75</v>
      </c>
      <c r="C104" s="2" t="s">
        <v>183</v>
      </c>
      <c r="D104" s="32">
        <f>MATCH(Xtradata!C104,Xtradata!C$2:C499,0)</f>
        <v>103</v>
      </c>
      <c r="E104" s="33">
        <f>INDEX(Xtradata!G$2:G$397,$D104)</f>
        <v>44349</v>
      </c>
      <c r="F104" s="33">
        <f>INDEX(Xtradata!H$2:H$397,$D104)</f>
        <v>44378</v>
      </c>
      <c r="G104" s="2">
        <v>100</v>
      </c>
      <c r="H104" s="2">
        <v>30</v>
      </c>
      <c r="I104" s="2">
        <v>0</v>
      </c>
      <c r="J104" s="33" t="str">
        <f>INDEX(Xtradata!J$2:J$397,$D104)</f>
        <v>TZ</v>
      </c>
      <c r="K104" s="34">
        <f>IF(J104="TZ",INDEX(Xtradata!P$2:P$397,$D104),IF(J104="clip",INDEX(Xtradata!K$2:K$397,$D104),""))</f>
        <v>20</v>
      </c>
      <c r="L104" s="34">
        <f>IF($J104="TZ",INDEX(Xtradata!Q$2:Q$397,$D104),IF($J104="clip",INDEX(Xtradata!L$2:L$397,$D104),""))</f>
        <v>13</v>
      </c>
      <c r="M104" s="34">
        <f>IF($J104="TZ",INDEX(Xtradata!R$2:R$397,$D104),IF($J104="clip",INDEX(Xtradata!M$2:M$397,$D104),""))</f>
        <v>7</v>
      </c>
      <c r="N104" s="2">
        <v>50</v>
      </c>
      <c r="O104" s="34">
        <f>INDEX(Xtradata!T$2:T$397,$D104)</f>
        <v>0</v>
      </c>
      <c r="P104" s="38">
        <f t="shared" si="11"/>
        <v>0</v>
      </c>
      <c r="Q104" s="48">
        <f t="shared" si="12"/>
        <v>0.3</v>
      </c>
      <c r="R104" s="48">
        <f t="shared" si="13"/>
        <v>0.3</v>
      </c>
      <c r="S104" s="48">
        <f t="shared" si="18"/>
        <v>0.13</v>
      </c>
      <c r="T104" s="48">
        <f t="shared" si="14"/>
        <v>0.43</v>
      </c>
      <c r="U104" s="48">
        <f t="shared" si="15"/>
        <v>0.5</v>
      </c>
      <c r="V104" s="48">
        <f t="shared" si="16"/>
        <v>7.0000000000000062E-2</v>
      </c>
      <c r="W104" s="48">
        <f t="shared" si="17"/>
        <v>1</v>
      </c>
      <c r="X104" s="14">
        <f>MATCH(C104,'Weights and Seed Amounts'!C$2:C$400,0)</f>
        <v>103</v>
      </c>
      <c r="Y104" s="58">
        <f>INDEX('Weights and Seed Amounts'!D$2:D$400,$X104)</f>
        <v>6.4999999999999997E-3</v>
      </c>
      <c r="Z104" s="34">
        <f>INDEX(Xtradata!U$2:U$397,$D104)</f>
        <v>0</v>
      </c>
    </row>
    <row r="105" spans="1:26" x14ac:dyDescent="0.25">
      <c r="A105" s="2" t="s">
        <v>182</v>
      </c>
      <c r="B105" s="2" t="s">
        <v>75</v>
      </c>
      <c r="C105" s="2" t="s">
        <v>184</v>
      </c>
      <c r="D105" s="32">
        <f>MATCH(Xtradata!C105,Xtradata!C$2:C500,0)</f>
        <v>104</v>
      </c>
      <c r="E105" s="33">
        <f>INDEX(Xtradata!G$2:G$397,$D105)</f>
        <v>44349</v>
      </c>
      <c r="F105" s="33">
        <f>INDEX(Xtradata!H$2:H$397,$D105)</f>
        <v>44378</v>
      </c>
      <c r="G105" s="2">
        <v>75</v>
      </c>
      <c r="H105" s="2">
        <v>20</v>
      </c>
      <c r="I105" s="2">
        <v>0</v>
      </c>
      <c r="J105" s="33" t="str">
        <f>INDEX(Xtradata!J$2:J$397,$D105)</f>
        <v>TZ</v>
      </c>
      <c r="K105" s="34">
        <f>IF(J105="TZ",INDEX(Xtradata!P$2:P$397,$D105),IF(J105="clip",INDEX(Xtradata!K$2:K$397,$D105),""))</f>
        <v>4</v>
      </c>
      <c r="L105" s="34">
        <f>IF($J105="TZ",INDEX(Xtradata!Q$2:Q$397,$D105),IF($J105="clip",INDEX(Xtradata!L$2:L$397,$D105),""))</f>
        <v>1</v>
      </c>
      <c r="M105" s="34">
        <f>IF($J105="TZ",INDEX(Xtradata!R$2:R$397,$D105),IF($J105="clip",INDEX(Xtradata!M$2:M$397,$D105),""))</f>
        <v>3</v>
      </c>
      <c r="N105" s="2">
        <v>51</v>
      </c>
      <c r="O105" s="34">
        <f>INDEX(Xtradata!T$2:T$397,$D105)</f>
        <v>0</v>
      </c>
      <c r="P105" s="38">
        <f t="shared" si="11"/>
        <v>0</v>
      </c>
      <c r="Q105" s="48">
        <f t="shared" si="12"/>
        <v>0.26666666666666666</v>
      </c>
      <c r="R105" s="48">
        <f t="shared" si="13"/>
        <v>0.26666666666666666</v>
      </c>
      <c r="S105" s="48">
        <f t="shared" si="18"/>
        <v>1.3333333333333334E-2</v>
      </c>
      <c r="T105" s="48">
        <f t="shared" si="14"/>
        <v>0.28000000000000003</v>
      </c>
      <c r="U105" s="48">
        <f t="shared" si="15"/>
        <v>0.68</v>
      </c>
      <c r="V105" s="48">
        <f t="shared" si="16"/>
        <v>3.9999999999999925E-2</v>
      </c>
      <c r="W105" s="48">
        <f t="shared" si="17"/>
        <v>0.99999999999999989</v>
      </c>
      <c r="X105" s="14">
        <f>MATCH(C105,'Weights and Seed Amounts'!C$2:C$400,0)</f>
        <v>104</v>
      </c>
      <c r="Y105" s="58">
        <f>INDEX('Weights and Seed Amounts'!D$2:D$400,$X105)</f>
        <v>9.1000000000000004E-3</v>
      </c>
      <c r="Z105" s="34">
        <f>INDEX(Xtradata!U$2:U$397,$D105)</f>
        <v>0</v>
      </c>
    </row>
    <row r="106" spans="1:26" x14ac:dyDescent="0.25">
      <c r="A106" s="2" t="s">
        <v>182</v>
      </c>
      <c r="B106" s="2" t="s">
        <v>185</v>
      </c>
      <c r="C106" s="2" t="s">
        <v>186</v>
      </c>
      <c r="D106" s="32">
        <f>MATCH(Xtradata!C106,Xtradata!C$2:C501,0)</f>
        <v>105</v>
      </c>
      <c r="E106" s="33">
        <f>INDEX(Xtradata!G$2:G$397,$D106)</f>
        <v>44349</v>
      </c>
      <c r="F106" s="33">
        <f>INDEX(Xtradata!H$2:H$397,$D106)</f>
        <v>44378</v>
      </c>
      <c r="G106" s="2">
        <v>100</v>
      </c>
      <c r="H106" s="2">
        <v>54</v>
      </c>
      <c r="I106" s="2">
        <v>0</v>
      </c>
      <c r="J106" s="33" t="str">
        <f>INDEX(Xtradata!J$2:J$397,$D106)</f>
        <v>TZ</v>
      </c>
      <c r="K106" s="34">
        <f>IF(J106="TZ",INDEX(Xtradata!P$2:P$397,$D106),IF(J106="clip",INDEX(Xtradata!K$2:K$397,$D106),""))</f>
        <v>24</v>
      </c>
      <c r="L106" s="34">
        <f>IF($J106="TZ",INDEX(Xtradata!Q$2:Q$397,$D106),IF($J106="clip",INDEX(Xtradata!L$2:L$397,$D106),""))</f>
        <v>15</v>
      </c>
      <c r="M106" s="34">
        <f>IF($J106="TZ",INDEX(Xtradata!R$2:R$397,$D106),IF($J106="clip",INDEX(Xtradata!M$2:M$397,$D106),""))</f>
        <v>9</v>
      </c>
      <c r="N106" s="2">
        <v>22</v>
      </c>
      <c r="O106" s="34">
        <f>INDEX(Xtradata!T$2:T$397,$D106)</f>
        <v>0</v>
      </c>
      <c r="P106" s="38">
        <f t="shared" si="11"/>
        <v>0</v>
      </c>
      <c r="Q106" s="48">
        <f t="shared" si="12"/>
        <v>0.54</v>
      </c>
      <c r="R106" s="48">
        <f t="shared" si="13"/>
        <v>0.54</v>
      </c>
      <c r="S106" s="48">
        <f t="shared" si="18"/>
        <v>0.15</v>
      </c>
      <c r="T106" s="48">
        <f t="shared" si="14"/>
        <v>0.69</v>
      </c>
      <c r="U106" s="48">
        <f t="shared" si="15"/>
        <v>0.22</v>
      </c>
      <c r="V106" s="48">
        <f t="shared" si="16"/>
        <v>9.0000000000000052E-2</v>
      </c>
      <c r="W106" s="48">
        <f t="shared" si="17"/>
        <v>1</v>
      </c>
      <c r="X106" s="14">
        <f>MATCH(C106,'Weights and Seed Amounts'!C$2:C$400,0)</f>
        <v>105</v>
      </c>
      <c r="Y106" s="58">
        <f>INDEX('Weights and Seed Amounts'!D$2:D$400,$X106)</f>
        <v>9.1000000000000004E-3</v>
      </c>
      <c r="Z106" s="34">
        <f>INDEX(Xtradata!U$2:U$397,$D106)</f>
        <v>0</v>
      </c>
    </row>
    <row r="107" spans="1:26" x14ac:dyDescent="0.25">
      <c r="A107" s="2" t="s">
        <v>182</v>
      </c>
      <c r="B107" s="2" t="s">
        <v>185</v>
      </c>
      <c r="C107" s="2" t="s">
        <v>187</v>
      </c>
      <c r="D107" s="32">
        <f>MATCH(Xtradata!C107,Xtradata!C$2:C502,0)</f>
        <v>106</v>
      </c>
      <c r="E107" s="33">
        <f>INDEX(Xtradata!G$2:G$397,$D107)</f>
        <v>44291</v>
      </c>
      <c r="F107" s="33">
        <f>INDEX(Xtradata!H$2:H$397,$D107)</f>
        <v>44337</v>
      </c>
      <c r="G107" s="2">
        <v>102</v>
      </c>
      <c r="H107" s="2">
        <v>79</v>
      </c>
      <c r="I107" s="2">
        <v>13</v>
      </c>
      <c r="J107" s="33" t="str">
        <f>INDEX(Xtradata!J$2:J$397,$D107)</f>
        <v>N/A</v>
      </c>
      <c r="K107" s="34" t="str">
        <f>IF(J107="TZ",INDEX(Xtradata!P$2:P$397,$D107),IF(J107="clip",INDEX(Xtradata!K$2:K$397,$D107),""))</f>
        <v/>
      </c>
      <c r="L107" s="34" t="str">
        <f>IF($J107="TZ",INDEX(Xtradata!Q$2:Q$397,$D107),IF($J107="clip",INDEX(Xtradata!L$2:L$397,$D107),""))</f>
        <v/>
      </c>
      <c r="M107" s="34" t="str">
        <f>IF($J107="TZ",INDEX(Xtradata!R$2:R$397,$D107),IF($J107="clip",INDEX(Xtradata!M$2:M$397,$D107),""))</f>
        <v/>
      </c>
      <c r="N107" s="2">
        <v>8</v>
      </c>
      <c r="O107" s="34">
        <f>INDEX(Xtradata!T$2:T$397,$D107)</f>
        <v>2</v>
      </c>
      <c r="P107" s="38">
        <f t="shared" si="11"/>
        <v>0</v>
      </c>
      <c r="Q107" s="48">
        <f t="shared" si="12"/>
        <v>0.77450980392156865</v>
      </c>
      <c r="R107" s="48">
        <f t="shared" si="13"/>
        <v>0.90196078431372551</v>
      </c>
      <c r="S107" s="48">
        <f t="shared" si="18"/>
        <v>0</v>
      </c>
      <c r="T107" s="48">
        <f t="shared" si="14"/>
        <v>0.90196078431372551</v>
      </c>
      <c r="U107" s="48">
        <f t="shared" si="15"/>
        <v>7.8431372549019607E-2</v>
      </c>
      <c r="V107" s="48">
        <f t="shared" si="16"/>
        <v>1.9607843137254888E-2</v>
      </c>
      <c r="W107" s="48">
        <f t="shared" si="17"/>
        <v>1</v>
      </c>
      <c r="X107" s="14">
        <f>MATCH(C107,'Weights and Seed Amounts'!C$2:C$400,0)</f>
        <v>106</v>
      </c>
      <c r="Y107" s="58">
        <f>INDEX('Weights and Seed Amounts'!D$2:D$400,$X107)</f>
        <v>4.7999999999999996E-3</v>
      </c>
      <c r="Z107" s="34">
        <f>INDEX(Xtradata!U$2:U$397,$D107)</f>
        <v>0</v>
      </c>
    </row>
    <row r="108" spans="1:26" x14ac:dyDescent="0.25">
      <c r="A108" s="2" t="s">
        <v>182</v>
      </c>
      <c r="B108" s="2" t="s">
        <v>185</v>
      </c>
      <c r="C108" s="2" t="s">
        <v>188</v>
      </c>
      <c r="D108" s="32">
        <f>MATCH(Xtradata!C108,Xtradata!C$2:C503,0)</f>
        <v>107</v>
      </c>
      <c r="E108" s="33">
        <f>INDEX(Xtradata!G$2:G$397,$D108)</f>
        <v>44349</v>
      </c>
      <c r="F108" s="33">
        <f>INDEX(Xtradata!H$2:H$397,$D108)</f>
        <v>44378</v>
      </c>
      <c r="G108" s="2">
        <v>104</v>
      </c>
      <c r="H108" s="2">
        <v>65</v>
      </c>
      <c r="I108" s="2">
        <v>0</v>
      </c>
      <c r="J108" s="33" t="str">
        <f>INDEX(Xtradata!J$2:J$397,$D108)</f>
        <v>TZ</v>
      </c>
      <c r="K108" s="34">
        <f>IF(J108="TZ",INDEX(Xtradata!P$2:P$397,$D108),IF(J108="clip",INDEX(Xtradata!K$2:K$397,$D108),""))</f>
        <v>17</v>
      </c>
      <c r="L108" s="34">
        <f>IF($J108="TZ",INDEX(Xtradata!Q$2:Q$397,$D108),IF($J108="clip",INDEX(Xtradata!L$2:L$397,$D108),""))</f>
        <v>1</v>
      </c>
      <c r="M108" s="34">
        <f>IF($J108="TZ",INDEX(Xtradata!R$2:R$397,$D108),IF($J108="clip",INDEX(Xtradata!M$2:M$397,$D108),""))</f>
        <v>16</v>
      </c>
      <c r="N108" s="2">
        <v>22</v>
      </c>
      <c r="O108" s="34">
        <f>INDEX(Xtradata!T$2:T$397,$D108)</f>
        <v>0</v>
      </c>
      <c r="P108" s="38">
        <f t="shared" si="11"/>
        <v>0</v>
      </c>
      <c r="Q108" s="48">
        <f t="shared" si="12"/>
        <v>0.625</v>
      </c>
      <c r="R108" s="48">
        <f t="shared" si="13"/>
        <v>0.625</v>
      </c>
      <c r="S108" s="48">
        <f t="shared" si="18"/>
        <v>9.6153846153846159E-3</v>
      </c>
      <c r="T108" s="48">
        <f t="shared" si="14"/>
        <v>0.63461538461538458</v>
      </c>
      <c r="U108" s="48">
        <f t="shared" si="15"/>
        <v>0.21153846153846154</v>
      </c>
      <c r="V108" s="48">
        <f t="shared" si="16"/>
        <v>0.15384615384615388</v>
      </c>
      <c r="W108" s="48">
        <f t="shared" si="17"/>
        <v>1</v>
      </c>
      <c r="X108" s="14">
        <f>MATCH(C108,'Weights and Seed Amounts'!C$2:C$400,0)</f>
        <v>107</v>
      </c>
      <c r="Y108" s="58">
        <f>INDEX('Weights and Seed Amounts'!D$2:D$400,$X108)</f>
        <v>7.1000000000000004E-3</v>
      </c>
      <c r="Z108" s="34">
        <f>INDEX(Xtradata!U$2:U$397,$D108)</f>
        <v>0</v>
      </c>
    </row>
    <row r="109" spans="1:26" x14ac:dyDescent="0.25">
      <c r="A109" s="2" t="s">
        <v>182</v>
      </c>
      <c r="B109" s="2" t="s">
        <v>185</v>
      </c>
      <c r="C109" s="2" t="s">
        <v>189</v>
      </c>
      <c r="D109" s="32">
        <f>MATCH(Xtradata!C109,Xtradata!C$2:C504,0)</f>
        <v>108</v>
      </c>
      <c r="E109" s="33">
        <f>INDEX(Xtradata!G$2:G$397,$D109)</f>
        <v>44349</v>
      </c>
      <c r="F109" s="33">
        <f>INDEX(Xtradata!H$2:H$397,$D109)</f>
        <v>44378</v>
      </c>
      <c r="G109" s="2">
        <v>100</v>
      </c>
      <c r="H109" s="2">
        <v>56</v>
      </c>
      <c r="I109" s="2">
        <v>0</v>
      </c>
      <c r="J109" s="33" t="str">
        <f>INDEX(Xtradata!J$2:J$397,$D109)</f>
        <v>TZ</v>
      </c>
      <c r="K109" s="34">
        <f>IF(J109="TZ",INDEX(Xtradata!P$2:P$397,$D109),IF(J109="clip",INDEX(Xtradata!K$2:K$397,$D109),""))</f>
        <v>21</v>
      </c>
      <c r="L109" s="34">
        <f>IF($J109="TZ",INDEX(Xtradata!Q$2:Q$397,$D109),IF($J109="clip",INDEX(Xtradata!L$2:L$397,$D109),""))</f>
        <v>15</v>
      </c>
      <c r="M109" s="34">
        <f>IF($J109="TZ",INDEX(Xtradata!R$2:R$397,$D109),IF($J109="clip",INDEX(Xtradata!M$2:M$397,$D109),""))</f>
        <v>6</v>
      </c>
      <c r="N109" s="2">
        <v>23</v>
      </c>
      <c r="O109" s="34">
        <f>INDEX(Xtradata!T$2:T$397,$D109)</f>
        <v>0</v>
      </c>
      <c r="P109" s="38">
        <f t="shared" si="11"/>
        <v>0</v>
      </c>
      <c r="Q109" s="48">
        <f t="shared" si="12"/>
        <v>0.56000000000000005</v>
      </c>
      <c r="R109" s="48">
        <f t="shared" si="13"/>
        <v>0.56000000000000005</v>
      </c>
      <c r="S109" s="48">
        <f t="shared" si="18"/>
        <v>0.15</v>
      </c>
      <c r="T109" s="48">
        <f t="shared" si="14"/>
        <v>0.71</v>
      </c>
      <c r="U109" s="48">
        <f t="shared" si="15"/>
        <v>0.23</v>
      </c>
      <c r="V109" s="48">
        <f t="shared" si="16"/>
        <v>6.0000000000000026E-2</v>
      </c>
      <c r="W109" s="48">
        <f t="shared" si="17"/>
        <v>1</v>
      </c>
      <c r="X109" s="14">
        <f>MATCH(C109,'Weights and Seed Amounts'!C$2:C$400,0)</f>
        <v>108</v>
      </c>
      <c r="Y109" s="58">
        <f>INDEX('Weights and Seed Amounts'!D$2:D$400,$X109)</f>
        <v>8.8999999999999999E-3</v>
      </c>
      <c r="Z109" s="34">
        <f>INDEX(Xtradata!U$2:U$397,$D109)</f>
        <v>0</v>
      </c>
    </row>
    <row r="110" spans="1:26" x14ac:dyDescent="0.25">
      <c r="A110" s="2" t="s">
        <v>182</v>
      </c>
      <c r="B110" s="2" t="s">
        <v>185</v>
      </c>
      <c r="C110" s="2" t="s">
        <v>190</v>
      </c>
      <c r="D110" s="32">
        <f>MATCH(Xtradata!C110,Xtradata!C$2:C505,0)</f>
        <v>109</v>
      </c>
      <c r="E110" s="33">
        <f>INDEX(Xtradata!G$2:G$397,$D110)</f>
        <v>44349</v>
      </c>
      <c r="F110" s="33">
        <f>INDEX(Xtradata!H$2:H$397,$D110)</f>
        <v>44378</v>
      </c>
      <c r="G110" s="2">
        <v>100</v>
      </c>
      <c r="H110" s="2">
        <v>75</v>
      </c>
      <c r="I110" s="2">
        <v>0</v>
      </c>
      <c r="J110" s="33" t="str">
        <f>INDEX(Xtradata!J$2:J$397,$D110)</f>
        <v>TZ</v>
      </c>
      <c r="K110" s="34">
        <f>IF(J110="TZ",INDEX(Xtradata!P$2:P$397,$D110),IF(J110="clip",INDEX(Xtradata!K$2:K$397,$D110),""))</f>
        <v>12</v>
      </c>
      <c r="L110" s="34">
        <f>IF($J110="TZ",INDEX(Xtradata!Q$2:Q$397,$D110),IF($J110="clip",INDEX(Xtradata!L$2:L$397,$D110),""))</f>
        <v>7</v>
      </c>
      <c r="M110" s="34">
        <f>IF($J110="TZ",INDEX(Xtradata!R$2:R$397,$D110),IF($J110="clip",INDEX(Xtradata!M$2:M$397,$D110),""))</f>
        <v>5</v>
      </c>
      <c r="N110" s="2">
        <v>13</v>
      </c>
      <c r="O110" s="34">
        <f>INDEX(Xtradata!T$2:T$397,$D110)</f>
        <v>0</v>
      </c>
      <c r="P110" s="38">
        <f t="shared" si="11"/>
        <v>0</v>
      </c>
      <c r="Q110" s="48">
        <f t="shared" si="12"/>
        <v>0.75</v>
      </c>
      <c r="R110" s="48">
        <f t="shared" si="13"/>
        <v>0.75</v>
      </c>
      <c r="S110" s="48">
        <f t="shared" si="18"/>
        <v>7.0000000000000007E-2</v>
      </c>
      <c r="T110" s="48">
        <f t="shared" si="14"/>
        <v>0.82</v>
      </c>
      <c r="U110" s="48">
        <f t="shared" si="15"/>
        <v>0.13</v>
      </c>
      <c r="V110" s="48">
        <f t="shared" si="16"/>
        <v>5.0000000000000044E-2</v>
      </c>
      <c r="W110" s="48">
        <f t="shared" si="17"/>
        <v>1</v>
      </c>
      <c r="X110" s="14">
        <f>MATCH(C110,'Weights and Seed Amounts'!C$2:C$400,0)</f>
        <v>109</v>
      </c>
      <c r="Y110" s="58">
        <f>INDEX('Weights and Seed Amounts'!D$2:D$400,$X110)</f>
        <v>4.7000000000000002E-3</v>
      </c>
      <c r="Z110" s="34">
        <f>INDEX(Xtradata!U$2:U$397,$D110)</f>
        <v>0</v>
      </c>
    </row>
    <row r="111" spans="1:26" x14ac:dyDescent="0.25">
      <c r="A111" s="2" t="s">
        <v>182</v>
      </c>
      <c r="B111" s="2" t="s">
        <v>185</v>
      </c>
      <c r="C111" s="2" t="s">
        <v>191</v>
      </c>
      <c r="D111" s="32">
        <f>MATCH(Xtradata!C111,Xtradata!C$2:C506,0)</f>
        <v>110</v>
      </c>
      <c r="E111" s="33">
        <f>INDEX(Xtradata!G$2:G$397,$D111)</f>
        <v>44349</v>
      </c>
      <c r="F111" s="33">
        <f>INDEX(Xtradata!H$2:H$397,$D111)</f>
        <v>44378</v>
      </c>
      <c r="G111" s="2">
        <v>100</v>
      </c>
      <c r="H111" s="2">
        <v>68</v>
      </c>
      <c r="I111" s="2">
        <v>0</v>
      </c>
      <c r="J111" s="33" t="str">
        <f>INDEX(Xtradata!J$2:J$397,$D111)</f>
        <v>TZ</v>
      </c>
      <c r="K111" s="34">
        <f>IF(J111="TZ",INDEX(Xtradata!P$2:P$397,$D111),IF(J111="clip",INDEX(Xtradata!K$2:K$397,$D111),""))</f>
        <v>30</v>
      </c>
      <c r="L111" s="34">
        <f>IF($J111="TZ",INDEX(Xtradata!Q$2:Q$397,$D111),IF($J111="clip",INDEX(Xtradata!L$2:L$397,$D111),""))</f>
        <v>7</v>
      </c>
      <c r="M111" s="34">
        <f>IF($J111="TZ",INDEX(Xtradata!R$2:R$397,$D111),IF($J111="clip",INDEX(Xtradata!M$2:M$397,$D111),""))</f>
        <v>23</v>
      </c>
      <c r="N111" s="2">
        <v>2</v>
      </c>
      <c r="O111" s="34">
        <f>INDEX(Xtradata!T$2:T$397,$D111)</f>
        <v>0</v>
      </c>
      <c r="P111" s="38">
        <f t="shared" si="11"/>
        <v>0</v>
      </c>
      <c r="Q111" s="48">
        <f t="shared" si="12"/>
        <v>0.68</v>
      </c>
      <c r="R111" s="48">
        <f t="shared" si="13"/>
        <v>0.68</v>
      </c>
      <c r="S111" s="48">
        <f t="shared" si="18"/>
        <v>7.0000000000000007E-2</v>
      </c>
      <c r="T111" s="48">
        <f t="shared" si="14"/>
        <v>0.75</v>
      </c>
      <c r="U111" s="48">
        <f t="shared" si="15"/>
        <v>0.02</v>
      </c>
      <c r="V111" s="48">
        <f t="shared" si="16"/>
        <v>0.23</v>
      </c>
      <c r="W111" s="48">
        <f t="shared" si="17"/>
        <v>1</v>
      </c>
      <c r="X111" s="14">
        <f>MATCH(C111,'Weights and Seed Amounts'!C$2:C$400,0)</f>
        <v>110</v>
      </c>
      <c r="Y111" s="58">
        <f>INDEX('Weights and Seed Amounts'!D$2:D$400,$X111)</f>
        <v>9.1999999999999998E-3</v>
      </c>
      <c r="Z111" s="34">
        <f>INDEX(Xtradata!U$2:U$397,$D111)</f>
        <v>0</v>
      </c>
    </row>
    <row r="112" spans="1:26" x14ac:dyDescent="0.25">
      <c r="A112" s="2" t="s">
        <v>182</v>
      </c>
      <c r="B112" s="2" t="s">
        <v>185</v>
      </c>
      <c r="C112" s="2" t="s">
        <v>192</v>
      </c>
      <c r="D112" s="32">
        <f>MATCH(Xtradata!C112,Xtradata!C$2:C507,0)</f>
        <v>111</v>
      </c>
      <c r="E112" s="33">
        <f>INDEX(Xtradata!G$2:G$397,$D112)</f>
        <v>44350</v>
      </c>
      <c r="F112" s="33">
        <f>INDEX(Xtradata!H$2:H$397,$D112)</f>
        <v>44378</v>
      </c>
      <c r="G112" s="2">
        <v>100</v>
      </c>
      <c r="H112" s="2">
        <v>57</v>
      </c>
      <c r="I112" s="2">
        <v>0</v>
      </c>
      <c r="J112" s="33" t="str">
        <f>INDEX(Xtradata!J$2:J$397,$D112)</f>
        <v>TZ</v>
      </c>
      <c r="K112" s="34">
        <f>IF(J112="TZ",INDEX(Xtradata!P$2:P$397,$D112),IF(J112="clip",INDEX(Xtradata!K$2:K$397,$D112),""))</f>
        <v>5</v>
      </c>
      <c r="L112" s="34">
        <f>IF($J112="TZ",INDEX(Xtradata!Q$2:Q$397,$D112),IF($J112="clip",INDEX(Xtradata!L$2:L$397,$D112),""))</f>
        <v>2</v>
      </c>
      <c r="M112" s="34">
        <f>IF($J112="TZ",INDEX(Xtradata!R$2:R$397,$D112),IF($J112="clip",INDEX(Xtradata!M$2:M$397,$D112),""))</f>
        <v>3</v>
      </c>
      <c r="N112" s="2">
        <v>38</v>
      </c>
      <c r="O112" s="34">
        <f>INDEX(Xtradata!T$2:T$397,$D112)</f>
        <v>0</v>
      </c>
      <c r="P112" s="38">
        <f t="shared" si="11"/>
        <v>0</v>
      </c>
      <c r="Q112" s="48">
        <f t="shared" si="12"/>
        <v>0.56999999999999995</v>
      </c>
      <c r="R112" s="48">
        <f t="shared" si="13"/>
        <v>0.56999999999999995</v>
      </c>
      <c r="S112" s="48">
        <f t="shared" si="18"/>
        <v>0.02</v>
      </c>
      <c r="T112" s="48">
        <f t="shared" si="14"/>
        <v>0.59</v>
      </c>
      <c r="U112" s="48">
        <f t="shared" si="15"/>
        <v>0.38</v>
      </c>
      <c r="V112" s="48">
        <f t="shared" si="16"/>
        <v>3.0000000000000027E-2</v>
      </c>
      <c r="W112" s="48">
        <f t="shared" si="17"/>
        <v>1</v>
      </c>
      <c r="X112" s="14">
        <f>MATCH(C112,'Weights and Seed Amounts'!C$2:C$400,0)</f>
        <v>111</v>
      </c>
      <c r="Y112" s="58">
        <f>INDEX('Weights and Seed Amounts'!D$2:D$400,$X112)</f>
        <v>3.8999999999999998E-3</v>
      </c>
      <c r="Z112" s="34">
        <f>INDEX(Xtradata!U$2:U$397,$D112)</f>
        <v>0</v>
      </c>
    </row>
    <row r="113" spans="1:26" x14ac:dyDescent="0.25">
      <c r="A113" s="2" t="s">
        <v>182</v>
      </c>
      <c r="B113" s="2" t="s">
        <v>185</v>
      </c>
      <c r="C113" s="2" t="s">
        <v>193</v>
      </c>
      <c r="D113" s="32">
        <f>MATCH(Xtradata!C113,Xtradata!C$2:C508,0)</f>
        <v>112</v>
      </c>
      <c r="E113" s="33">
        <f>INDEX(Xtradata!G$2:G$397,$D113)</f>
        <v>44350</v>
      </c>
      <c r="F113" s="33">
        <f>INDEX(Xtradata!H$2:H$397,$D113)</f>
        <v>44378</v>
      </c>
      <c r="G113" s="2">
        <v>100</v>
      </c>
      <c r="H113" s="2">
        <v>34</v>
      </c>
      <c r="I113" s="2">
        <v>0</v>
      </c>
      <c r="J113" s="33" t="str">
        <f>INDEX(Xtradata!J$2:J$397,$D113)</f>
        <v>N/A</v>
      </c>
      <c r="K113" s="34" t="str">
        <f>IF(J113="TZ",INDEX(Xtradata!P$2:P$397,$D113),IF(J113="clip",INDEX(Xtradata!K$2:K$397,$D113),""))</f>
        <v/>
      </c>
      <c r="L113" s="34" t="str">
        <f>IF($J113="TZ",INDEX(Xtradata!Q$2:Q$397,$D113),IF($J113="clip",INDEX(Xtradata!L$2:L$397,$D113),""))</f>
        <v/>
      </c>
      <c r="M113" s="34" t="str">
        <f>IF($J113="TZ",INDEX(Xtradata!R$2:R$397,$D113),IF($J113="clip",INDEX(Xtradata!M$2:M$397,$D113),""))</f>
        <v/>
      </c>
      <c r="N113" s="2">
        <v>66</v>
      </c>
      <c r="O113" s="34">
        <f>INDEX(Xtradata!T$2:T$397,$D113)</f>
        <v>0</v>
      </c>
      <c r="P113" s="38">
        <f t="shared" si="11"/>
        <v>0</v>
      </c>
      <c r="Q113" s="48">
        <f t="shared" si="12"/>
        <v>0.34</v>
      </c>
      <c r="R113" s="48">
        <f t="shared" si="13"/>
        <v>0.34</v>
      </c>
      <c r="S113" s="48">
        <f t="shared" si="18"/>
        <v>0</v>
      </c>
      <c r="T113" s="48">
        <f t="shared" si="14"/>
        <v>0.34</v>
      </c>
      <c r="U113" s="48">
        <f t="shared" si="15"/>
        <v>0.66</v>
      </c>
      <c r="V113" s="48">
        <f t="shared" si="16"/>
        <v>-1.1102230246251565E-16</v>
      </c>
      <c r="W113" s="48">
        <f t="shared" si="17"/>
        <v>0.99999999999999989</v>
      </c>
      <c r="X113" s="14">
        <f>MATCH(C113,'Weights and Seed Amounts'!C$2:C$400,0)</f>
        <v>112</v>
      </c>
      <c r="Y113" s="58">
        <f>INDEX('Weights and Seed Amounts'!D$2:D$400,$X113)</f>
        <v>9.2999999999999992E-3</v>
      </c>
      <c r="Z113" s="34">
        <f>INDEX(Xtradata!U$2:U$397,$D113)</f>
        <v>0</v>
      </c>
    </row>
    <row r="114" spans="1:26" x14ac:dyDescent="0.25">
      <c r="A114" s="2" t="s">
        <v>182</v>
      </c>
      <c r="B114" s="2" t="s">
        <v>185</v>
      </c>
      <c r="C114" s="2" t="s">
        <v>194</v>
      </c>
      <c r="D114" s="32">
        <f>MATCH(Xtradata!C114,Xtradata!C$2:C509,0)</f>
        <v>113</v>
      </c>
      <c r="E114" s="33">
        <f>INDEX(Xtradata!G$2:G$397,$D114)</f>
        <v>44350</v>
      </c>
      <c r="F114" s="33">
        <f>INDEX(Xtradata!H$2:H$397,$D114)</f>
        <v>44378</v>
      </c>
      <c r="G114" s="2">
        <v>100</v>
      </c>
      <c r="H114" s="2">
        <v>53</v>
      </c>
      <c r="I114" s="2">
        <v>0</v>
      </c>
      <c r="J114" s="33" t="str">
        <f>INDEX(Xtradata!J$2:J$397,$D114)</f>
        <v>N/A</v>
      </c>
      <c r="K114" s="34" t="str">
        <f>IF(J114="TZ",INDEX(Xtradata!P$2:P$397,$D114),IF(J114="clip",INDEX(Xtradata!K$2:K$397,$D114),""))</f>
        <v/>
      </c>
      <c r="L114" s="34" t="str">
        <f>IF($J114="TZ",INDEX(Xtradata!Q$2:Q$397,$D114),IF($J114="clip",INDEX(Xtradata!L$2:L$397,$D114),""))</f>
        <v/>
      </c>
      <c r="M114" s="34" t="str">
        <f>IF($J114="TZ",INDEX(Xtradata!R$2:R$397,$D114),IF($J114="clip",INDEX(Xtradata!M$2:M$397,$D114),""))</f>
        <v/>
      </c>
      <c r="N114" s="2">
        <v>47</v>
      </c>
      <c r="O114" s="34">
        <f>INDEX(Xtradata!T$2:T$397,$D114)</f>
        <v>0</v>
      </c>
      <c r="P114" s="38">
        <f t="shared" si="11"/>
        <v>0</v>
      </c>
      <c r="Q114" s="48">
        <f t="shared" si="12"/>
        <v>0.53</v>
      </c>
      <c r="R114" s="48">
        <f t="shared" si="13"/>
        <v>0.53</v>
      </c>
      <c r="S114" s="48">
        <f t="shared" si="18"/>
        <v>0</v>
      </c>
      <c r="T114" s="48">
        <f t="shared" si="14"/>
        <v>0.53</v>
      </c>
      <c r="U114" s="48">
        <f t="shared" si="15"/>
        <v>0.47</v>
      </c>
      <c r="V114" s="48">
        <f t="shared" si="16"/>
        <v>0</v>
      </c>
      <c r="W114" s="48">
        <f t="shared" si="17"/>
        <v>1</v>
      </c>
      <c r="X114" s="14">
        <f>MATCH(C114,'Weights and Seed Amounts'!C$2:C$400,0)</f>
        <v>113</v>
      </c>
      <c r="Y114" s="58">
        <f>INDEX('Weights and Seed Amounts'!D$2:D$400,$X114)</f>
        <v>3.0999999999999999E-3</v>
      </c>
      <c r="Z114" s="34">
        <f>INDEX(Xtradata!U$2:U$397,$D114)</f>
        <v>0</v>
      </c>
    </row>
    <row r="115" spans="1:26" x14ac:dyDescent="0.25">
      <c r="A115" s="2" t="s">
        <v>195</v>
      </c>
      <c r="B115" s="2" t="s">
        <v>196</v>
      </c>
      <c r="C115" s="2" t="s">
        <v>197</v>
      </c>
      <c r="D115" s="32">
        <f>MATCH(Xtradata!C115,Xtradata!C$2:C510,0)</f>
        <v>114</v>
      </c>
      <c r="E115" s="33">
        <f>INDEX(Xtradata!G$2:G$397,$D115)</f>
        <v>44349</v>
      </c>
      <c r="F115" s="33">
        <f>INDEX(Xtradata!H$2:H$397,$D115)</f>
        <v>44389</v>
      </c>
      <c r="G115" s="2">
        <v>100</v>
      </c>
      <c r="H115" s="2">
        <v>45</v>
      </c>
      <c r="I115" s="2">
        <v>0</v>
      </c>
      <c r="J115" s="33" t="str">
        <f>INDEX(Xtradata!J$2:J$397,$D115)</f>
        <v>TZ</v>
      </c>
      <c r="K115" s="34">
        <f>IF(J115="TZ",INDEX(Xtradata!P$2:P$397,$D115),IF(J115="clip",INDEX(Xtradata!K$2:K$397,$D115),""))</f>
        <v>20</v>
      </c>
      <c r="L115" s="34">
        <f>IF($J115="TZ",INDEX(Xtradata!Q$2:Q$397,$D115),IF($J115="clip",INDEX(Xtradata!L$2:L$397,$D115),""))</f>
        <v>15</v>
      </c>
      <c r="M115" s="34">
        <f>IF($J115="TZ",INDEX(Xtradata!R$2:R$397,$D115),IF($J115="clip",INDEX(Xtradata!M$2:M$397,$D115),""))</f>
        <v>5</v>
      </c>
      <c r="N115" s="2">
        <v>35</v>
      </c>
      <c r="O115" s="34">
        <f>INDEX(Xtradata!T$2:T$397,$D115)</f>
        <v>0</v>
      </c>
      <c r="P115" s="38">
        <f t="shared" si="11"/>
        <v>0</v>
      </c>
      <c r="Q115" s="48">
        <f t="shared" si="12"/>
        <v>0.45</v>
      </c>
      <c r="R115" s="48">
        <f t="shared" si="13"/>
        <v>0.45</v>
      </c>
      <c r="S115" s="48">
        <f t="shared" si="18"/>
        <v>0.15</v>
      </c>
      <c r="T115" s="48">
        <f t="shared" si="14"/>
        <v>0.6</v>
      </c>
      <c r="U115" s="48">
        <f t="shared" si="15"/>
        <v>0.35</v>
      </c>
      <c r="V115" s="48">
        <f t="shared" si="16"/>
        <v>5.0000000000000044E-2</v>
      </c>
      <c r="W115" s="48">
        <f t="shared" si="17"/>
        <v>1</v>
      </c>
      <c r="X115" s="14">
        <f>MATCH(C115,'Weights and Seed Amounts'!C$2:C$400,0)</f>
        <v>114</v>
      </c>
      <c r="Y115" s="58">
        <f>INDEX('Weights and Seed Amounts'!D$2:D$400,$X115)</f>
        <v>3.7900000000000003E-2</v>
      </c>
      <c r="Z115" s="34">
        <f>INDEX(Xtradata!U$2:U$397,$D115)</f>
        <v>0</v>
      </c>
    </row>
    <row r="116" spans="1:26" x14ac:dyDescent="0.25">
      <c r="A116" s="2" t="s">
        <v>195</v>
      </c>
      <c r="B116" s="2" t="s">
        <v>196</v>
      </c>
      <c r="C116" s="2" t="s">
        <v>198</v>
      </c>
      <c r="D116" s="32">
        <f>MATCH(Xtradata!C116,Xtradata!C$2:C511,0)</f>
        <v>115</v>
      </c>
      <c r="E116" s="33">
        <f>INDEX(Xtradata!G$2:G$397,$D116)</f>
        <v>44349</v>
      </c>
      <c r="F116" s="33">
        <f>INDEX(Xtradata!H$2:H$397,$D116)</f>
        <v>44389</v>
      </c>
      <c r="G116" s="41">
        <f>100-20</f>
        <v>80</v>
      </c>
      <c r="H116" s="2">
        <v>30</v>
      </c>
      <c r="I116" s="2">
        <v>0</v>
      </c>
      <c r="J116" s="33" t="str">
        <f>INDEX(Xtradata!J$2:J$397,$D116)</f>
        <v>TZ</v>
      </c>
      <c r="K116" s="34">
        <f>IF(J116="TZ",INDEX(Xtradata!P$2:P$397,$D116),IF(J116="clip",INDEX(Xtradata!K$2:K$397,$D116),""))</f>
        <v>16</v>
      </c>
      <c r="L116" s="34">
        <f>IF($J116="TZ",INDEX(Xtradata!Q$2:Q$397,$D116),IF($J116="clip",INDEX(Xtradata!L$2:L$397,$D116),""))</f>
        <v>11</v>
      </c>
      <c r="M116" s="34">
        <f>IF($J116="TZ",INDEX(Xtradata!R$2:R$397,$D116),IF($J116="clip",INDEX(Xtradata!M$2:M$397,$D116),""))</f>
        <v>5</v>
      </c>
      <c r="N116" s="2">
        <v>34</v>
      </c>
      <c r="O116" s="34">
        <f>INDEX(Xtradata!T$2:T$397,$D116)</f>
        <v>0</v>
      </c>
      <c r="P116" s="38">
        <f t="shared" si="11"/>
        <v>0</v>
      </c>
      <c r="Q116" s="48">
        <f t="shared" si="12"/>
        <v>0.375</v>
      </c>
      <c r="R116" s="48">
        <f t="shared" si="13"/>
        <v>0.375</v>
      </c>
      <c r="S116" s="48">
        <f t="shared" si="18"/>
        <v>0.13750000000000001</v>
      </c>
      <c r="T116" s="48">
        <f t="shared" si="14"/>
        <v>0.51249999999999996</v>
      </c>
      <c r="U116" s="48">
        <f t="shared" si="15"/>
        <v>0.42499999999999999</v>
      </c>
      <c r="V116" s="48">
        <f t="shared" si="16"/>
        <v>6.2500000000000056E-2</v>
      </c>
      <c r="W116" s="48">
        <f t="shared" si="17"/>
        <v>1</v>
      </c>
      <c r="X116" s="14">
        <f>MATCH(C116,'Weights and Seed Amounts'!C$2:C$400,0)</f>
        <v>115</v>
      </c>
      <c r="Y116" s="58">
        <f>INDEX('Weights and Seed Amounts'!D$2:D$400,$X116)</f>
        <v>3.1600000000000003E-2</v>
      </c>
      <c r="Z116" s="34">
        <f>INDEX(Xtradata!U$2:U$397,$D116)</f>
        <v>0</v>
      </c>
    </row>
    <row r="117" spans="1:26" x14ac:dyDescent="0.25">
      <c r="A117" s="2" t="s">
        <v>199</v>
      </c>
      <c r="B117" s="2" t="s">
        <v>200</v>
      </c>
      <c r="C117" s="2" t="s">
        <v>201</v>
      </c>
      <c r="D117" s="32">
        <f>MATCH(Xtradata!C117,Xtradata!C$2:C512,0)</f>
        <v>116</v>
      </c>
      <c r="E117" s="33">
        <f>INDEX(Xtradata!G$2:G$397,$D117)</f>
        <v>44315</v>
      </c>
      <c r="F117" s="33">
        <f>INDEX(Xtradata!H$2:H$397,$D117)</f>
        <v>44369</v>
      </c>
      <c r="G117" s="2">
        <v>100</v>
      </c>
      <c r="H117" s="2">
        <v>0</v>
      </c>
      <c r="I117" s="2">
        <v>0</v>
      </c>
      <c r="J117" s="33" t="str">
        <f>INDEX(Xtradata!J$2:J$397,$D117)</f>
        <v>TZ</v>
      </c>
      <c r="K117" s="34">
        <f>IF(J117="TZ",INDEX(Xtradata!P$2:P$397,$D117),IF(J117="clip",INDEX(Xtradata!K$2:K$397,$D117),""))</f>
        <v>98</v>
      </c>
      <c r="L117" s="34">
        <f>IF($J117="TZ",INDEX(Xtradata!Q$2:Q$397,$D117),IF($J117="clip",INDEX(Xtradata!L$2:L$397,$D117),""))</f>
        <v>56</v>
      </c>
      <c r="M117" s="34">
        <f>IF($J117="TZ",INDEX(Xtradata!R$2:R$397,$D117),IF($J117="clip",INDEX(Xtradata!M$2:M$397,$D117),""))</f>
        <v>42</v>
      </c>
      <c r="N117" s="2">
        <v>2</v>
      </c>
      <c r="O117" s="34">
        <f>INDEX(Xtradata!T$2:T$397,$D117)</f>
        <v>0</v>
      </c>
      <c r="P117" s="38">
        <f t="shared" si="11"/>
        <v>0</v>
      </c>
      <c r="Q117" s="48">
        <f t="shared" si="12"/>
        <v>0</v>
      </c>
      <c r="R117" s="48">
        <f t="shared" si="13"/>
        <v>0</v>
      </c>
      <c r="S117" s="48">
        <f t="shared" si="18"/>
        <v>0.56000000000000005</v>
      </c>
      <c r="T117" s="48">
        <f t="shared" si="14"/>
        <v>0.56000000000000005</v>
      </c>
      <c r="U117" s="48">
        <f t="shared" si="15"/>
        <v>0.02</v>
      </c>
      <c r="V117" s="48">
        <f t="shared" si="16"/>
        <v>0.41999999999999993</v>
      </c>
      <c r="W117" s="48">
        <f t="shared" si="17"/>
        <v>1</v>
      </c>
      <c r="X117" s="14">
        <f>MATCH(C117,'Weights and Seed Amounts'!C$2:C$400,0)</f>
        <v>116</v>
      </c>
      <c r="Y117" s="58">
        <f>INDEX('Weights and Seed Amounts'!D$2:D$400,$X117)</f>
        <v>1.2699999999999999E-2</v>
      </c>
      <c r="Z117" s="34">
        <f>INDEX(Xtradata!U$2:U$397,$D117)</f>
        <v>0</v>
      </c>
    </row>
    <row r="118" spans="1:26" x14ac:dyDescent="0.25">
      <c r="A118" s="2" t="s">
        <v>199</v>
      </c>
      <c r="B118" s="2" t="s">
        <v>202</v>
      </c>
      <c r="C118" s="2" t="s">
        <v>203</v>
      </c>
      <c r="D118" s="32">
        <f>MATCH(Xtradata!C118,Xtradata!C$2:C513,0)</f>
        <v>117</v>
      </c>
      <c r="E118" s="33">
        <f>INDEX(Xtradata!G$2:G$397,$D118)</f>
        <v>44315</v>
      </c>
      <c r="F118" s="33">
        <f>INDEX(Xtradata!H$2:H$397,$D118)</f>
        <v>44369</v>
      </c>
      <c r="G118" s="2">
        <v>100</v>
      </c>
      <c r="H118" s="2">
        <v>3</v>
      </c>
      <c r="I118" s="2">
        <v>1</v>
      </c>
      <c r="J118" s="33" t="str">
        <f>INDEX(Xtradata!J$2:J$397,$D118)</f>
        <v>TZ</v>
      </c>
      <c r="K118" s="34">
        <f>IF(J118="TZ",INDEX(Xtradata!P$2:P$397,$D118),IF(J118="clip",INDEX(Xtradata!K$2:K$397,$D118),""))</f>
        <v>95</v>
      </c>
      <c r="L118" s="34">
        <f>IF($J118="TZ",INDEX(Xtradata!Q$2:Q$397,$D118),IF($J118="clip",INDEX(Xtradata!L$2:L$397,$D118),""))</f>
        <v>2</v>
      </c>
      <c r="M118" s="34">
        <f>IF($J118="TZ",INDEX(Xtradata!R$2:R$397,$D118),IF($J118="clip",INDEX(Xtradata!M$2:M$397,$D118),""))</f>
        <v>93</v>
      </c>
      <c r="N118" s="2">
        <v>1</v>
      </c>
      <c r="O118" s="34">
        <f>INDEX(Xtradata!T$2:T$397,$D118)</f>
        <v>0</v>
      </c>
      <c r="P118" s="38">
        <f t="shared" si="11"/>
        <v>0</v>
      </c>
      <c r="Q118" s="48">
        <f t="shared" si="12"/>
        <v>0.03</v>
      </c>
      <c r="R118" s="48">
        <f t="shared" si="13"/>
        <v>0.04</v>
      </c>
      <c r="S118" s="48">
        <f t="shared" si="18"/>
        <v>0.02</v>
      </c>
      <c r="T118" s="48">
        <f t="shared" si="14"/>
        <v>0.06</v>
      </c>
      <c r="U118" s="48">
        <f t="shared" si="15"/>
        <v>0.01</v>
      </c>
      <c r="V118" s="48">
        <f t="shared" si="16"/>
        <v>0.92999999999999994</v>
      </c>
      <c r="W118" s="48">
        <f t="shared" si="17"/>
        <v>0.99999999999999989</v>
      </c>
      <c r="X118" s="14">
        <f>MATCH(C118,'Weights and Seed Amounts'!C$2:C$400,0)</f>
        <v>117</v>
      </c>
      <c r="Y118" s="58">
        <f>INDEX('Weights and Seed Amounts'!D$2:D$400,$X118)</f>
        <v>3.39E-2</v>
      </c>
      <c r="Z118" s="34">
        <f>INDEX(Xtradata!U$2:U$397,$D118)</f>
        <v>0</v>
      </c>
    </row>
    <row r="119" spans="1:26" x14ac:dyDescent="0.25">
      <c r="A119" s="2" t="s">
        <v>199</v>
      </c>
      <c r="B119" s="2" t="s">
        <v>204</v>
      </c>
      <c r="C119" s="2" t="s">
        <v>205</v>
      </c>
      <c r="D119" s="32">
        <f>MATCH(Xtradata!C119,Xtradata!C$2:C514,0)</f>
        <v>118</v>
      </c>
      <c r="E119" s="33">
        <f>INDEX(Xtradata!G$2:G$397,$D119)</f>
        <v>44315</v>
      </c>
      <c r="F119" s="33">
        <f>INDEX(Xtradata!H$2:H$397,$D119)</f>
        <v>44369</v>
      </c>
      <c r="G119" s="2">
        <v>100</v>
      </c>
      <c r="H119" s="2">
        <v>2</v>
      </c>
      <c r="I119" s="2">
        <v>0</v>
      </c>
      <c r="J119" s="33" t="str">
        <f>INDEX(Xtradata!J$2:J$397,$D119)</f>
        <v>TZ</v>
      </c>
      <c r="K119" s="34">
        <f>IF(J119="TZ",INDEX(Xtradata!P$2:P$397,$D119),IF(J119="clip",INDEX(Xtradata!K$2:K$397,$D119),""))</f>
        <v>94</v>
      </c>
      <c r="L119" s="34">
        <f>IF($J119="TZ",INDEX(Xtradata!Q$2:Q$397,$D119),IF($J119="clip",INDEX(Xtradata!L$2:L$397,$D119),""))</f>
        <v>55</v>
      </c>
      <c r="M119" s="34">
        <f>IF($J119="TZ",INDEX(Xtradata!R$2:R$397,$D119),IF($J119="clip",INDEX(Xtradata!M$2:M$397,$D119),""))</f>
        <v>39</v>
      </c>
      <c r="N119" s="2">
        <v>4</v>
      </c>
      <c r="O119" s="34">
        <f>INDEX(Xtradata!T$2:T$397,$D119)</f>
        <v>0</v>
      </c>
      <c r="P119" s="38">
        <f t="shared" si="11"/>
        <v>0</v>
      </c>
      <c r="Q119" s="48">
        <f t="shared" si="12"/>
        <v>0.02</v>
      </c>
      <c r="R119" s="48">
        <f t="shared" si="13"/>
        <v>0.02</v>
      </c>
      <c r="S119" s="48">
        <f t="shared" si="18"/>
        <v>0.55000000000000004</v>
      </c>
      <c r="T119" s="48">
        <f t="shared" si="14"/>
        <v>0.56999999999999995</v>
      </c>
      <c r="U119" s="48">
        <f t="shared" si="15"/>
        <v>0.04</v>
      </c>
      <c r="V119" s="48">
        <f t="shared" si="16"/>
        <v>0.39000000000000007</v>
      </c>
      <c r="W119" s="48">
        <f t="shared" si="17"/>
        <v>1.0000000000000002</v>
      </c>
      <c r="X119" s="14">
        <f>MATCH(C119,'Weights and Seed Amounts'!C$2:C$400,0)</f>
        <v>118</v>
      </c>
      <c r="Y119" s="58">
        <f>INDEX('Weights and Seed Amounts'!D$2:D$400,$X119)</f>
        <v>1.5100000000000001E-2</v>
      </c>
      <c r="Z119" s="34">
        <f>INDEX(Xtradata!U$2:U$397,$D119)</f>
        <v>0</v>
      </c>
    </row>
    <row r="120" spans="1:26" x14ac:dyDescent="0.25">
      <c r="A120" s="2" t="s">
        <v>199</v>
      </c>
      <c r="B120" s="2" t="s">
        <v>204</v>
      </c>
      <c r="C120" s="2" t="s">
        <v>206</v>
      </c>
      <c r="D120" s="32">
        <f>MATCH(Xtradata!C120,Xtradata!C$2:C515,0)</f>
        <v>119</v>
      </c>
      <c r="E120" s="33">
        <f>INDEX(Xtradata!G$2:G$397,$D120)</f>
        <v>44315</v>
      </c>
      <c r="F120" s="33">
        <f>INDEX(Xtradata!H$2:H$397,$D120)</f>
        <v>44369</v>
      </c>
      <c r="G120" s="2">
        <v>100</v>
      </c>
      <c r="H120" s="2">
        <v>0</v>
      </c>
      <c r="I120" s="2">
        <v>0</v>
      </c>
      <c r="J120" s="33" t="str">
        <f>INDEX(Xtradata!J$2:J$397,$D120)</f>
        <v>TZ</v>
      </c>
      <c r="K120" s="34">
        <f>IF(J120="TZ",INDEX(Xtradata!P$2:P$397,$D120),IF(J120="clip",INDEX(Xtradata!K$2:K$397,$D120),""))</f>
        <v>100</v>
      </c>
      <c r="L120" s="34">
        <f>IF($J120="TZ",INDEX(Xtradata!Q$2:Q$397,$D120),IF($J120="clip",INDEX(Xtradata!L$2:L$397,$D120),""))</f>
        <v>71</v>
      </c>
      <c r="M120" s="34">
        <f>IF($J120="TZ",INDEX(Xtradata!R$2:R$397,$D120),IF($J120="clip",INDEX(Xtradata!M$2:M$397,$D120),""))</f>
        <v>29</v>
      </c>
      <c r="N120" s="2">
        <v>0</v>
      </c>
      <c r="O120" s="34">
        <f>INDEX(Xtradata!T$2:T$397,$D120)</f>
        <v>0</v>
      </c>
      <c r="P120" s="38">
        <f t="shared" si="11"/>
        <v>0</v>
      </c>
      <c r="Q120" s="48">
        <f t="shared" si="12"/>
        <v>0</v>
      </c>
      <c r="R120" s="48">
        <f t="shared" si="13"/>
        <v>0</v>
      </c>
      <c r="S120" s="48">
        <f t="shared" si="18"/>
        <v>0.71</v>
      </c>
      <c r="T120" s="48">
        <f t="shared" si="14"/>
        <v>0.71</v>
      </c>
      <c r="U120" s="48">
        <f t="shared" si="15"/>
        <v>0</v>
      </c>
      <c r="V120" s="48">
        <f t="shared" si="16"/>
        <v>0.29000000000000004</v>
      </c>
      <c r="W120" s="48">
        <f t="shared" si="17"/>
        <v>1</v>
      </c>
      <c r="X120" s="14">
        <f>MATCH(C120,'Weights and Seed Amounts'!C$2:C$400,0)</f>
        <v>119</v>
      </c>
      <c r="Y120" s="58">
        <f>INDEX('Weights and Seed Amounts'!D$2:D$400,$X120)</f>
        <v>3.1800000000000002E-2</v>
      </c>
      <c r="Z120" s="34">
        <f>INDEX(Xtradata!U$2:U$397,$D120)</f>
        <v>0</v>
      </c>
    </row>
    <row r="121" spans="1:26" x14ac:dyDescent="0.25">
      <c r="A121" s="2" t="s">
        <v>199</v>
      </c>
      <c r="B121" s="2" t="s">
        <v>204</v>
      </c>
      <c r="C121" s="2" t="s">
        <v>207</v>
      </c>
      <c r="D121" s="32">
        <f>MATCH(Xtradata!C121,Xtradata!C$2:C516,0)</f>
        <v>120</v>
      </c>
      <c r="E121" s="33">
        <f>INDEX(Xtradata!G$2:G$397,$D121)</f>
        <v>44315</v>
      </c>
      <c r="F121" s="33">
        <f>INDEX(Xtradata!H$2:H$397,$D121)</f>
        <v>44369</v>
      </c>
      <c r="G121" s="2">
        <v>100</v>
      </c>
      <c r="H121" s="2">
        <v>0</v>
      </c>
      <c r="I121" s="2">
        <v>0</v>
      </c>
      <c r="J121" s="33" t="str">
        <f>INDEX(Xtradata!J$2:J$397,$D121)</f>
        <v>TZ</v>
      </c>
      <c r="K121" s="34">
        <f>IF(J121="TZ",INDEX(Xtradata!P$2:P$397,$D121),IF(J121="clip",INDEX(Xtradata!K$2:K$397,$D121),""))</f>
        <v>100</v>
      </c>
      <c r="L121" s="34">
        <f>IF($J121="TZ",INDEX(Xtradata!Q$2:Q$397,$D121),IF($J121="clip",INDEX(Xtradata!L$2:L$397,$D121),""))</f>
        <v>44</v>
      </c>
      <c r="M121" s="34">
        <f>IF($J121="TZ",INDEX(Xtradata!R$2:R$397,$D121),IF($J121="clip",INDEX(Xtradata!M$2:M$397,$D121),""))</f>
        <v>56</v>
      </c>
      <c r="N121" s="2">
        <v>0</v>
      </c>
      <c r="O121" s="34">
        <f>INDEX(Xtradata!T$2:T$397,$D121)</f>
        <v>0</v>
      </c>
      <c r="P121" s="38">
        <f t="shared" si="11"/>
        <v>0</v>
      </c>
      <c r="Q121" s="48">
        <f t="shared" si="12"/>
        <v>0</v>
      </c>
      <c r="R121" s="48">
        <f t="shared" si="13"/>
        <v>0</v>
      </c>
      <c r="S121" s="48">
        <f t="shared" si="18"/>
        <v>0.44</v>
      </c>
      <c r="T121" s="48">
        <f t="shared" si="14"/>
        <v>0.44</v>
      </c>
      <c r="U121" s="48">
        <f t="shared" si="15"/>
        <v>0</v>
      </c>
      <c r="V121" s="48">
        <f t="shared" si="16"/>
        <v>0.56000000000000005</v>
      </c>
      <c r="W121" s="48">
        <f t="shared" si="17"/>
        <v>1</v>
      </c>
      <c r="X121" s="14">
        <f>MATCH(C121,'Weights and Seed Amounts'!C$2:C$400,0)</f>
        <v>120</v>
      </c>
      <c r="Y121" s="58">
        <f>INDEX('Weights and Seed Amounts'!D$2:D$400,$X121)</f>
        <v>4.0800000000000003E-2</v>
      </c>
      <c r="Z121" s="34">
        <f>INDEX(Xtradata!U$2:U$397,$D121)</f>
        <v>0</v>
      </c>
    </row>
    <row r="122" spans="1:26" x14ac:dyDescent="0.25">
      <c r="A122" s="2" t="s">
        <v>199</v>
      </c>
      <c r="B122" s="2" t="s">
        <v>204</v>
      </c>
      <c r="C122" s="2" t="s">
        <v>208</v>
      </c>
      <c r="D122" s="32">
        <f>MATCH(Xtradata!C122,Xtradata!C$2:C517,0)</f>
        <v>121</v>
      </c>
      <c r="E122" s="33">
        <f>INDEX(Xtradata!G$2:G$397,$D122)</f>
        <v>44315</v>
      </c>
      <c r="F122" s="33">
        <f>INDEX(Xtradata!H$2:H$397,$D122)</f>
        <v>44369</v>
      </c>
      <c r="G122" s="2">
        <v>100</v>
      </c>
      <c r="H122" s="2">
        <v>0</v>
      </c>
      <c r="I122" s="2">
        <v>0</v>
      </c>
      <c r="J122" s="33" t="str">
        <f>INDEX(Xtradata!J$2:J$397,$D122)</f>
        <v>TZ</v>
      </c>
      <c r="K122" s="34">
        <f>IF(J122="TZ",INDEX(Xtradata!P$2:P$397,$D122),IF(J122="clip",INDEX(Xtradata!K$2:K$397,$D122),""))</f>
        <v>97</v>
      </c>
      <c r="L122" s="34">
        <f>IF($J122="TZ",INDEX(Xtradata!Q$2:Q$397,$D122),IF($J122="clip",INDEX(Xtradata!L$2:L$397,$D122),""))</f>
        <v>58</v>
      </c>
      <c r="M122" s="34">
        <f>IF($J122="TZ",INDEX(Xtradata!R$2:R$397,$D122),IF($J122="clip",INDEX(Xtradata!M$2:M$397,$D122),""))</f>
        <v>39</v>
      </c>
      <c r="N122" s="2">
        <v>3</v>
      </c>
      <c r="O122" s="34">
        <f>INDEX(Xtradata!T$2:T$397,$D122)</f>
        <v>0</v>
      </c>
      <c r="P122" s="38">
        <f t="shared" si="11"/>
        <v>0</v>
      </c>
      <c r="Q122" s="48">
        <f t="shared" si="12"/>
        <v>0</v>
      </c>
      <c r="R122" s="48">
        <f t="shared" si="13"/>
        <v>0</v>
      </c>
      <c r="S122" s="48">
        <f t="shared" si="18"/>
        <v>0.57999999999999996</v>
      </c>
      <c r="T122" s="48">
        <f t="shared" si="14"/>
        <v>0.57999999999999996</v>
      </c>
      <c r="U122" s="48">
        <f t="shared" si="15"/>
        <v>0.03</v>
      </c>
      <c r="V122" s="48">
        <f t="shared" si="16"/>
        <v>0.39</v>
      </c>
      <c r="W122" s="48">
        <f t="shared" si="17"/>
        <v>1</v>
      </c>
      <c r="X122" s="14">
        <f>MATCH(C122,'Weights and Seed Amounts'!C$2:C$400,0)</f>
        <v>121</v>
      </c>
      <c r="Y122" s="58">
        <f>INDEX('Weights and Seed Amounts'!D$2:D$400,$X122)</f>
        <v>3.85E-2</v>
      </c>
      <c r="Z122" s="34">
        <f>INDEX(Xtradata!U$2:U$397,$D122)</f>
        <v>0</v>
      </c>
    </row>
    <row r="123" spans="1:26" x14ac:dyDescent="0.25">
      <c r="A123" s="2" t="s">
        <v>199</v>
      </c>
      <c r="B123" s="2" t="s">
        <v>204</v>
      </c>
      <c r="C123" s="2" t="s">
        <v>209</v>
      </c>
      <c r="D123" s="32">
        <f>MATCH(Xtradata!C123,Xtradata!C$2:C518,0)</f>
        <v>122</v>
      </c>
      <c r="E123" s="33">
        <f>INDEX(Xtradata!G$2:G$397,$D123)</f>
        <v>44315</v>
      </c>
      <c r="F123" s="33">
        <f>INDEX(Xtradata!H$2:H$397,$D123)</f>
        <v>44369</v>
      </c>
      <c r="G123" s="2">
        <v>100</v>
      </c>
      <c r="H123" s="2">
        <v>0</v>
      </c>
      <c r="I123" s="2">
        <v>0</v>
      </c>
      <c r="J123" s="33" t="str">
        <f>INDEX(Xtradata!J$2:J$397,$D123)</f>
        <v>TZ</v>
      </c>
      <c r="K123" s="34">
        <f>IF(J123="TZ",INDEX(Xtradata!P$2:P$397,$D123),IF(J123="clip",INDEX(Xtradata!K$2:K$397,$D123),""))</f>
        <v>99</v>
      </c>
      <c r="L123" s="34">
        <f>IF($J123="TZ",INDEX(Xtradata!Q$2:Q$397,$D123),IF($J123="clip",INDEX(Xtradata!L$2:L$397,$D123),""))</f>
        <v>65</v>
      </c>
      <c r="M123" s="34">
        <f>IF($J123="TZ",INDEX(Xtradata!R$2:R$397,$D123),IF($J123="clip",INDEX(Xtradata!M$2:M$397,$D123),""))</f>
        <v>34</v>
      </c>
      <c r="N123" s="2">
        <v>1</v>
      </c>
      <c r="O123" s="34">
        <f>INDEX(Xtradata!T$2:T$397,$D123)</f>
        <v>0</v>
      </c>
      <c r="P123" s="38">
        <f t="shared" si="11"/>
        <v>0</v>
      </c>
      <c r="Q123" s="48">
        <f t="shared" si="12"/>
        <v>0</v>
      </c>
      <c r="R123" s="48">
        <f t="shared" si="13"/>
        <v>0</v>
      </c>
      <c r="S123" s="48">
        <f t="shared" si="18"/>
        <v>0.65</v>
      </c>
      <c r="T123" s="48">
        <f t="shared" si="14"/>
        <v>0.65</v>
      </c>
      <c r="U123" s="48">
        <f t="shared" si="15"/>
        <v>0.01</v>
      </c>
      <c r="V123" s="48">
        <f t="shared" si="16"/>
        <v>0.33999999999999997</v>
      </c>
      <c r="W123" s="48">
        <f t="shared" si="17"/>
        <v>1</v>
      </c>
      <c r="X123" s="14">
        <f>MATCH(C123,'Weights and Seed Amounts'!C$2:C$400,0)</f>
        <v>122</v>
      </c>
      <c r="Y123" s="58">
        <f>INDEX('Weights and Seed Amounts'!D$2:D$400,$X123)</f>
        <v>4.07E-2</v>
      </c>
      <c r="Z123" s="34">
        <f>INDEX(Xtradata!U$2:U$397,$D123)</f>
        <v>0</v>
      </c>
    </row>
    <row r="124" spans="1:26" x14ac:dyDescent="0.25">
      <c r="A124" s="2" t="s">
        <v>210</v>
      </c>
      <c r="B124" s="2" t="s">
        <v>211</v>
      </c>
      <c r="C124" s="2" t="s">
        <v>212</v>
      </c>
      <c r="D124" s="32">
        <f>MATCH(Xtradata!C124,Xtradata!C$2:C519,0)</f>
        <v>123</v>
      </c>
      <c r="E124" s="33">
        <f>INDEX(Xtradata!G$2:G$397,$D124)</f>
        <v>44369</v>
      </c>
      <c r="F124" s="33">
        <f>INDEX(Xtradata!H$2:H$397,$D124)</f>
        <v>44438</v>
      </c>
      <c r="G124" s="2">
        <v>100</v>
      </c>
      <c r="H124" s="2">
        <v>39</v>
      </c>
      <c r="I124" s="2">
        <v>0</v>
      </c>
      <c r="J124" s="33" t="str">
        <f>INDEX(Xtradata!J$2:J$397,$D124)</f>
        <v>TZ</v>
      </c>
      <c r="K124" s="34">
        <f>IF(J124="TZ",INDEX(Xtradata!P$2:P$397,$D124),IF(J124="clip",INDEX(Xtradata!K$2:K$397,$D124),""))</f>
        <v>16</v>
      </c>
      <c r="L124" s="34">
        <f>IF($J124="TZ",INDEX(Xtradata!Q$2:Q$397,$D124),IF($J124="clip",INDEX(Xtradata!L$2:L$397,$D124),""))</f>
        <v>4</v>
      </c>
      <c r="M124" s="34">
        <f>IF($J124="TZ",INDEX(Xtradata!R$2:R$397,$D124),IF($J124="clip",INDEX(Xtradata!M$2:M$397,$D124),""))</f>
        <v>12</v>
      </c>
      <c r="N124" s="2">
        <v>45</v>
      </c>
      <c r="O124" s="34">
        <f>INDEX(Xtradata!T$2:T$397,$D124)</f>
        <v>0</v>
      </c>
      <c r="P124" s="38">
        <f t="shared" si="11"/>
        <v>0</v>
      </c>
      <c r="Q124" s="48">
        <f t="shared" si="12"/>
        <v>0.39</v>
      </c>
      <c r="R124" s="48">
        <f t="shared" si="13"/>
        <v>0.39</v>
      </c>
      <c r="S124" s="48">
        <f t="shared" si="18"/>
        <v>0.04</v>
      </c>
      <c r="T124" s="48">
        <f t="shared" si="14"/>
        <v>0.43</v>
      </c>
      <c r="U124" s="48">
        <f t="shared" si="15"/>
        <v>0.45</v>
      </c>
      <c r="V124" s="48">
        <f t="shared" si="16"/>
        <v>0.12000000000000005</v>
      </c>
      <c r="W124" s="48">
        <f t="shared" si="17"/>
        <v>1</v>
      </c>
      <c r="X124" s="14">
        <f>MATCH(C124,'Weights and Seed Amounts'!C$2:C$400,0)</f>
        <v>123</v>
      </c>
      <c r="Y124" s="58">
        <f>INDEX('Weights and Seed Amounts'!D$2:D$400,$X124)</f>
        <v>3.2599999999999997E-2</v>
      </c>
      <c r="Z124" s="34">
        <f>INDEX(Xtradata!U$2:U$397,$D124)</f>
        <v>0</v>
      </c>
    </row>
    <row r="125" spans="1:26" x14ac:dyDescent="0.25">
      <c r="A125" s="2" t="s">
        <v>210</v>
      </c>
      <c r="B125" s="2" t="s">
        <v>211</v>
      </c>
      <c r="C125" s="2" t="s">
        <v>213</v>
      </c>
      <c r="D125" s="32">
        <f>MATCH(Xtradata!C125,Xtradata!C$2:C520,0)</f>
        <v>124</v>
      </c>
      <c r="E125" s="33">
        <f>INDEX(Xtradata!G$2:G$397,$D125)</f>
        <v>44369</v>
      </c>
      <c r="F125" s="33">
        <f>INDEX(Xtradata!H$2:H$397,$D125)</f>
        <v>44438</v>
      </c>
      <c r="G125" s="2">
        <v>100</v>
      </c>
      <c r="H125" s="2">
        <v>23</v>
      </c>
      <c r="I125" s="2">
        <v>0</v>
      </c>
      <c r="J125" s="33" t="str">
        <f>INDEX(Xtradata!J$2:J$397,$D125)</f>
        <v>TZ</v>
      </c>
      <c r="K125" s="34">
        <f>IF(J125="TZ",INDEX(Xtradata!P$2:P$397,$D125),IF(J125="clip",INDEX(Xtradata!K$2:K$397,$D125),""))</f>
        <v>15</v>
      </c>
      <c r="L125" s="34">
        <f>IF($J125="TZ",INDEX(Xtradata!Q$2:Q$397,$D125),IF($J125="clip",INDEX(Xtradata!L$2:L$397,$D125),""))</f>
        <v>4</v>
      </c>
      <c r="M125" s="34">
        <f>IF($J125="TZ",INDEX(Xtradata!R$2:R$397,$D125),IF($J125="clip",INDEX(Xtradata!M$2:M$397,$D125),""))</f>
        <v>11</v>
      </c>
      <c r="N125" s="2">
        <v>62</v>
      </c>
      <c r="O125" s="34">
        <f>INDEX(Xtradata!T$2:T$397,$D125)</f>
        <v>0</v>
      </c>
      <c r="P125" s="38">
        <f t="shared" si="11"/>
        <v>0</v>
      </c>
      <c r="Q125" s="48">
        <f t="shared" si="12"/>
        <v>0.23</v>
      </c>
      <c r="R125" s="48">
        <f t="shared" si="13"/>
        <v>0.23</v>
      </c>
      <c r="S125" s="48">
        <f t="shared" si="18"/>
        <v>0.04</v>
      </c>
      <c r="T125" s="48">
        <f t="shared" si="14"/>
        <v>0.27</v>
      </c>
      <c r="U125" s="48">
        <f t="shared" si="15"/>
        <v>0.62</v>
      </c>
      <c r="V125" s="48">
        <f t="shared" si="16"/>
        <v>0.10999999999999999</v>
      </c>
      <c r="W125" s="48">
        <f t="shared" si="17"/>
        <v>1</v>
      </c>
      <c r="X125" s="14">
        <f>MATCH(C125,'Weights and Seed Amounts'!C$2:C$400,0)</f>
        <v>124</v>
      </c>
      <c r="Y125" s="58">
        <f>INDEX('Weights and Seed Amounts'!D$2:D$400,$X125)</f>
        <v>4.0099999999999997E-2</v>
      </c>
      <c r="Z125" s="34">
        <f>INDEX(Xtradata!U$2:U$397,$D125)</f>
        <v>0</v>
      </c>
    </row>
    <row r="126" spans="1:26" x14ac:dyDescent="0.25">
      <c r="A126" s="2" t="s">
        <v>214</v>
      </c>
      <c r="B126" s="2" t="s">
        <v>215</v>
      </c>
      <c r="C126" s="2" t="s">
        <v>216</v>
      </c>
      <c r="D126" s="32">
        <f>MATCH(Xtradata!C126,Xtradata!C$2:C521,0)</f>
        <v>125</v>
      </c>
      <c r="E126" s="33" t="str">
        <f>INDEX(Xtradata!G$2:G$397,$D126)</f>
        <v>N/A</v>
      </c>
      <c r="F126" s="33" t="str">
        <f>INDEX(Xtradata!H$2:H$397,$D126)</f>
        <v>N/A</v>
      </c>
      <c r="G126" s="2">
        <v>0</v>
      </c>
      <c r="H126" s="2" t="s">
        <v>581</v>
      </c>
      <c r="I126" s="2" t="s">
        <v>581</v>
      </c>
      <c r="J126" s="33" t="str">
        <f>INDEX(Xtradata!J$2:J$397,$D126)</f>
        <v>TZ</v>
      </c>
      <c r="K126" s="34">
        <f>IF(J126="TZ",INDEX(Xtradata!P$2:P$397,$D126),IF(J126="clip",INDEX(Xtradata!K$2:K$397,$D126),""))</f>
        <v>10</v>
      </c>
      <c r="L126" s="34">
        <f>IF($J126="TZ",INDEX(Xtradata!Q$2:Q$397,$D126),IF($J126="clip",INDEX(Xtradata!L$2:L$397,$D126),""))</f>
        <v>0</v>
      </c>
      <c r="M126" s="34">
        <f>IF($J126="TZ",INDEX(Xtradata!R$2:R$397,$D126),IF($J126="clip",INDEX(Xtradata!M$2:M$397,$D126),""))</f>
        <v>4</v>
      </c>
      <c r="N126" s="2">
        <v>2</v>
      </c>
      <c r="O126" s="34">
        <f>INDEX(Xtradata!T$2:T$397,$D126)</f>
        <v>4</v>
      </c>
      <c r="P126" s="38">
        <f t="shared" si="11"/>
        <v>0</v>
      </c>
      <c r="Q126" s="48" t="str">
        <f t="shared" si="12"/>
        <v/>
      </c>
      <c r="R126" s="48" t="str">
        <f t="shared" si="13"/>
        <v/>
      </c>
      <c r="S126" s="48" t="str">
        <f t="shared" si="18"/>
        <v/>
      </c>
      <c r="T126" s="48">
        <f t="shared" si="14"/>
        <v>0</v>
      </c>
      <c r="U126" s="48">
        <f t="shared" si="15"/>
        <v>0.2</v>
      </c>
      <c r="V126" s="48">
        <f t="shared" si="16"/>
        <v>0.8</v>
      </c>
      <c r="W126" s="48">
        <f t="shared" si="17"/>
        <v>1</v>
      </c>
      <c r="X126" s="14">
        <f>MATCH(C126,'Weights and Seed Amounts'!C$2:C$400,0)</f>
        <v>125</v>
      </c>
      <c r="Y126" s="58">
        <f>INDEX('Weights and Seed Amounts'!D$2:D$400,$X126)</f>
        <v>0.1123</v>
      </c>
      <c r="Z126" s="34" t="str">
        <f>INDEX(Xtradata!U$2:U$397,$D126)</f>
        <v>Initial TZ of ~ 10 seeds indicated no viability.  High proportion of empty seeds or embryos damaged by insect/handling. Perhaps immature. Not planted for germ assay.</v>
      </c>
    </row>
    <row r="127" spans="1:26" x14ac:dyDescent="0.25">
      <c r="A127" s="2" t="s">
        <v>217</v>
      </c>
      <c r="B127" s="2" t="s">
        <v>218</v>
      </c>
      <c r="C127" s="2" t="s">
        <v>219</v>
      </c>
      <c r="D127" s="32">
        <f>MATCH(Xtradata!C127,Xtradata!C$2:C522,0)</f>
        <v>126</v>
      </c>
      <c r="E127" s="33">
        <f>INDEX(Xtradata!G$2:G$397,$D127)</f>
        <v>44362</v>
      </c>
      <c r="F127" s="33">
        <f>INDEX(Xtradata!H$2:H$397,$D127)</f>
        <v>44424</v>
      </c>
      <c r="G127" s="2">
        <v>100</v>
      </c>
      <c r="H127" s="2">
        <v>3</v>
      </c>
      <c r="I127" s="2">
        <v>0</v>
      </c>
      <c r="J127" s="33" t="str">
        <f>INDEX(Xtradata!J$2:J$397,$D127)</f>
        <v>TZ</v>
      </c>
      <c r="K127" s="34">
        <f>IF(J127="TZ",INDEX(Xtradata!P$2:P$397,$D127),IF(J127="clip",INDEX(Xtradata!K$2:K$397,$D127),""))</f>
        <v>97</v>
      </c>
      <c r="L127" s="34">
        <f>IF($J127="TZ",INDEX(Xtradata!Q$2:Q$397,$D127),IF($J127="clip",INDEX(Xtradata!L$2:L$397,$D127),""))</f>
        <v>94</v>
      </c>
      <c r="M127" s="34">
        <f>IF($J127="TZ",INDEX(Xtradata!R$2:R$397,$D127),IF($J127="clip",INDEX(Xtradata!M$2:M$397,$D127),""))</f>
        <v>3</v>
      </c>
      <c r="N127" s="2">
        <v>0</v>
      </c>
      <c r="O127" s="34">
        <f>INDEX(Xtradata!T$2:T$397,$D127)</f>
        <v>0</v>
      </c>
      <c r="P127" s="38">
        <f t="shared" si="11"/>
        <v>0</v>
      </c>
      <c r="Q127" s="48">
        <f t="shared" si="12"/>
        <v>0.03</v>
      </c>
      <c r="R127" s="48">
        <f t="shared" si="13"/>
        <v>0.03</v>
      </c>
      <c r="S127" s="48">
        <f t="shared" si="18"/>
        <v>0.94</v>
      </c>
      <c r="T127" s="48">
        <f t="shared" si="14"/>
        <v>0.97</v>
      </c>
      <c r="U127" s="48">
        <f t="shared" si="15"/>
        <v>0</v>
      </c>
      <c r="V127" s="48">
        <f t="shared" si="16"/>
        <v>3.0000000000000027E-2</v>
      </c>
      <c r="W127" s="48">
        <f t="shared" si="17"/>
        <v>1</v>
      </c>
      <c r="X127" s="14">
        <f>MATCH(C127,'Weights and Seed Amounts'!C$2:C$400,0)</f>
        <v>126</v>
      </c>
      <c r="Y127" s="58">
        <f>INDEX('Weights and Seed Amounts'!D$2:D$400,$X127)</f>
        <v>4.3900000000000002E-2</v>
      </c>
      <c r="Z127" s="34">
        <f>INDEX(Xtradata!U$2:U$397,$D127)</f>
        <v>0</v>
      </c>
    </row>
    <row r="128" spans="1:26" x14ac:dyDescent="0.25">
      <c r="A128" s="2" t="s">
        <v>217</v>
      </c>
      <c r="B128" s="2" t="s">
        <v>218</v>
      </c>
      <c r="C128" s="2" t="s">
        <v>220</v>
      </c>
      <c r="D128" s="32">
        <f>MATCH(Xtradata!C128,Xtradata!C$2:C523,0)</f>
        <v>127</v>
      </c>
      <c r="E128" s="33">
        <f>INDEX(Xtradata!G$2:G$397,$D128)</f>
        <v>44362</v>
      </c>
      <c r="F128" s="33">
        <f>INDEX(Xtradata!H$2:H$397,$D128)</f>
        <v>44424</v>
      </c>
      <c r="G128" s="2">
        <v>100</v>
      </c>
      <c r="H128" s="2">
        <v>2</v>
      </c>
      <c r="I128" s="2">
        <v>0</v>
      </c>
      <c r="J128" s="33" t="str">
        <f>INDEX(Xtradata!J$2:J$397,$D128)</f>
        <v>TZ</v>
      </c>
      <c r="K128" s="34">
        <f>IF(J128="TZ",INDEX(Xtradata!P$2:P$397,$D128),IF(J128="clip",INDEX(Xtradata!K$2:K$397,$D128),""))</f>
        <v>98</v>
      </c>
      <c r="L128" s="34">
        <f>IF($J128="TZ",INDEX(Xtradata!Q$2:Q$397,$D128),IF($J128="clip",INDEX(Xtradata!L$2:L$397,$D128),""))</f>
        <v>96</v>
      </c>
      <c r="M128" s="34">
        <f>IF($J128="TZ",INDEX(Xtradata!R$2:R$397,$D128),IF($J128="clip",INDEX(Xtradata!M$2:M$397,$D128),""))</f>
        <v>2</v>
      </c>
      <c r="N128" s="2">
        <v>0</v>
      </c>
      <c r="O128" s="34">
        <f>INDEX(Xtradata!T$2:T$397,$D128)</f>
        <v>0</v>
      </c>
      <c r="P128" s="38">
        <f t="shared" si="11"/>
        <v>0</v>
      </c>
      <c r="Q128" s="48">
        <f t="shared" si="12"/>
        <v>0.02</v>
      </c>
      <c r="R128" s="48">
        <f t="shared" si="13"/>
        <v>0.02</v>
      </c>
      <c r="S128" s="48">
        <f t="shared" si="18"/>
        <v>0.96</v>
      </c>
      <c r="T128" s="48">
        <f t="shared" si="14"/>
        <v>0.98</v>
      </c>
      <c r="U128" s="48">
        <f t="shared" si="15"/>
        <v>0</v>
      </c>
      <c r="V128" s="48">
        <f t="shared" si="16"/>
        <v>2.0000000000000018E-2</v>
      </c>
      <c r="W128" s="48">
        <f t="shared" si="17"/>
        <v>1</v>
      </c>
      <c r="X128" s="14">
        <f>MATCH(C128,'Weights and Seed Amounts'!C$2:C$400,0)</f>
        <v>127</v>
      </c>
      <c r="Y128" s="58">
        <f>INDEX('Weights and Seed Amounts'!D$2:D$400,$X128)</f>
        <v>5.7299999999999997E-2</v>
      </c>
      <c r="Z128" s="34">
        <f>INDEX(Xtradata!U$2:U$397,$D128)</f>
        <v>0</v>
      </c>
    </row>
    <row r="129" spans="1:26" x14ac:dyDescent="0.25">
      <c r="A129" s="2" t="s">
        <v>217</v>
      </c>
      <c r="B129" s="2" t="s">
        <v>218</v>
      </c>
      <c r="C129" s="2" t="s">
        <v>221</v>
      </c>
      <c r="D129" s="32">
        <f>MATCH(Xtradata!C129,Xtradata!C$2:C524,0)</f>
        <v>128</v>
      </c>
      <c r="E129" s="33">
        <f>INDEX(Xtradata!G$2:G$397,$D129)</f>
        <v>44291</v>
      </c>
      <c r="F129" s="33">
        <f>INDEX(Xtradata!H$2:H$397,$D129)</f>
        <v>44356</v>
      </c>
      <c r="G129" s="2">
        <v>102</v>
      </c>
      <c r="H129" s="2">
        <v>5</v>
      </c>
      <c r="I129" s="2">
        <v>0</v>
      </c>
      <c r="J129" s="33" t="str">
        <f>INDEX(Xtradata!J$2:J$397,$D129)</f>
        <v>TZ</v>
      </c>
      <c r="K129" s="34">
        <f>IF(J129="TZ",INDEX(Xtradata!P$2:P$397,$D129),IF(J129="clip",INDEX(Xtradata!K$2:K$397,$D129),""))</f>
        <v>97</v>
      </c>
      <c r="L129" s="34">
        <f>IF($J129="TZ",INDEX(Xtradata!Q$2:Q$397,$D129),IF($J129="clip",INDEX(Xtradata!L$2:L$397,$D129),""))</f>
        <v>37</v>
      </c>
      <c r="M129" s="34">
        <f>IF($J129="TZ",INDEX(Xtradata!R$2:R$397,$D129),IF($J129="clip",INDEX(Xtradata!M$2:M$397,$D129),""))</f>
        <v>60</v>
      </c>
      <c r="N129" s="2">
        <v>0</v>
      </c>
      <c r="O129" s="34">
        <f>INDEX(Xtradata!T$2:T$397,$D129)</f>
        <v>0</v>
      </c>
      <c r="P129" s="38">
        <f t="shared" si="11"/>
        <v>0</v>
      </c>
      <c r="Q129" s="48">
        <f t="shared" si="12"/>
        <v>4.9019607843137254E-2</v>
      </c>
      <c r="R129" s="48">
        <f t="shared" si="13"/>
        <v>4.9019607843137254E-2</v>
      </c>
      <c r="S129" s="48">
        <f t="shared" si="18"/>
        <v>0.36274509803921567</v>
      </c>
      <c r="T129" s="48">
        <f t="shared" si="14"/>
        <v>0.41176470588235292</v>
      </c>
      <c r="U129" s="48">
        <f t="shared" si="15"/>
        <v>0</v>
      </c>
      <c r="V129" s="48">
        <f t="shared" si="16"/>
        <v>0.58823529411764708</v>
      </c>
      <c r="W129" s="48">
        <f t="shared" si="17"/>
        <v>1</v>
      </c>
      <c r="X129" s="14">
        <f>MATCH(C129,'Weights and Seed Amounts'!C$2:C$400,0)</f>
        <v>128</v>
      </c>
      <c r="Y129" s="58">
        <f>INDEX('Weights and Seed Amounts'!D$2:D$400,$X129)</f>
        <v>4.7E-2</v>
      </c>
      <c r="Z129" s="34">
        <f>INDEX(Xtradata!U$2:U$397,$D129)</f>
        <v>0</v>
      </c>
    </row>
    <row r="130" spans="1:26" x14ac:dyDescent="0.25">
      <c r="A130" s="2" t="s">
        <v>222</v>
      </c>
      <c r="B130" s="2" t="s">
        <v>223</v>
      </c>
      <c r="C130" s="2" t="s">
        <v>224</v>
      </c>
      <c r="D130" s="32">
        <f>MATCH(Xtradata!C130,Xtradata!C$2:C525,0)</f>
        <v>129</v>
      </c>
      <c r="E130" s="33">
        <f>INDEX(Xtradata!G$2:G$397,$D130)</f>
        <v>44327</v>
      </c>
      <c r="F130" s="33">
        <f>INDEX(Xtradata!H$2:H$397,$D130)</f>
        <v>44356</v>
      </c>
      <c r="G130" s="2">
        <v>100</v>
      </c>
      <c r="H130" s="2">
        <v>87</v>
      </c>
      <c r="I130" s="2">
        <v>0</v>
      </c>
      <c r="J130" s="33" t="str">
        <f>INDEX(Xtradata!J$2:J$397,$D130)</f>
        <v>N/A</v>
      </c>
      <c r="K130" s="34" t="str">
        <f>IF(J130="TZ",INDEX(Xtradata!P$2:P$397,$D130),IF(J130="clip",INDEX(Xtradata!K$2:K$397,$D130),""))</f>
        <v/>
      </c>
      <c r="L130" s="34" t="str">
        <f>IF($J130="TZ",INDEX(Xtradata!Q$2:Q$397,$D130),IF($J130="clip",INDEX(Xtradata!L$2:L$397,$D130),""))</f>
        <v/>
      </c>
      <c r="M130" s="34" t="str">
        <f>IF($J130="TZ",INDEX(Xtradata!R$2:R$397,$D130),IF($J130="clip",INDEX(Xtradata!M$2:M$397,$D130),""))</f>
        <v/>
      </c>
      <c r="N130" s="2">
        <v>13</v>
      </c>
      <c r="O130" s="34">
        <f>INDEX(Xtradata!T$2:T$397,$D130)</f>
        <v>0</v>
      </c>
      <c r="P130" s="38">
        <f t="shared" si="11"/>
        <v>0</v>
      </c>
      <c r="Q130" s="48">
        <f t="shared" si="12"/>
        <v>0.87</v>
      </c>
      <c r="R130" s="48">
        <f t="shared" si="13"/>
        <v>0.87</v>
      </c>
      <c r="S130" s="48">
        <f t="shared" si="18"/>
        <v>0</v>
      </c>
      <c r="T130" s="48">
        <f t="shared" si="14"/>
        <v>0.87</v>
      </c>
      <c r="U130" s="48">
        <f t="shared" si="15"/>
        <v>0.13</v>
      </c>
      <c r="V130" s="48">
        <f t="shared" si="16"/>
        <v>0</v>
      </c>
      <c r="W130" s="48">
        <f t="shared" si="17"/>
        <v>1</v>
      </c>
      <c r="X130" s="14">
        <f>MATCH(C130,'Weights and Seed Amounts'!C$2:C$400,0)</f>
        <v>129</v>
      </c>
      <c r="Y130" s="58">
        <f>INDEX('Weights and Seed Amounts'!D$2:D$400,$X130)</f>
        <v>3.9800000000000002E-2</v>
      </c>
      <c r="Z130" s="34">
        <f>INDEX(Xtradata!U$2:U$397,$D130)</f>
        <v>0</v>
      </c>
    </row>
    <row r="131" spans="1:26" x14ac:dyDescent="0.25">
      <c r="A131" s="2" t="s">
        <v>225</v>
      </c>
      <c r="B131" s="2" t="s">
        <v>226</v>
      </c>
      <c r="C131" s="2" t="s">
        <v>227</v>
      </c>
      <c r="D131" s="32">
        <f>MATCH(Xtradata!C131,Xtradata!C$2:C526,0)</f>
        <v>130</v>
      </c>
      <c r="E131" s="33">
        <f>INDEX(Xtradata!G$2:G$397,$D131)</f>
        <v>44309</v>
      </c>
      <c r="F131" s="33">
        <f>INDEX(Xtradata!H$2:H$397,$D131)</f>
        <v>44323</v>
      </c>
      <c r="G131" s="2">
        <v>100</v>
      </c>
      <c r="H131" s="2">
        <v>68</v>
      </c>
      <c r="I131" s="2">
        <v>5</v>
      </c>
      <c r="J131" s="33" t="str">
        <f>INDEX(Xtradata!J$2:J$397,$D131)</f>
        <v>clip</v>
      </c>
      <c r="K131" s="34">
        <f>IF(J131="TZ",INDEX(Xtradata!P$2:P$397,$D131),IF(J131="clip",INDEX(Xtradata!K$2:K$397,$D131),""))</f>
        <v>7</v>
      </c>
      <c r="L131" s="34">
        <f>IF($J131="TZ",INDEX(Xtradata!Q$2:Q$397,$D131),IF($J131="clip",INDEX(Xtradata!L$2:L$397,$D131),""))</f>
        <v>4</v>
      </c>
      <c r="M131" s="34">
        <f>IF($J131="TZ",INDEX(Xtradata!R$2:R$397,$D131),IF($J131="clip",INDEX(Xtradata!M$2:M$397,$D131),""))</f>
        <v>3</v>
      </c>
      <c r="N131" s="2">
        <v>0</v>
      </c>
      <c r="O131" s="34">
        <f>INDEX(Xtradata!T$2:T$397,$D131)</f>
        <v>20</v>
      </c>
      <c r="P131" s="38">
        <f t="shared" ref="P131:P194" si="19">IF(G131=0,K131-SUM(L131,M131,N131,O131),G131-SUM(H131,I131,L131,M131,N131,O131))</f>
        <v>0</v>
      </c>
      <c r="Q131" s="48">
        <f t="shared" ref="Q131:Q194" si="20">IF($G131=0,"",H131/$G131)</f>
        <v>0.68</v>
      </c>
      <c r="R131" s="48">
        <f t="shared" ref="R131:R194" si="21">IF($G131=0,"",IF(J131="clip",(H131+I131+L131)/$G131,(H131+I131)/$G131))</f>
        <v>0.77</v>
      </c>
      <c r="S131" s="48">
        <f t="shared" si="18"/>
        <v>0.04</v>
      </c>
      <c r="T131" s="48">
        <f t="shared" ref="T131:T194" si="22">IF($G131=0,IF(J131="TZ",(L131)/$K131,""),IF(J131="N/A",(H131+I131)/$G131, (H131+I131+L131)/$G131))</f>
        <v>0.77</v>
      </c>
      <c r="U131" s="48">
        <f t="shared" ref="U131:U194" si="23">IFERROR(N131/G131,IFERROR(N131/K131,""))</f>
        <v>0</v>
      </c>
      <c r="V131" s="48">
        <f t="shared" ref="V131:V194" si="24">IFERROR(1-T131-U131,IFERROR(1-T131,""))</f>
        <v>0.22999999999999998</v>
      </c>
      <c r="W131" s="48">
        <f t="shared" si="17"/>
        <v>1.04</v>
      </c>
      <c r="X131" s="14">
        <f>MATCH(C131,'Weights and Seed Amounts'!C$2:C$400,0)</f>
        <v>130</v>
      </c>
      <c r="Y131" s="58">
        <f>INDEX('Weights and Seed Amounts'!D$2:D$400,$X131)</f>
        <v>0.83819999999999995</v>
      </c>
      <c r="Z131" s="34">
        <f>INDEX(Xtradata!U$2:U$397,$D131)</f>
        <v>0</v>
      </c>
    </row>
    <row r="132" spans="1:26" x14ac:dyDescent="0.25">
      <c r="A132" s="2" t="s">
        <v>225</v>
      </c>
      <c r="B132" s="2" t="s">
        <v>226</v>
      </c>
      <c r="C132" s="2" t="s">
        <v>228</v>
      </c>
      <c r="D132" s="32">
        <f>MATCH(Xtradata!C132,Xtradata!C$2:C527,0)</f>
        <v>131</v>
      </c>
      <c r="E132" s="33" t="str">
        <f>INDEX(Xtradata!G$2:G$397,$D132)</f>
        <v>N/A</v>
      </c>
      <c r="F132" s="33" t="str">
        <f>INDEX(Xtradata!H$2:H$397,$D132)</f>
        <v>N/A</v>
      </c>
      <c r="G132" s="2">
        <v>0</v>
      </c>
      <c r="H132" s="2" t="s">
        <v>581</v>
      </c>
      <c r="I132" s="2" t="s">
        <v>581</v>
      </c>
      <c r="J132" s="33" t="str">
        <f>INDEX(Xtradata!J$2:J$397,$D132)</f>
        <v>N/A</v>
      </c>
      <c r="K132" s="34" t="str">
        <f>IF(J132="TZ",INDEX(Xtradata!P$2:P$397,$D132),IF(J132="clip",INDEX(Xtradata!K$2:K$397,$D132),""))</f>
        <v/>
      </c>
      <c r="L132" s="34" t="str">
        <f>IF($J132="TZ",INDEX(Xtradata!Q$2:Q$397,$D132),IF($J132="clip",INDEX(Xtradata!L$2:L$397,$D132),""))</f>
        <v/>
      </c>
      <c r="M132" s="34" t="str">
        <f>IF($J132="TZ",INDEX(Xtradata!R$2:R$397,$D132),IF($J132="clip",INDEX(Xtradata!M$2:M$397,$D132),""))</f>
        <v/>
      </c>
      <c r="N132" s="2" t="s">
        <v>581</v>
      </c>
      <c r="O132" s="34" t="str">
        <f>INDEX(Xtradata!T$2:T$397,$D132)</f>
        <v>N/A</v>
      </c>
      <c r="P132" s="38" t="e">
        <f t="shared" si="19"/>
        <v>#VALUE!</v>
      </c>
      <c r="Q132" s="48" t="str">
        <f t="shared" si="20"/>
        <v/>
      </c>
      <c r="R132" s="48" t="str">
        <f t="shared" si="21"/>
        <v/>
      </c>
      <c r="S132" s="48" t="str">
        <f t="shared" si="18"/>
        <v/>
      </c>
      <c r="T132" s="48" t="str">
        <f t="shared" si="22"/>
        <v/>
      </c>
      <c r="U132" s="48" t="str">
        <f t="shared" si="23"/>
        <v/>
      </c>
      <c r="V132" s="48" t="str">
        <f t="shared" si="24"/>
        <v/>
      </c>
      <c r="W132" s="48">
        <f t="shared" si="17"/>
        <v>0</v>
      </c>
      <c r="X132" s="14">
        <f>MATCH(C132,'Weights and Seed Amounts'!C$2:C$400,0)</f>
        <v>131</v>
      </c>
      <c r="Y132" s="58" t="str">
        <f>INDEX('Weights and Seed Amounts'!D$2:D$400,$X132)</f>
        <v>N/A</v>
      </c>
      <c r="Z132" s="34" t="str">
        <f>INDEX(Xtradata!U$2:U$397,$D132)</f>
        <v>Sample on packing list but not included in shipment</v>
      </c>
    </row>
    <row r="133" spans="1:26" x14ac:dyDescent="0.25">
      <c r="A133" s="2" t="s">
        <v>225</v>
      </c>
      <c r="B133" s="2" t="s">
        <v>226</v>
      </c>
      <c r="C133" s="2" t="s">
        <v>229</v>
      </c>
      <c r="D133" s="32">
        <f>MATCH(Xtradata!C133,Xtradata!C$2:C528,0)</f>
        <v>132</v>
      </c>
      <c r="E133" s="33">
        <f>INDEX(Xtradata!G$2:G$397,$D133)</f>
        <v>44309</v>
      </c>
      <c r="F133" s="33">
        <f>INDEX(Xtradata!H$2:H$397,$D133)</f>
        <v>44323</v>
      </c>
      <c r="G133" s="2">
        <v>100</v>
      </c>
      <c r="H133" s="2">
        <v>43</v>
      </c>
      <c r="I133" s="2">
        <v>15</v>
      </c>
      <c r="J133" s="33" t="str">
        <f>INDEX(Xtradata!J$2:J$397,$D133)</f>
        <v>clip</v>
      </c>
      <c r="K133" s="34">
        <f>IF(J133="TZ",INDEX(Xtradata!P$2:P$397,$D133),IF(J133="clip",INDEX(Xtradata!K$2:K$397,$D133),""))</f>
        <v>14</v>
      </c>
      <c r="L133" s="34">
        <f>IF($J133="TZ",INDEX(Xtradata!Q$2:Q$397,$D133),IF($J133="clip",INDEX(Xtradata!L$2:L$397,$D133),""))</f>
        <v>4</v>
      </c>
      <c r="M133" s="34">
        <f>IF($J133="TZ",INDEX(Xtradata!R$2:R$397,$D133),IF($J133="clip",INDEX(Xtradata!M$2:M$397,$D133),""))</f>
        <v>10</v>
      </c>
      <c r="N133" s="2">
        <v>0</v>
      </c>
      <c r="O133" s="34">
        <f>INDEX(Xtradata!T$2:T$397,$D133)</f>
        <v>28</v>
      </c>
      <c r="P133" s="38">
        <f t="shared" si="19"/>
        <v>0</v>
      </c>
      <c r="Q133" s="48">
        <f t="shared" si="20"/>
        <v>0.43</v>
      </c>
      <c r="R133" s="48">
        <f t="shared" si="21"/>
        <v>0.62</v>
      </c>
      <c r="S133" s="48">
        <f t="shared" si="18"/>
        <v>0.04</v>
      </c>
      <c r="T133" s="48">
        <f t="shared" si="22"/>
        <v>0.62</v>
      </c>
      <c r="U133" s="48">
        <f t="shared" si="23"/>
        <v>0</v>
      </c>
      <c r="V133" s="48">
        <f t="shared" si="24"/>
        <v>0.38</v>
      </c>
      <c r="W133" s="48">
        <f t="shared" ref="W133:W196" si="25">SUM(R133,S133,U133,V133)</f>
        <v>1.04</v>
      </c>
      <c r="X133" s="14">
        <f>MATCH(C133,'Weights and Seed Amounts'!C$2:C$400,0)</f>
        <v>132</v>
      </c>
      <c r="Y133" s="58">
        <f>INDEX('Weights and Seed Amounts'!D$2:D$400,$X133)</f>
        <v>0.82730000000000004</v>
      </c>
      <c r="Z133" s="34">
        <f>INDEX(Xtradata!U$2:U$397,$D133)</f>
        <v>0</v>
      </c>
    </row>
    <row r="134" spans="1:26" x14ac:dyDescent="0.25">
      <c r="A134" s="2" t="s">
        <v>230</v>
      </c>
      <c r="B134" s="2" t="s">
        <v>231</v>
      </c>
      <c r="C134" s="2" t="s">
        <v>232</v>
      </c>
      <c r="D134" s="32">
        <f>MATCH(Xtradata!C134,Xtradata!C$2:C529,0)</f>
        <v>133</v>
      </c>
      <c r="E134" s="33">
        <f>INDEX(Xtradata!G$2:G$397,$D134)</f>
        <v>44327</v>
      </c>
      <c r="F134" s="33">
        <f>INDEX(Xtradata!H$2:H$397,$D134)</f>
        <v>44356</v>
      </c>
      <c r="G134" s="2">
        <v>100</v>
      </c>
      <c r="H134" s="2">
        <v>9</v>
      </c>
      <c r="I134" s="2">
        <v>0</v>
      </c>
      <c r="J134" s="33" t="str">
        <f>INDEX(Xtradata!J$2:J$397,$D134)</f>
        <v>TZ</v>
      </c>
      <c r="K134" s="34">
        <f>IF(J134="TZ",INDEX(Xtradata!P$2:P$397,$D134),IF(J134="clip",INDEX(Xtradata!K$2:K$397,$D134),""))</f>
        <v>29</v>
      </c>
      <c r="L134" s="34">
        <f>IF($J134="TZ",INDEX(Xtradata!Q$2:Q$397,$D134),IF($J134="clip",INDEX(Xtradata!L$2:L$397,$D134),""))</f>
        <v>20</v>
      </c>
      <c r="M134" s="34">
        <f>IF($J134="TZ",INDEX(Xtradata!R$2:R$397,$D134),IF($J134="clip",INDEX(Xtradata!M$2:M$397,$D134),""))</f>
        <v>9</v>
      </c>
      <c r="N134" s="2">
        <v>62</v>
      </c>
      <c r="O134" s="34">
        <f>INDEX(Xtradata!T$2:T$397,$D134)</f>
        <v>0</v>
      </c>
      <c r="P134" s="38">
        <f t="shared" si="19"/>
        <v>0</v>
      </c>
      <c r="Q134" s="48">
        <f t="shared" si="20"/>
        <v>0.09</v>
      </c>
      <c r="R134" s="48">
        <f t="shared" si="21"/>
        <v>0.09</v>
      </c>
      <c r="S134" s="48">
        <f t="shared" si="18"/>
        <v>0.2</v>
      </c>
      <c r="T134" s="48">
        <f t="shared" si="22"/>
        <v>0.28999999999999998</v>
      </c>
      <c r="U134" s="48">
        <f t="shared" si="23"/>
        <v>0.62</v>
      </c>
      <c r="V134" s="48">
        <f t="shared" si="24"/>
        <v>8.9999999999999969E-2</v>
      </c>
      <c r="W134" s="48">
        <f t="shared" si="25"/>
        <v>1</v>
      </c>
      <c r="X134" s="14">
        <f>MATCH(C134,'Weights and Seed Amounts'!C$2:C$400,0)</f>
        <v>133</v>
      </c>
      <c r="Y134" s="58">
        <f>INDEX('Weights and Seed Amounts'!D$2:D$400,$X134)</f>
        <v>1.77E-2</v>
      </c>
      <c r="Z134" s="34">
        <f>INDEX(Xtradata!U$2:U$397,$D134)</f>
        <v>0</v>
      </c>
    </row>
    <row r="135" spans="1:26" x14ac:dyDescent="0.25">
      <c r="A135" s="2" t="s">
        <v>233</v>
      </c>
      <c r="B135" s="2" t="s">
        <v>234</v>
      </c>
      <c r="C135" s="2" t="s">
        <v>235</v>
      </c>
      <c r="D135" s="32">
        <f>MATCH(Xtradata!C135,Xtradata!C$2:C530,0)</f>
        <v>134</v>
      </c>
      <c r="E135" s="33">
        <f>INDEX(Xtradata!G$2:G$397,$D135)</f>
        <v>44349</v>
      </c>
      <c r="F135" s="33">
        <f>INDEX(Xtradata!H$2:H$397,$D135)</f>
        <v>44390</v>
      </c>
      <c r="G135" s="2">
        <v>100</v>
      </c>
      <c r="H135" s="2">
        <v>1</v>
      </c>
      <c r="I135" s="2">
        <v>0</v>
      </c>
      <c r="J135" s="33" t="str">
        <f>INDEX(Xtradata!J$2:J$397,$D135)</f>
        <v>TZ</v>
      </c>
      <c r="K135" s="34">
        <f>IF(J135="TZ",INDEX(Xtradata!P$2:P$397,$D135),IF(J135="clip",INDEX(Xtradata!K$2:K$397,$D135),""))</f>
        <v>92</v>
      </c>
      <c r="L135" s="34">
        <f>IF($J135="TZ",INDEX(Xtradata!Q$2:Q$397,$D135),IF($J135="clip",INDEX(Xtradata!L$2:L$397,$D135),""))</f>
        <v>74</v>
      </c>
      <c r="M135" s="34">
        <f>IF($J135="TZ",INDEX(Xtradata!R$2:R$397,$D135),IF($J135="clip",INDEX(Xtradata!M$2:M$397,$D135),""))</f>
        <v>18</v>
      </c>
      <c r="N135" s="2">
        <v>0</v>
      </c>
      <c r="O135" s="34">
        <f>INDEX(Xtradata!T$2:T$397,$D135)</f>
        <v>7</v>
      </c>
      <c r="P135" s="38">
        <f t="shared" si="19"/>
        <v>0</v>
      </c>
      <c r="Q135" s="48">
        <f t="shared" si="20"/>
        <v>0.01</v>
      </c>
      <c r="R135" s="48">
        <f t="shared" si="21"/>
        <v>0.01</v>
      </c>
      <c r="S135" s="48">
        <f t="shared" si="18"/>
        <v>0.74</v>
      </c>
      <c r="T135" s="48">
        <f t="shared" si="22"/>
        <v>0.75</v>
      </c>
      <c r="U135" s="48">
        <f t="shared" si="23"/>
        <v>0</v>
      </c>
      <c r="V135" s="48">
        <f t="shared" si="24"/>
        <v>0.25</v>
      </c>
      <c r="W135" s="48">
        <f t="shared" si="25"/>
        <v>1</v>
      </c>
      <c r="X135" s="14">
        <f>MATCH(C135,'Weights and Seed Amounts'!C$2:C$400,0)</f>
        <v>134</v>
      </c>
      <c r="Y135" s="58">
        <f>INDEX('Weights and Seed Amounts'!D$2:D$400,$X135)</f>
        <v>2.4799999999999999E-2</v>
      </c>
      <c r="Z135" s="34">
        <f>INDEX(Xtradata!U$2:U$397,$D135)</f>
        <v>0</v>
      </c>
    </row>
    <row r="136" spans="1:26" x14ac:dyDescent="0.25">
      <c r="A136" s="2" t="s">
        <v>233</v>
      </c>
      <c r="B136" s="2" t="s">
        <v>236</v>
      </c>
      <c r="C136" s="2" t="s">
        <v>237</v>
      </c>
      <c r="D136" s="32">
        <f>MATCH(Xtradata!C136,Xtradata!C$2:C531,0)</f>
        <v>135</v>
      </c>
      <c r="E136" s="33">
        <f>INDEX(Xtradata!G$2:G$397,$D136)</f>
        <v>44327</v>
      </c>
      <c r="F136" s="33">
        <f>INDEX(Xtradata!H$2:H$397,$D136)</f>
        <v>44378</v>
      </c>
      <c r="G136" s="41">
        <f>100+8</f>
        <v>108</v>
      </c>
      <c r="H136" s="2">
        <v>5</v>
      </c>
      <c r="I136" s="2">
        <v>10</v>
      </c>
      <c r="J136" s="33" t="str">
        <f>INDEX(Xtradata!J$2:J$397,$D136)</f>
        <v>TZ</v>
      </c>
      <c r="K136" s="34">
        <f>IF(J136="TZ",INDEX(Xtradata!P$2:P$397,$D136),IF(J136="clip",INDEX(Xtradata!K$2:K$397,$D136),""))</f>
        <v>79</v>
      </c>
      <c r="L136" s="34">
        <f>IF($J136="TZ",INDEX(Xtradata!Q$2:Q$397,$D136),IF($J136="clip",INDEX(Xtradata!L$2:L$397,$D136),""))</f>
        <v>78</v>
      </c>
      <c r="M136" s="34">
        <f>IF($J136="TZ",INDEX(Xtradata!R$2:R$397,$D136),IF($J136="clip",INDEX(Xtradata!M$2:M$397,$D136),""))</f>
        <v>1</v>
      </c>
      <c r="N136" s="2">
        <v>11</v>
      </c>
      <c r="O136" s="34">
        <f>INDEX(Xtradata!T$2:T$397,$D136)</f>
        <v>3</v>
      </c>
      <c r="P136" s="38">
        <f t="shared" si="19"/>
        <v>0</v>
      </c>
      <c r="Q136" s="48">
        <f t="shared" si="20"/>
        <v>4.6296296296296294E-2</v>
      </c>
      <c r="R136" s="48">
        <f t="shared" si="21"/>
        <v>0.1388888888888889</v>
      </c>
      <c r="S136" s="48">
        <f t="shared" ref="S136:S199" si="26">IF($G136=0,"",IF(J136="N/A",0,L136/$G136))</f>
        <v>0.72222222222222221</v>
      </c>
      <c r="T136" s="48">
        <f t="shared" si="22"/>
        <v>0.86111111111111116</v>
      </c>
      <c r="U136" s="48">
        <f t="shared" si="23"/>
        <v>0.10185185185185185</v>
      </c>
      <c r="V136" s="48">
        <f t="shared" si="24"/>
        <v>3.7037037037036993E-2</v>
      </c>
      <c r="W136" s="48">
        <f t="shared" si="25"/>
        <v>1</v>
      </c>
      <c r="X136" s="14">
        <f>MATCH(C136,'Weights and Seed Amounts'!C$2:C$400,0)</f>
        <v>135</v>
      </c>
      <c r="Y136" s="58">
        <f>INDEX('Weights and Seed Amounts'!D$2:D$400,$X136)</f>
        <v>5.0299999999999997E-2</v>
      </c>
      <c r="Z136" s="34">
        <f>INDEX(Xtradata!U$2:U$397,$D136)</f>
        <v>0</v>
      </c>
    </row>
    <row r="137" spans="1:26" x14ac:dyDescent="0.25">
      <c r="A137" s="2" t="s">
        <v>233</v>
      </c>
      <c r="B137" s="2" t="s">
        <v>236</v>
      </c>
      <c r="C137" s="2" t="s">
        <v>238</v>
      </c>
      <c r="D137" s="32">
        <f>MATCH(Xtradata!C137,Xtradata!C$2:C532,0)</f>
        <v>136</v>
      </c>
      <c r="E137" s="33">
        <f>INDEX(Xtradata!G$2:G$397,$D137)</f>
        <v>44327</v>
      </c>
      <c r="F137" s="33">
        <f>INDEX(Xtradata!H$2:H$397,$D137)</f>
        <v>44378</v>
      </c>
      <c r="G137" s="41">
        <f>100+8</f>
        <v>108</v>
      </c>
      <c r="H137" s="2">
        <v>4</v>
      </c>
      <c r="I137" s="2">
        <v>3</v>
      </c>
      <c r="J137" s="33" t="str">
        <f>INDEX(Xtradata!J$2:J$397,$D137)</f>
        <v>TZ</v>
      </c>
      <c r="K137" s="34">
        <f>IF(J137="TZ",INDEX(Xtradata!P$2:P$397,$D137),IF(J137="clip",INDEX(Xtradata!K$2:K$397,$D137),""))</f>
        <v>91</v>
      </c>
      <c r="L137" s="34">
        <f>IF($J137="TZ",INDEX(Xtradata!Q$2:Q$397,$D137),IF($J137="clip",INDEX(Xtradata!L$2:L$397,$D137),""))</f>
        <v>87</v>
      </c>
      <c r="M137" s="34">
        <f>IF($J137="TZ",INDEX(Xtradata!R$2:R$397,$D137),IF($J137="clip",INDEX(Xtradata!M$2:M$397,$D137),""))</f>
        <v>4</v>
      </c>
      <c r="N137" s="2">
        <v>6</v>
      </c>
      <c r="O137" s="34">
        <f>INDEX(Xtradata!T$2:T$397,$D137)</f>
        <v>4</v>
      </c>
      <c r="P137" s="38">
        <f t="shared" si="19"/>
        <v>0</v>
      </c>
      <c r="Q137" s="48">
        <f t="shared" si="20"/>
        <v>3.7037037037037035E-2</v>
      </c>
      <c r="R137" s="48">
        <f t="shared" si="21"/>
        <v>6.4814814814814811E-2</v>
      </c>
      <c r="S137" s="48">
        <f t="shared" si="26"/>
        <v>0.80555555555555558</v>
      </c>
      <c r="T137" s="48">
        <f t="shared" si="22"/>
        <v>0.87037037037037035</v>
      </c>
      <c r="U137" s="48">
        <f t="shared" si="23"/>
        <v>5.5555555555555552E-2</v>
      </c>
      <c r="V137" s="48">
        <f t="shared" si="24"/>
        <v>7.4074074074074098E-2</v>
      </c>
      <c r="W137" s="48">
        <f t="shared" si="25"/>
        <v>1</v>
      </c>
      <c r="X137" s="14">
        <f>MATCH(C137,'Weights and Seed Amounts'!C$2:C$400,0)</f>
        <v>136</v>
      </c>
      <c r="Y137" s="58">
        <f>INDEX('Weights and Seed Amounts'!D$2:D$400,$X137)</f>
        <v>4.7199999999999999E-2</v>
      </c>
      <c r="Z137" s="34">
        <f>INDEX(Xtradata!U$2:U$397,$D137)</f>
        <v>0</v>
      </c>
    </row>
    <row r="138" spans="1:26" x14ac:dyDescent="0.25">
      <c r="A138" s="2" t="s">
        <v>233</v>
      </c>
      <c r="B138" s="2" t="s">
        <v>236</v>
      </c>
      <c r="C138" s="2" t="s">
        <v>239</v>
      </c>
      <c r="D138" s="32">
        <f>MATCH(Xtradata!C138,Xtradata!C$2:C533,0)</f>
        <v>137</v>
      </c>
      <c r="E138" s="33">
        <f>INDEX(Xtradata!G$2:G$397,$D138)</f>
        <v>44327</v>
      </c>
      <c r="F138" s="33">
        <f>INDEX(Xtradata!H$2:H$397,$D138)</f>
        <v>44378</v>
      </c>
      <c r="G138" s="2">
        <v>100</v>
      </c>
      <c r="H138" s="2">
        <v>0</v>
      </c>
      <c r="I138" s="2">
        <v>6</v>
      </c>
      <c r="J138" s="33" t="str">
        <f>INDEX(Xtradata!J$2:J$397,$D138)</f>
        <v>TZ</v>
      </c>
      <c r="K138" s="34">
        <f>IF(J138="TZ",INDEX(Xtradata!P$2:P$397,$D138),IF(J138="clip",INDEX(Xtradata!K$2:K$397,$D138),""))</f>
        <v>48</v>
      </c>
      <c r="L138" s="34">
        <f>IF($J138="TZ",INDEX(Xtradata!Q$2:Q$397,$D138),IF($J138="clip",INDEX(Xtradata!L$2:L$397,$D138),""))</f>
        <v>47</v>
      </c>
      <c r="M138" s="34">
        <f>IF($J138="TZ",INDEX(Xtradata!R$2:R$397,$D138),IF($J138="clip",INDEX(Xtradata!M$2:M$397,$D138),""))</f>
        <v>1</v>
      </c>
      <c r="N138" s="2">
        <v>46</v>
      </c>
      <c r="O138" s="34">
        <f>INDEX(Xtradata!T$2:T$397,$D138)</f>
        <v>0</v>
      </c>
      <c r="P138" s="38">
        <f t="shared" si="19"/>
        <v>0</v>
      </c>
      <c r="Q138" s="48">
        <f t="shared" si="20"/>
        <v>0</v>
      </c>
      <c r="R138" s="48">
        <f t="shared" si="21"/>
        <v>0.06</v>
      </c>
      <c r="S138" s="48">
        <f t="shared" si="26"/>
        <v>0.47</v>
      </c>
      <c r="T138" s="48">
        <f t="shared" si="22"/>
        <v>0.53</v>
      </c>
      <c r="U138" s="48">
        <f t="shared" si="23"/>
        <v>0.46</v>
      </c>
      <c r="V138" s="48">
        <f t="shared" si="24"/>
        <v>9.9999999999999534E-3</v>
      </c>
      <c r="W138" s="48">
        <f t="shared" si="25"/>
        <v>1</v>
      </c>
      <c r="X138" s="14">
        <f>MATCH(C138,'Weights and Seed Amounts'!C$2:C$400,0)</f>
        <v>137</v>
      </c>
      <c r="Y138" s="58">
        <f>INDEX('Weights and Seed Amounts'!D$2:D$400,$X138)</f>
        <v>3.5499999999999997E-2</v>
      </c>
      <c r="Z138" s="34">
        <f>INDEX(Xtradata!U$2:U$397,$D138)</f>
        <v>0</v>
      </c>
    </row>
    <row r="139" spans="1:26" x14ac:dyDescent="0.25">
      <c r="A139" s="2" t="s">
        <v>233</v>
      </c>
      <c r="B139" s="2" t="s">
        <v>236</v>
      </c>
      <c r="C139" s="2" t="s">
        <v>240</v>
      </c>
      <c r="D139" s="32">
        <f>MATCH(Xtradata!C139,Xtradata!C$2:C534,0)</f>
        <v>138</v>
      </c>
      <c r="E139" s="33">
        <f>INDEX(Xtradata!G$2:G$397,$D139)</f>
        <v>44327</v>
      </c>
      <c r="F139" s="33">
        <f>INDEX(Xtradata!H$2:H$397,$D139)</f>
        <v>44378</v>
      </c>
      <c r="G139" s="41">
        <f>113+7</f>
        <v>120</v>
      </c>
      <c r="H139" s="2">
        <v>14</v>
      </c>
      <c r="I139" s="2">
        <v>0</v>
      </c>
      <c r="J139" s="33" t="str">
        <f>INDEX(Xtradata!J$2:J$397,$D139)</f>
        <v>TZ</v>
      </c>
      <c r="K139" s="34">
        <f>IF(J139="TZ",INDEX(Xtradata!P$2:P$397,$D139),IF(J139="clip",INDEX(Xtradata!K$2:K$397,$D139),""))</f>
        <v>66</v>
      </c>
      <c r="L139" s="34">
        <f>IF($J139="TZ",INDEX(Xtradata!Q$2:Q$397,$D139),IF($J139="clip",INDEX(Xtradata!L$2:L$397,$D139),""))</f>
        <v>65</v>
      </c>
      <c r="M139" s="34">
        <f>IF($J139="TZ",INDEX(Xtradata!R$2:R$397,$D139),IF($J139="clip",INDEX(Xtradata!M$2:M$397,$D139),""))</f>
        <v>1</v>
      </c>
      <c r="N139" s="2">
        <v>34</v>
      </c>
      <c r="O139" s="34">
        <f>INDEX(Xtradata!T$2:T$397,$D139)</f>
        <v>6</v>
      </c>
      <c r="P139" s="38">
        <f t="shared" si="19"/>
        <v>0</v>
      </c>
      <c r="Q139" s="48">
        <f t="shared" si="20"/>
        <v>0.11666666666666667</v>
      </c>
      <c r="R139" s="48">
        <f t="shared" si="21"/>
        <v>0.11666666666666667</v>
      </c>
      <c r="S139" s="48">
        <f t="shared" si="26"/>
        <v>0.54166666666666663</v>
      </c>
      <c r="T139" s="48">
        <f t="shared" si="22"/>
        <v>0.65833333333333333</v>
      </c>
      <c r="U139" s="48">
        <f t="shared" si="23"/>
        <v>0.28333333333333333</v>
      </c>
      <c r="V139" s="48">
        <f t="shared" si="24"/>
        <v>5.8333333333333348E-2</v>
      </c>
      <c r="W139" s="48">
        <f t="shared" si="25"/>
        <v>1</v>
      </c>
      <c r="X139" s="14">
        <f>MATCH(C139,'Weights and Seed Amounts'!C$2:C$400,0)</f>
        <v>138</v>
      </c>
      <c r="Y139" s="58">
        <f>INDEX('Weights and Seed Amounts'!D$2:D$400,$X139)</f>
        <v>4.5400000000000003E-2</v>
      </c>
      <c r="Z139" s="34">
        <f>INDEX(Xtradata!U$2:U$397,$D139)</f>
        <v>0</v>
      </c>
    </row>
    <row r="140" spans="1:26" x14ac:dyDescent="0.25">
      <c r="A140" s="2" t="s">
        <v>233</v>
      </c>
      <c r="B140" s="2" t="s">
        <v>236</v>
      </c>
      <c r="C140" s="2" t="s">
        <v>241</v>
      </c>
      <c r="D140" s="32">
        <f>MATCH(Xtradata!C140,Xtradata!C$2:C535,0)</f>
        <v>139</v>
      </c>
      <c r="E140" s="33">
        <f>INDEX(Xtradata!G$2:G$397,$D140)</f>
        <v>44327</v>
      </c>
      <c r="F140" s="33">
        <f>INDEX(Xtradata!H$2:H$397,$D140)</f>
        <v>44378</v>
      </c>
      <c r="G140" s="41">
        <f>100+10</f>
        <v>110</v>
      </c>
      <c r="H140" s="2">
        <v>4</v>
      </c>
      <c r="I140" s="2">
        <v>3</v>
      </c>
      <c r="J140" s="33" t="str">
        <f>INDEX(Xtradata!J$2:J$397,$D140)</f>
        <v>TZ</v>
      </c>
      <c r="K140" s="34">
        <f>IF(J140="TZ",INDEX(Xtradata!P$2:P$397,$D140),IF(J140="clip",INDEX(Xtradata!K$2:K$397,$D140),""))</f>
        <v>55</v>
      </c>
      <c r="L140" s="34">
        <f>IF($J140="TZ",INDEX(Xtradata!Q$2:Q$397,$D140),IF($J140="clip",INDEX(Xtradata!L$2:L$397,$D140),""))</f>
        <v>52</v>
      </c>
      <c r="M140" s="34">
        <f>IF($J140="TZ",INDEX(Xtradata!R$2:R$397,$D140),IF($J140="clip",INDEX(Xtradata!M$2:M$397,$D140),""))</f>
        <v>3</v>
      </c>
      <c r="N140" s="2">
        <v>42</v>
      </c>
      <c r="O140" s="34">
        <f>INDEX(Xtradata!T$2:T$397,$D140)</f>
        <v>6</v>
      </c>
      <c r="P140" s="38">
        <f t="shared" si="19"/>
        <v>0</v>
      </c>
      <c r="Q140" s="48">
        <f t="shared" si="20"/>
        <v>3.6363636363636362E-2</v>
      </c>
      <c r="R140" s="48">
        <f t="shared" si="21"/>
        <v>6.363636363636363E-2</v>
      </c>
      <c r="S140" s="48">
        <f t="shared" si="26"/>
        <v>0.47272727272727272</v>
      </c>
      <c r="T140" s="48">
        <f t="shared" si="22"/>
        <v>0.53636363636363638</v>
      </c>
      <c r="U140" s="48">
        <f t="shared" si="23"/>
        <v>0.38181818181818183</v>
      </c>
      <c r="V140" s="48">
        <f t="shared" si="24"/>
        <v>8.181818181818179E-2</v>
      </c>
      <c r="W140" s="48">
        <f t="shared" si="25"/>
        <v>1</v>
      </c>
      <c r="X140" s="14">
        <f>MATCH(C140,'Weights and Seed Amounts'!C$2:C$400,0)</f>
        <v>139</v>
      </c>
      <c r="Y140" s="58">
        <f>INDEX('Weights and Seed Amounts'!D$2:D$400,$X140)</f>
        <v>4.3299999999999998E-2</v>
      </c>
      <c r="Z140" s="34">
        <f>INDEX(Xtradata!U$2:U$397,$D140)</f>
        <v>0</v>
      </c>
    </row>
    <row r="141" spans="1:26" x14ac:dyDescent="0.25">
      <c r="A141" s="2" t="s">
        <v>233</v>
      </c>
      <c r="B141" s="2" t="s">
        <v>236</v>
      </c>
      <c r="C141" s="2" t="s">
        <v>242</v>
      </c>
      <c r="D141" s="32">
        <f>MATCH(Xtradata!C141,Xtradata!C$2:C536,0)</f>
        <v>140</v>
      </c>
      <c r="E141" s="33">
        <f>INDEX(Xtradata!G$2:G$397,$D141)</f>
        <v>44327</v>
      </c>
      <c r="F141" s="33">
        <f>INDEX(Xtradata!H$2:H$397,$D141)</f>
        <v>44378</v>
      </c>
      <c r="G141" s="2">
        <v>100</v>
      </c>
      <c r="H141" s="2">
        <v>0</v>
      </c>
      <c r="I141" s="2">
        <v>0</v>
      </c>
      <c r="J141" s="33" t="str">
        <f>INDEX(Xtradata!J$2:J$397,$D141)</f>
        <v>TZ</v>
      </c>
      <c r="K141" s="34">
        <f>IF(J141="TZ",INDEX(Xtradata!P$2:P$397,$D141),IF(J141="clip",INDEX(Xtradata!K$2:K$397,$D141),""))</f>
        <v>30</v>
      </c>
      <c r="L141" s="34">
        <f>IF($J141="TZ",INDEX(Xtradata!Q$2:Q$397,$D141),IF($J141="clip",INDEX(Xtradata!L$2:L$397,$D141),""))</f>
        <v>30</v>
      </c>
      <c r="M141" s="34">
        <f>IF($J141="TZ",INDEX(Xtradata!R$2:R$397,$D141),IF($J141="clip",INDEX(Xtradata!M$2:M$397,$D141),""))</f>
        <v>0</v>
      </c>
      <c r="N141" s="2">
        <v>70</v>
      </c>
      <c r="O141" s="34">
        <f>INDEX(Xtradata!T$2:T$397,$D141)</f>
        <v>0</v>
      </c>
      <c r="P141" s="38">
        <f t="shared" si="19"/>
        <v>0</v>
      </c>
      <c r="Q141" s="48">
        <f t="shared" si="20"/>
        <v>0</v>
      </c>
      <c r="R141" s="48">
        <f t="shared" si="21"/>
        <v>0</v>
      </c>
      <c r="S141" s="48">
        <f t="shared" si="26"/>
        <v>0.3</v>
      </c>
      <c r="T141" s="48">
        <f t="shared" si="22"/>
        <v>0.3</v>
      </c>
      <c r="U141" s="48">
        <f t="shared" si="23"/>
        <v>0.7</v>
      </c>
      <c r="V141" s="48">
        <f t="shared" si="24"/>
        <v>0</v>
      </c>
      <c r="W141" s="48">
        <f t="shared" si="25"/>
        <v>1</v>
      </c>
      <c r="X141" s="14">
        <f>MATCH(C141,'Weights and Seed Amounts'!C$2:C$400,0)</f>
        <v>140</v>
      </c>
      <c r="Y141" s="58">
        <f>INDEX('Weights and Seed Amounts'!D$2:D$400,$X141)</f>
        <v>4.4200000000000003E-2</v>
      </c>
      <c r="Z141" s="34">
        <f>INDEX(Xtradata!U$2:U$397,$D141)</f>
        <v>0</v>
      </c>
    </row>
    <row r="142" spans="1:26" x14ac:dyDescent="0.25">
      <c r="A142" s="2" t="s">
        <v>243</v>
      </c>
      <c r="B142" s="2" t="s">
        <v>244</v>
      </c>
      <c r="C142" s="2" t="s">
        <v>245</v>
      </c>
      <c r="D142" s="32">
        <f>MATCH(Xtradata!C142,Xtradata!C$2:C537,0)</f>
        <v>141</v>
      </c>
      <c r="E142" s="33">
        <f>INDEX(Xtradata!G$2:G$397,$D142)</f>
        <v>44349</v>
      </c>
      <c r="F142" s="33">
        <f>INDEX(Xtradata!H$2:H$397,$D142)</f>
        <v>44404</v>
      </c>
      <c r="G142" s="2">
        <v>100</v>
      </c>
      <c r="H142" s="2">
        <v>2</v>
      </c>
      <c r="I142" s="2">
        <v>0</v>
      </c>
      <c r="J142" s="33" t="str">
        <f>INDEX(Xtradata!J$2:J$397,$D142)</f>
        <v>TZ</v>
      </c>
      <c r="K142" s="34">
        <f>IF(J142="TZ",INDEX(Xtradata!P$2:P$397,$D142),IF(J142="clip",INDEX(Xtradata!K$2:K$397,$D142),""))</f>
        <v>98</v>
      </c>
      <c r="L142" s="34">
        <f>IF($J142="TZ",INDEX(Xtradata!Q$2:Q$397,$D142),IF($J142="clip",INDEX(Xtradata!L$2:L$397,$D142),""))</f>
        <v>3</v>
      </c>
      <c r="M142" s="34">
        <f>IF($J142="TZ",INDEX(Xtradata!R$2:R$397,$D142),IF($J142="clip",INDEX(Xtradata!M$2:M$397,$D142),""))</f>
        <v>95</v>
      </c>
      <c r="N142" s="2">
        <v>0</v>
      </c>
      <c r="O142" s="34">
        <f>INDEX(Xtradata!T$2:T$397,$D142)</f>
        <v>0</v>
      </c>
      <c r="P142" s="38">
        <f t="shared" si="19"/>
        <v>0</v>
      </c>
      <c r="Q142" s="48">
        <f t="shared" si="20"/>
        <v>0.02</v>
      </c>
      <c r="R142" s="48">
        <f t="shared" si="21"/>
        <v>0.02</v>
      </c>
      <c r="S142" s="48">
        <f t="shared" si="26"/>
        <v>0.03</v>
      </c>
      <c r="T142" s="48">
        <f t="shared" si="22"/>
        <v>0.05</v>
      </c>
      <c r="U142" s="48">
        <f t="shared" si="23"/>
        <v>0</v>
      </c>
      <c r="V142" s="48">
        <f t="shared" si="24"/>
        <v>0.95</v>
      </c>
      <c r="W142" s="48">
        <f t="shared" si="25"/>
        <v>1</v>
      </c>
      <c r="X142" s="14">
        <f>MATCH(C142,'Weights and Seed Amounts'!C$2:C$400,0)</f>
        <v>141</v>
      </c>
      <c r="Y142" s="58">
        <f>INDEX('Weights and Seed Amounts'!D$2:D$400,$X142)</f>
        <v>2.8999999999999998E-3</v>
      </c>
      <c r="Z142" s="34">
        <f>INDEX(Xtradata!U$2:U$397,$D142)</f>
        <v>0</v>
      </c>
    </row>
    <row r="143" spans="1:26" x14ac:dyDescent="0.25">
      <c r="A143" s="2" t="s">
        <v>246</v>
      </c>
      <c r="B143" s="2" t="s">
        <v>247</v>
      </c>
      <c r="C143" s="2" t="s">
        <v>248</v>
      </c>
      <c r="D143" s="32">
        <f>MATCH(Xtradata!C143,Xtradata!C$2:C538,0)</f>
        <v>142</v>
      </c>
      <c r="E143" s="33">
        <f>INDEX(Xtradata!G$2:G$397,$D143)</f>
        <v>44319</v>
      </c>
      <c r="F143" s="33">
        <f>INDEX(Xtradata!H$2:H$397,$D143)</f>
        <v>44371</v>
      </c>
      <c r="G143" s="2">
        <v>100</v>
      </c>
      <c r="H143" s="2">
        <v>0</v>
      </c>
      <c r="I143" s="2">
        <v>0</v>
      </c>
      <c r="J143" s="33" t="str">
        <f>INDEX(Xtradata!J$2:J$397,$D143)</f>
        <v>TZ</v>
      </c>
      <c r="K143" s="34">
        <f>IF(J143="TZ",INDEX(Xtradata!P$2:P$397,$D143),IF(J143="clip",INDEX(Xtradata!K$2:K$397,$D143),""))</f>
        <v>100</v>
      </c>
      <c r="L143" s="34">
        <f>IF($J143="TZ",INDEX(Xtradata!Q$2:Q$397,$D143),IF($J143="clip",INDEX(Xtradata!L$2:L$397,$D143),""))</f>
        <v>45</v>
      </c>
      <c r="M143" s="34">
        <f>IF($J143="TZ",INDEX(Xtradata!R$2:R$397,$D143),IF($J143="clip",INDEX(Xtradata!M$2:M$397,$D143),""))</f>
        <v>55</v>
      </c>
      <c r="N143" s="2">
        <v>0</v>
      </c>
      <c r="O143" s="34">
        <f>INDEX(Xtradata!T$2:T$397,$D143)</f>
        <v>0</v>
      </c>
      <c r="P143" s="38">
        <f t="shared" si="19"/>
        <v>0</v>
      </c>
      <c r="Q143" s="48">
        <f t="shared" si="20"/>
        <v>0</v>
      </c>
      <c r="R143" s="48">
        <f t="shared" si="21"/>
        <v>0</v>
      </c>
      <c r="S143" s="48">
        <f t="shared" si="26"/>
        <v>0.45</v>
      </c>
      <c r="T143" s="48">
        <f t="shared" si="22"/>
        <v>0.45</v>
      </c>
      <c r="U143" s="48">
        <f t="shared" si="23"/>
        <v>0</v>
      </c>
      <c r="V143" s="48">
        <f t="shared" si="24"/>
        <v>0.55000000000000004</v>
      </c>
      <c r="W143" s="48">
        <f t="shared" si="25"/>
        <v>1</v>
      </c>
      <c r="X143" s="14">
        <f>MATCH(C143,'Weights and Seed Amounts'!C$2:C$400,0)</f>
        <v>142</v>
      </c>
      <c r="Y143" s="58">
        <f>INDEX('Weights and Seed Amounts'!D$2:D$400,$X143)</f>
        <v>1.5974999999999999</v>
      </c>
      <c r="Z143" s="34">
        <f>INDEX(Xtradata!U$2:U$397,$D143)</f>
        <v>0</v>
      </c>
    </row>
    <row r="144" spans="1:26" x14ac:dyDescent="0.25">
      <c r="A144" s="2" t="s">
        <v>246</v>
      </c>
      <c r="B144" s="2" t="s">
        <v>247</v>
      </c>
      <c r="C144" s="2" t="s">
        <v>249</v>
      </c>
      <c r="D144" s="32">
        <f>MATCH(Xtradata!C144,Xtradata!C$2:C539,0)</f>
        <v>143</v>
      </c>
      <c r="E144" s="33">
        <f>INDEX(Xtradata!G$2:G$397,$D144)</f>
        <v>44319</v>
      </c>
      <c r="F144" s="33">
        <f>INDEX(Xtradata!H$2:H$397,$D144)</f>
        <v>44371</v>
      </c>
      <c r="G144" s="2">
        <v>100</v>
      </c>
      <c r="H144" s="2">
        <v>0</v>
      </c>
      <c r="I144" s="2">
        <v>0</v>
      </c>
      <c r="J144" s="33" t="str">
        <f>INDEX(Xtradata!J$2:J$397,$D144)</f>
        <v>TZ</v>
      </c>
      <c r="K144" s="34">
        <f>IF(J144="TZ",INDEX(Xtradata!P$2:P$397,$D144),IF(J144="clip",INDEX(Xtradata!K$2:K$397,$D144),""))</f>
        <v>100</v>
      </c>
      <c r="L144" s="34">
        <f>IF($J144="TZ",INDEX(Xtradata!Q$2:Q$397,$D144),IF($J144="clip",INDEX(Xtradata!L$2:L$397,$D144),""))</f>
        <v>74</v>
      </c>
      <c r="M144" s="34">
        <f>IF($J144="TZ",INDEX(Xtradata!R$2:R$397,$D144),IF($J144="clip",INDEX(Xtradata!M$2:M$397,$D144),""))</f>
        <v>26</v>
      </c>
      <c r="N144" s="2">
        <v>0</v>
      </c>
      <c r="O144" s="34">
        <f>INDEX(Xtradata!T$2:T$397,$D144)</f>
        <v>0</v>
      </c>
      <c r="P144" s="38">
        <f t="shared" si="19"/>
        <v>0</v>
      </c>
      <c r="Q144" s="48">
        <f t="shared" si="20"/>
        <v>0</v>
      </c>
      <c r="R144" s="48">
        <f t="shared" si="21"/>
        <v>0</v>
      </c>
      <c r="S144" s="48">
        <f t="shared" si="26"/>
        <v>0.74</v>
      </c>
      <c r="T144" s="48">
        <f t="shared" si="22"/>
        <v>0.74</v>
      </c>
      <c r="U144" s="48">
        <f t="shared" si="23"/>
        <v>0</v>
      </c>
      <c r="V144" s="48">
        <f t="shared" si="24"/>
        <v>0.26</v>
      </c>
      <c r="W144" s="48">
        <f t="shared" si="25"/>
        <v>1</v>
      </c>
      <c r="X144" s="14">
        <f>MATCH(C144,'Weights and Seed Amounts'!C$2:C$400,0)</f>
        <v>143</v>
      </c>
      <c r="Y144" s="58">
        <f>INDEX('Weights and Seed Amounts'!D$2:D$400,$X144)</f>
        <v>1.5790999999999999</v>
      </c>
      <c r="Z144" s="34">
        <f>INDEX(Xtradata!U$2:U$397,$D144)</f>
        <v>0</v>
      </c>
    </row>
    <row r="145" spans="1:26" x14ac:dyDescent="0.25">
      <c r="A145" s="2" t="s">
        <v>246</v>
      </c>
      <c r="B145" s="2" t="s">
        <v>250</v>
      </c>
      <c r="C145" s="2" t="s">
        <v>646</v>
      </c>
      <c r="D145" s="32">
        <f>MATCH(Xtradata!C145,Xtradata!C$2:C540,0)</f>
        <v>144</v>
      </c>
      <c r="E145" s="33">
        <f>INDEX(Xtradata!G$2:G$397,$D145)</f>
        <v>44319</v>
      </c>
      <c r="F145" s="33">
        <f>INDEX(Xtradata!H$2:H$397,$D145)</f>
        <v>44371</v>
      </c>
      <c r="G145" s="2">
        <v>100</v>
      </c>
      <c r="H145" s="2">
        <v>0</v>
      </c>
      <c r="I145" s="2">
        <v>0</v>
      </c>
      <c r="J145" s="33" t="str">
        <f>INDEX(Xtradata!J$2:J$397,$D145)</f>
        <v>TZ</v>
      </c>
      <c r="K145" s="34">
        <f>IF(J145="TZ",INDEX(Xtradata!P$2:P$397,$D145),IF(J145="clip",INDEX(Xtradata!K$2:K$397,$D145),""))</f>
        <v>100</v>
      </c>
      <c r="L145" s="34">
        <f>IF($J145="TZ",INDEX(Xtradata!Q$2:Q$397,$D145),IF($J145="clip",INDEX(Xtradata!L$2:L$397,$D145),""))</f>
        <v>52</v>
      </c>
      <c r="M145" s="34">
        <f>IF($J145="TZ",INDEX(Xtradata!R$2:R$397,$D145),IF($J145="clip",INDEX(Xtradata!M$2:M$397,$D145),""))</f>
        <v>48</v>
      </c>
      <c r="N145" s="2">
        <v>0</v>
      </c>
      <c r="O145" s="34">
        <f>INDEX(Xtradata!T$2:T$397,$D145)</f>
        <v>0</v>
      </c>
      <c r="P145" s="38">
        <f t="shared" si="19"/>
        <v>0</v>
      </c>
      <c r="Q145" s="48">
        <f t="shared" si="20"/>
        <v>0</v>
      </c>
      <c r="R145" s="48">
        <f t="shared" si="21"/>
        <v>0</v>
      </c>
      <c r="S145" s="48">
        <f t="shared" si="26"/>
        <v>0.52</v>
      </c>
      <c r="T145" s="48">
        <f t="shared" si="22"/>
        <v>0.52</v>
      </c>
      <c r="U145" s="48">
        <f t="shared" si="23"/>
        <v>0</v>
      </c>
      <c r="V145" s="48">
        <f t="shared" si="24"/>
        <v>0.48</v>
      </c>
      <c r="W145" s="48">
        <f t="shared" si="25"/>
        <v>1</v>
      </c>
      <c r="X145" s="14">
        <f>MATCH(C145,'Weights and Seed Amounts'!C$2:C$400,0)</f>
        <v>144</v>
      </c>
      <c r="Y145" s="58">
        <f>INDEX('Weights and Seed Amounts'!D$2:D$400,$X145)</f>
        <v>0.5726</v>
      </c>
      <c r="Z145" s="34">
        <f>INDEX(Xtradata!U$2:U$397,$D145)</f>
        <v>0</v>
      </c>
    </row>
    <row r="146" spans="1:26" x14ac:dyDescent="0.25">
      <c r="A146" s="2" t="s">
        <v>246</v>
      </c>
      <c r="B146" s="2" t="s">
        <v>252</v>
      </c>
      <c r="C146" s="2" t="s">
        <v>253</v>
      </c>
      <c r="D146" s="32">
        <f>MATCH(Xtradata!C146,Xtradata!C$2:C541,0)</f>
        <v>145</v>
      </c>
      <c r="E146" s="33" t="str">
        <f>INDEX(Xtradata!G$2:G$397,$D146)</f>
        <v>N/A</v>
      </c>
      <c r="F146" s="33" t="str">
        <f>INDEX(Xtradata!H$2:H$397,$D146)</f>
        <v>N/A</v>
      </c>
      <c r="G146" s="2">
        <v>0</v>
      </c>
      <c r="H146" s="2" t="s">
        <v>581</v>
      </c>
      <c r="I146" s="2" t="s">
        <v>581</v>
      </c>
      <c r="J146" s="33" t="str">
        <f>INDEX(Xtradata!J$2:J$397,$D146)</f>
        <v>N/A</v>
      </c>
      <c r="K146" s="34" t="str">
        <f>IF(J146="TZ",INDEX(Xtradata!P$2:P$397,$D146),IF(J146="clip",INDEX(Xtradata!K$2:K$397,$D146),""))</f>
        <v/>
      </c>
      <c r="L146" s="34" t="str">
        <f>IF($J146="TZ",INDEX(Xtradata!Q$2:Q$397,$D146),IF($J146="clip",INDEX(Xtradata!L$2:L$397,$D146),""))</f>
        <v/>
      </c>
      <c r="M146" s="34" t="str">
        <f>IF($J146="TZ",INDEX(Xtradata!R$2:R$397,$D146),IF($J146="clip",INDEX(Xtradata!M$2:M$397,$D146),""))</f>
        <v/>
      </c>
      <c r="N146" s="2" t="s">
        <v>581</v>
      </c>
      <c r="O146" s="34" t="str">
        <f>INDEX(Xtradata!T$2:T$397,$D146)</f>
        <v>N/A</v>
      </c>
      <c r="P146" s="38" t="e">
        <f t="shared" si="19"/>
        <v>#VALUE!</v>
      </c>
      <c r="Q146" s="48" t="str">
        <f t="shared" si="20"/>
        <v/>
      </c>
      <c r="R146" s="48" t="str">
        <f t="shared" si="21"/>
        <v/>
      </c>
      <c r="S146" s="48" t="str">
        <f t="shared" si="26"/>
        <v/>
      </c>
      <c r="T146" s="48" t="str">
        <f t="shared" si="22"/>
        <v/>
      </c>
      <c r="U146" s="48" t="str">
        <f t="shared" si="23"/>
        <v/>
      </c>
      <c r="V146" s="48" t="str">
        <f t="shared" si="24"/>
        <v/>
      </c>
      <c r="W146" s="48">
        <f t="shared" si="25"/>
        <v>0</v>
      </c>
      <c r="X146" s="14">
        <f>MATCH(C146,'Weights and Seed Amounts'!C$2:C$400,0)</f>
        <v>145</v>
      </c>
      <c r="Y146" s="58">
        <f>INDEX('Weights and Seed Amounts'!D$2:D$400,$X146)</f>
        <v>0</v>
      </c>
      <c r="Z146" s="34" t="str">
        <f>INDEX(Xtradata!U$2:U$397,$D146)</f>
        <v xml:space="preserve">Seeds were  found to be too moldy to clean and test. The sample was discarded. </v>
      </c>
    </row>
    <row r="147" spans="1:26" x14ac:dyDescent="0.25">
      <c r="A147" s="2" t="s">
        <v>246</v>
      </c>
      <c r="B147" s="2" t="s">
        <v>252</v>
      </c>
      <c r="C147" s="2" t="s">
        <v>254</v>
      </c>
      <c r="D147" s="32">
        <f>MATCH(Xtradata!C147,Xtradata!C$2:C542,0)</f>
        <v>146</v>
      </c>
      <c r="E147" s="33">
        <f>INDEX(Xtradata!G$2:G$397,$D147)</f>
        <v>44319</v>
      </c>
      <c r="F147" s="33">
        <f>INDEX(Xtradata!H$2:H$397,$D147)</f>
        <v>44371</v>
      </c>
      <c r="G147" s="2">
        <v>100</v>
      </c>
      <c r="H147" s="2">
        <v>0</v>
      </c>
      <c r="I147" s="2">
        <v>0</v>
      </c>
      <c r="J147" s="33" t="str">
        <f>INDEX(Xtradata!J$2:J$397,$D147)</f>
        <v>TZ</v>
      </c>
      <c r="K147" s="34">
        <f>IF(J147="TZ",INDEX(Xtradata!P$2:P$397,$D147),IF(J147="clip",INDEX(Xtradata!K$2:K$397,$D147),""))</f>
        <v>100</v>
      </c>
      <c r="L147" s="34">
        <f>IF($J147="TZ",INDEX(Xtradata!Q$2:Q$397,$D147),IF($J147="clip",INDEX(Xtradata!L$2:L$397,$D147),""))</f>
        <v>79</v>
      </c>
      <c r="M147" s="34">
        <f>IF($J147="TZ",INDEX(Xtradata!R$2:R$397,$D147),IF($J147="clip",INDEX(Xtradata!M$2:M$397,$D147),""))</f>
        <v>21</v>
      </c>
      <c r="N147" s="2">
        <v>0</v>
      </c>
      <c r="O147" s="34">
        <f>INDEX(Xtradata!T$2:T$397,$D147)</f>
        <v>0</v>
      </c>
      <c r="P147" s="38">
        <f t="shared" si="19"/>
        <v>0</v>
      </c>
      <c r="Q147" s="48">
        <f t="shared" si="20"/>
        <v>0</v>
      </c>
      <c r="R147" s="48">
        <f t="shared" si="21"/>
        <v>0</v>
      </c>
      <c r="S147" s="48">
        <f t="shared" si="26"/>
        <v>0.79</v>
      </c>
      <c r="T147" s="48">
        <f t="shared" si="22"/>
        <v>0.79</v>
      </c>
      <c r="U147" s="48">
        <f t="shared" si="23"/>
        <v>0</v>
      </c>
      <c r="V147" s="48">
        <f t="shared" si="24"/>
        <v>0.20999999999999996</v>
      </c>
      <c r="W147" s="48">
        <f t="shared" si="25"/>
        <v>1</v>
      </c>
      <c r="X147" s="14">
        <f>MATCH(C147,'Weights and Seed Amounts'!C$2:C$400,0)</f>
        <v>146</v>
      </c>
      <c r="Y147" s="58">
        <f>INDEX('Weights and Seed Amounts'!D$2:D$400,$X147)</f>
        <v>0.96740000000000004</v>
      </c>
      <c r="Z147" s="34">
        <f>INDEX(Xtradata!U$2:U$397,$D147)</f>
        <v>0</v>
      </c>
    </row>
    <row r="148" spans="1:26" x14ac:dyDescent="0.25">
      <c r="A148" s="2" t="s">
        <v>255</v>
      </c>
      <c r="B148" s="2" t="s">
        <v>256</v>
      </c>
      <c r="C148" s="2" t="s">
        <v>257</v>
      </c>
      <c r="D148" s="32">
        <f>MATCH(Xtradata!C148,Xtradata!C$2:C543,0)</f>
        <v>147</v>
      </c>
      <c r="E148" s="33">
        <f>INDEX(Xtradata!G$2:G$397,$D148)</f>
        <v>44320</v>
      </c>
      <c r="F148" s="33">
        <f>INDEX(Xtradata!H$2:H$397,$D148)</f>
        <v>44383</v>
      </c>
      <c r="G148" s="2">
        <v>100</v>
      </c>
      <c r="H148" s="2">
        <v>59</v>
      </c>
      <c r="I148" s="2">
        <v>3</v>
      </c>
      <c r="J148" s="33" t="str">
        <f>INDEX(Xtradata!J$2:J$397,$D148)</f>
        <v>TZ</v>
      </c>
      <c r="K148" s="34">
        <f>IF(J148="TZ",INDEX(Xtradata!P$2:P$397,$D148),IF(J148="clip",INDEX(Xtradata!K$2:K$397,$D148),""))</f>
        <v>38</v>
      </c>
      <c r="L148" s="34">
        <f>IF($J148="TZ",INDEX(Xtradata!Q$2:Q$397,$D148),IF($J148="clip",INDEX(Xtradata!L$2:L$397,$D148),""))</f>
        <v>19</v>
      </c>
      <c r="M148" s="34">
        <f>IF($J148="TZ",INDEX(Xtradata!R$2:R$397,$D148),IF($J148="clip",INDEX(Xtradata!M$2:M$397,$D148),""))</f>
        <v>19</v>
      </c>
      <c r="N148" s="2">
        <v>0</v>
      </c>
      <c r="O148" s="34">
        <f>INDEX(Xtradata!T$2:T$397,$D148)</f>
        <v>0</v>
      </c>
      <c r="P148" s="38">
        <f t="shared" si="19"/>
        <v>0</v>
      </c>
      <c r="Q148" s="48">
        <f t="shared" si="20"/>
        <v>0.59</v>
      </c>
      <c r="R148" s="48">
        <f t="shared" si="21"/>
        <v>0.62</v>
      </c>
      <c r="S148" s="48">
        <f t="shared" si="26"/>
        <v>0.19</v>
      </c>
      <c r="T148" s="48">
        <f t="shared" si="22"/>
        <v>0.81</v>
      </c>
      <c r="U148" s="48">
        <f t="shared" si="23"/>
        <v>0</v>
      </c>
      <c r="V148" s="48">
        <f t="shared" si="24"/>
        <v>0.18999999999999995</v>
      </c>
      <c r="W148" s="48">
        <f t="shared" si="25"/>
        <v>1</v>
      </c>
      <c r="X148" s="14">
        <f>MATCH(C148,'Weights and Seed Amounts'!C$2:C$400,0)</f>
        <v>147</v>
      </c>
      <c r="Y148" s="58">
        <f>INDEX('Weights and Seed Amounts'!D$2:D$400,$X148)</f>
        <v>5.7882999999999996</v>
      </c>
      <c r="Z148" s="34">
        <f>INDEX(Xtradata!U$2:U$397,$D148)</f>
        <v>0</v>
      </c>
    </row>
    <row r="149" spans="1:26" x14ac:dyDescent="0.25">
      <c r="A149" s="2" t="s">
        <v>258</v>
      </c>
      <c r="B149" s="2" t="s">
        <v>259</v>
      </c>
      <c r="C149" s="2" t="s">
        <v>260</v>
      </c>
      <c r="D149" s="32">
        <f>MATCH(Xtradata!C149,Xtradata!C$2:C544,0)</f>
        <v>148</v>
      </c>
      <c r="E149" s="33">
        <f>INDEX(Xtradata!G$2:G$397,$D149)</f>
        <v>44321</v>
      </c>
      <c r="F149" s="33">
        <f>INDEX(Xtradata!H$2:H$397,$D149)</f>
        <v>44413</v>
      </c>
      <c r="G149" s="2">
        <v>100</v>
      </c>
      <c r="H149" s="2">
        <v>55</v>
      </c>
      <c r="I149" s="2">
        <v>0</v>
      </c>
      <c r="J149" s="33" t="str">
        <f>INDEX(Xtradata!J$2:J$397,$D149)</f>
        <v>TZ</v>
      </c>
      <c r="K149" s="34">
        <f>IF(J149="TZ",INDEX(Xtradata!P$2:P$397,$D149),IF(J149="clip",INDEX(Xtradata!K$2:K$397,$D149),""))</f>
        <v>18</v>
      </c>
      <c r="L149" s="34">
        <f>IF($J149="TZ",INDEX(Xtradata!Q$2:Q$397,$D149),IF($J149="clip",INDEX(Xtradata!L$2:L$397,$D149),""))</f>
        <v>10</v>
      </c>
      <c r="M149" s="34">
        <f>IF($J149="TZ",INDEX(Xtradata!R$2:R$397,$D149),IF($J149="clip",INDEX(Xtradata!M$2:M$397,$D149),""))</f>
        <v>8</v>
      </c>
      <c r="N149" s="2">
        <v>27</v>
      </c>
      <c r="O149" s="34">
        <f>INDEX(Xtradata!T$2:T$397,$D149)</f>
        <v>0</v>
      </c>
      <c r="P149" s="38">
        <f t="shared" si="19"/>
        <v>0</v>
      </c>
      <c r="Q149" s="48">
        <f t="shared" si="20"/>
        <v>0.55000000000000004</v>
      </c>
      <c r="R149" s="48">
        <f t="shared" si="21"/>
        <v>0.55000000000000004</v>
      </c>
      <c r="S149" s="48">
        <f t="shared" si="26"/>
        <v>0.1</v>
      </c>
      <c r="T149" s="48">
        <f t="shared" si="22"/>
        <v>0.65</v>
      </c>
      <c r="U149" s="48">
        <f t="shared" si="23"/>
        <v>0.27</v>
      </c>
      <c r="V149" s="48">
        <f t="shared" si="24"/>
        <v>7.999999999999996E-2</v>
      </c>
      <c r="W149" s="48">
        <f t="shared" si="25"/>
        <v>1</v>
      </c>
      <c r="X149" s="14">
        <f>MATCH(C149,'Weights and Seed Amounts'!C$2:C$400,0)</f>
        <v>148</v>
      </c>
      <c r="Y149" s="58">
        <f>INDEX('Weights and Seed Amounts'!D$2:D$400,$X149)</f>
        <v>9.8799999999999999E-2</v>
      </c>
      <c r="Z149" s="34">
        <f>INDEX(Xtradata!U$2:U$397,$D149)</f>
        <v>0</v>
      </c>
    </row>
    <row r="150" spans="1:26" x14ac:dyDescent="0.25">
      <c r="A150" s="2" t="s">
        <v>258</v>
      </c>
      <c r="B150" s="2" t="s">
        <v>259</v>
      </c>
      <c r="C150" s="2" t="s">
        <v>261</v>
      </c>
      <c r="D150" s="32">
        <f>MATCH(Xtradata!C150,Xtradata!C$2:C545,0)</f>
        <v>149</v>
      </c>
      <c r="E150" s="33">
        <f>INDEX(Xtradata!G$2:G$397,$D150)</f>
        <v>44321</v>
      </c>
      <c r="F150" s="33">
        <f>INDEX(Xtradata!H$2:H$397,$D150)</f>
        <v>44413</v>
      </c>
      <c r="G150" s="2">
        <v>100</v>
      </c>
      <c r="H150" s="2">
        <v>47</v>
      </c>
      <c r="I150" s="2">
        <v>0</v>
      </c>
      <c r="J150" s="33" t="str">
        <f>INDEX(Xtradata!J$2:J$397,$D150)</f>
        <v>TZ</v>
      </c>
      <c r="K150" s="34">
        <f>IF(J150="TZ",INDEX(Xtradata!P$2:P$397,$D150),IF(J150="clip",INDEX(Xtradata!K$2:K$397,$D150),""))</f>
        <v>12</v>
      </c>
      <c r="L150" s="34">
        <f>IF($J150="TZ",INDEX(Xtradata!Q$2:Q$397,$D150),IF($J150="clip",INDEX(Xtradata!L$2:L$397,$D150),""))</f>
        <v>6</v>
      </c>
      <c r="M150" s="34">
        <f>IF($J150="TZ",INDEX(Xtradata!R$2:R$397,$D150),IF($J150="clip",INDEX(Xtradata!M$2:M$397,$D150),""))</f>
        <v>6</v>
      </c>
      <c r="N150" s="2">
        <v>41</v>
      </c>
      <c r="O150" s="34">
        <f>INDEX(Xtradata!T$2:T$397,$D150)</f>
        <v>0</v>
      </c>
      <c r="P150" s="38">
        <f t="shared" si="19"/>
        <v>0</v>
      </c>
      <c r="Q150" s="48">
        <f t="shared" si="20"/>
        <v>0.47</v>
      </c>
      <c r="R150" s="48">
        <f t="shared" si="21"/>
        <v>0.47</v>
      </c>
      <c r="S150" s="48">
        <f t="shared" si="26"/>
        <v>0.06</v>
      </c>
      <c r="T150" s="48">
        <f t="shared" si="22"/>
        <v>0.53</v>
      </c>
      <c r="U150" s="48">
        <f t="shared" si="23"/>
        <v>0.41</v>
      </c>
      <c r="V150" s="48">
        <f t="shared" si="24"/>
        <v>0.06</v>
      </c>
      <c r="W150" s="48">
        <f t="shared" si="25"/>
        <v>1</v>
      </c>
      <c r="X150" s="14">
        <f>MATCH(C150,'Weights and Seed Amounts'!C$2:C$400,0)</f>
        <v>149</v>
      </c>
      <c r="Y150" s="58">
        <f>INDEX('Weights and Seed Amounts'!D$2:D$400,$X150)</f>
        <v>9.01E-2</v>
      </c>
      <c r="Z150" s="34">
        <f>INDEX(Xtradata!U$2:U$397,$D150)</f>
        <v>0</v>
      </c>
    </row>
    <row r="151" spans="1:26" x14ac:dyDescent="0.25">
      <c r="A151" s="2" t="s">
        <v>258</v>
      </c>
      <c r="B151" s="2" t="s">
        <v>259</v>
      </c>
      <c r="C151" s="2" t="s">
        <v>262</v>
      </c>
      <c r="D151" s="32">
        <f>MATCH(Xtradata!C151,Xtradata!C$2:C546,0)</f>
        <v>150</v>
      </c>
      <c r="E151" s="33">
        <f>INDEX(Xtradata!G$2:G$397,$D151)</f>
        <v>44321</v>
      </c>
      <c r="F151" s="33">
        <f>INDEX(Xtradata!H$2:H$397,$D151)</f>
        <v>44413</v>
      </c>
      <c r="G151" s="2">
        <v>100</v>
      </c>
      <c r="H151" s="2">
        <v>0</v>
      </c>
      <c r="I151" s="2">
        <v>0</v>
      </c>
      <c r="J151" s="33" t="str">
        <f>INDEX(Xtradata!J$2:J$397,$D151)</f>
        <v>N/A</v>
      </c>
      <c r="K151" s="34" t="str">
        <f>IF(J151="TZ",INDEX(Xtradata!P$2:P$397,$D151),IF(J151="clip",INDEX(Xtradata!K$2:K$397,$D151),""))</f>
        <v/>
      </c>
      <c r="L151" s="34" t="str">
        <f>IF($J151="TZ",INDEX(Xtradata!Q$2:Q$397,$D151),IF($J151="clip",INDEX(Xtradata!L$2:L$397,$D151),""))</f>
        <v/>
      </c>
      <c r="M151" s="34" t="str">
        <f>IF($J151="TZ",INDEX(Xtradata!R$2:R$397,$D151),IF($J151="clip",INDEX(Xtradata!M$2:M$397,$D151),""))</f>
        <v/>
      </c>
      <c r="N151" s="2">
        <v>100</v>
      </c>
      <c r="O151" s="34">
        <f>INDEX(Xtradata!T$2:T$397,$D151)</f>
        <v>0</v>
      </c>
      <c r="P151" s="38">
        <f t="shared" si="19"/>
        <v>0</v>
      </c>
      <c r="Q151" s="48">
        <f t="shared" si="20"/>
        <v>0</v>
      </c>
      <c r="R151" s="48">
        <f t="shared" si="21"/>
        <v>0</v>
      </c>
      <c r="S151" s="48">
        <f t="shared" si="26"/>
        <v>0</v>
      </c>
      <c r="T151" s="48">
        <f t="shared" si="22"/>
        <v>0</v>
      </c>
      <c r="U151" s="48">
        <f t="shared" si="23"/>
        <v>1</v>
      </c>
      <c r="V151" s="48">
        <f t="shared" si="24"/>
        <v>0</v>
      </c>
      <c r="W151" s="48">
        <f t="shared" si="25"/>
        <v>1</v>
      </c>
      <c r="X151" s="14">
        <f>MATCH(C151,'Weights and Seed Amounts'!C$2:C$400,0)</f>
        <v>150</v>
      </c>
      <c r="Y151" s="58">
        <f>INDEX('Weights and Seed Amounts'!D$2:D$400,$X151)</f>
        <v>0.17050000000000001</v>
      </c>
      <c r="Z151" s="34">
        <f>INDEX(Xtradata!U$2:U$397,$D151)</f>
        <v>0</v>
      </c>
    </row>
    <row r="152" spans="1:26" x14ac:dyDescent="0.25">
      <c r="A152" s="2" t="s">
        <v>258</v>
      </c>
      <c r="B152" s="2" t="s">
        <v>259</v>
      </c>
      <c r="C152" s="2" t="s">
        <v>263</v>
      </c>
      <c r="D152" s="32">
        <f>MATCH(Xtradata!C152,Xtradata!C$2:C547,0)</f>
        <v>151</v>
      </c>
      <c r="E152" s="33">
        <f>INDEX(Xtradata!G$2:G$397,$D152)</f>
        <v>44321</v>
      </c>
      <c r="F152" s="33">
        <f>INDEX(Xtradata!H$2:H$397,$D152)</f>
        <v>44413</v>
      </c>
      <c r="G152" s="2">
        <v>100</v>
      </c>
      <c r="H152" s="2">
        <v>24</v>
      </c>
      <c r="I152" s="2">
        <v>0</v>
      </c>
      <c r="J152" s="33" t="str">
        <f>INDEX(Xtradata!J$2:J$397,$D152)</f>
        <v>N/A</v>
      </c>
      <c r="K152" s="34" t="str">
        <f>IF(J152="TZ",INDEX(Xtradata!P$2:P$397,$D152),IF(J152="clip",INDEX(Xtradata!K$2:K$397,$D152),""))</f>
        <v/>
      </c>
      <c r="L152" s="34" t="str">
        <f>IF($J152="TZ",INDEX(Xtradata!Q$2:Q$397,$D152),IF($J152="clip",INDEX(Xtradata!L$2:L$397,$D152),""))</f>
        <v/>
      </c>
      <c r="M152" s="34" t="str">
        <f>IF($J152="TZ",INDEX(Xtradata!R$2:R$397,$D152),IF($J152="clip",INDEX(Xtradata!M$2:M$397,$D152),""))</f>
        <v/>
      </c>
      <c r="N152" s="2">
        <v>75</v>
      </c>
      <c r="O152" s="34">
        <f>INDEX(Xtradata!T$2:T$397,$D152)</f>
        <v>1</v>
      </c>
      <c r="P152" s="38">
        <f t="shared" si="19"/>
        <v>0</v>
      </c>
      <c r="Q152" s="48">
        <f t="shared" si="20"/>
        <v>0.24</v>
      </c>
      <c r="R152" s="48">
        <f t="shared" si="21"/>
        <v>0.24</v>
      </c>
      <c r="S152" s="48">
        <f t="shared" si="26"/>
        <v>0</v>
      </c>
      <c r="T152" s="48">
        <f t="shared" si="22"/>
        <v>0.24</v>
      </c>
      <c r="U152" s="48">
        <f t="shared" si="23"/>
        <v>0.75</v>
      </c>
      <c r="V152" s="48">
        <f t="shared" si="24"/>
        <v>1.0000000000000009E-2</v>
      </c>
      <c r="W152" s="48">
        <f t="shared" si="25"/>
        <v>1</v>
      </c>
      <c r="X152" s="14">
        <f>MATCH(C152,'Weights and Seed Amounts'!C$2:C$400,0)</f>
        <v>151</v>
      </c>
      <c r="Y152" s="58">
        <f>INDEX('Weights and Seed Amounts'!D$2:D$400,$X152)</f>
        <v>0.1027</v>
      </c>
      <c r="Z152" s="34">
        <f>INDEX(Xtradata!U$2:U$397,$D152)</f>
        <v>0</v>
      </c>
    </row>
    <row r="153" spans="1:26" x14ac:dyDescent="0.25">
      <c r="A153" s="2" t="s">
        <v>258</v>
      </c>
      <c r="B153" s="2" t="s">
        <v>259</v>
      </c>
      <c r="C153" s="2" t="s">
        <v>264</v>
      </c>
      <c r="D153" s="32">
        <f>MATCH(Xtradata!C153,Xtradata!C$2:C548,0)</f>
        <v>152</v>
      </c>
      <c r="E153" s="33">
        <f>INDEX(Xtradata!G$2:G$397,$D153)</f>
        <v>44321</v>
      </c>
      <c r="F153" s="33">
        <f>INDEX(Xtradata!H$2:H$397,$D153)</f>
        <v>44413</v>
      </c>
      <c r="G153" s="2">
        <v>100</v>
      </c>
      <c r="H153" s="2">
        <v>17</v>
      </c>
      <c r="I153" s="2">
        <v>0</v>
      </c>
      <c r="J153" s="33" t="str">
        <f>INDEX(Xtradata!J$2:J$397,$D153)</f>
        <v>TZ</v>
      </c>
      <c r="K153" s="34">
        <f>IF(J153="TZ",INDEX(Xtradata!P$2:P$397,$D153),IF(J153="clip",INDEX(Xtradata!K$2:K$397,$D153),""))</f>
        <v>20</v>
      </c>
      <c r="L153" s="34">
        <f>IF($J153="TZ",INDEX(Xtradata!Q$2:Q$397,$D153),IF($J153="clip",INDEX(Xtradata!L$2:L$397,$D153),""))</f>
        <v>5</v>
      </c>
      <c r="M153" s="34">
        <f>IF($J153="TZ",INDEX(Xtradata!R$2:R$397,$D153),IF($J153="clip",INDEX(Xtradata!M$2:M$397,$D153),""))</f>
        <v>15</v>
      </c>
      <c r="N153" s="2">
        <v>63</v>
      </c>
      <c r="O153" s="34">
        <f>INDEX(Xtradata!T$2:T$397,$D153)</f>
        <v>0</v>
      </c>
      <c r="P153" s="38">
        <f t="shared" si="19"/>
        <v>0</v>
      </c>
      <c r="Q153" s="48">
        <f t="shared" si="20"/>
        <v>0.17</v>
      </c>
      <c r="R153" s="48">
        <f t="shared" si="21"/>
        <v>0.17</v>
      </c>
      <c r="S153" s="48">
        <f t="shared" si="26"/>
        <v>0.05</v>
      </c>
      <c r="T153" s="48">
        <f t="shared" si="22"/>
        <v>0.22</v>
      </c>
      <c r="U153" s="48">
        <f t="shared" si="23"/>
        <v>0.63</v>
      </c>
      <c r="V153" s="48">
        <f t="shared" si="24"/>
        <v>0.15000000000000002</v>
      </c>
      <c r="W153" s="48">
        <f t="shared" si="25"/>
        <v>1</v>
      </c>
      <c r="X153" s="14">
        <f>MATCH(C153,'Weights and Seed Amounts'!C$2:C$400,0)</f>
        <v>152</v>
      </c>
      <c r="Y153" s="58">
        <f>INDEX('Weights and Seed Amounts'!D$2:D$400,$X153)</f>
        <v>0.12470000000000001</v>
      </c>
      <c r="Z153" s="34">
        <f>INDEX(Xtradata!U$2:U$397,$D153)</f>
        <v>0</v>
      </c>
    </row>
    <row r="154" spans="1:26" x14ac:dyDescent="0.25">
      <c r="A154" s="2" t="s">
        <v>258</v>
      </c>
      <c r="B154" s="2" t="s">
        <v>259</v>
      </c>
      <c r="C154" s="2" t="s">
        <v>265</v>
      </c>
      <c r="D154" s="32">
        <f>MATCH(Xtradata!C154,Xtradata!C$2:C549,0)</f>
        <v>153</v>
      </c>
      <c r="E154" s="33">
        <f>INDEX(Xtradata!G$2:G$397,$D154)</f>
        <v>44321</v>
      </c>
      <c r="F154" s="33">
        <f>INDEX(Xtradata!H$2:H$397,$D154)</f>
        <v>44413</v>
      </c>
      <c r="G154" s="2">
        <v>100</v>
      </c>
      <c r="H154" s="2">
        <v>10</v>
      </c>
      <c r="I154" s="2">
        <v>0</v>
      </c>
      <c r="J154" s="33" t="str">
        <f>INDEX(Xtradata!J$2:J$397,$D154)</f>
        <v>TZ</v>
      </c>
      <c r="K154" s="34">
        <f>IF(J154="TZ",INDEX(Xtradata!P$2:P$397,$D154),IF(J154="clip",INDEX(Xtradata!K$2:K$397,$D154),""))</f>
        <v>9</v>
      </c>
      <c r="L154" s="34">
        <f>IF($J154="TZ",INDEX(Xtradata!Q$2:Q$397,$D154),IF($J154="clip",INDEX(Xtradata!L$2:L$397,$D154),""))</f>
        <v>7</v>
      </c>
      <c r="M154" s="34">
        <f>IF($J154="TZ",INDEX(Xtradata!R$2:R$397,$D154),IF($J154="clip",INDEX(Xtradata!M$2:M$397,$D154),""))</f>
        <v>2</v>
      </c>
      <c r="N154" s="2">
        <v>81</v>
      </c>
      <c r="O154" s="34">
        <f>INDEX(Xtradata!T$2:T$397,$D154)</f>
        <v>0</v>
      </c>
      <c r="P154" s="38">
        <f t="shared" si="19"/>
        <v>0</v>
      </c>
      <c r="Q154" s="48">
        <f t="shared" si="20"/>
        <v>0.1</v>
      </c>
      <c r="R154" s="48">
        <f t="shared" si="21"/>
        <v>0.1</v>
      </c>
      <c r="S154" s="48">
        <f t="shared" si="26"/>
        <v>7.0000000000000007E-2</v>
      </c>
      <c r="T154" s="48">
        <f t="shared" si="22"/>
        <v>0.17</v>
      </c>
      <c r="U154" s="48">
        <f t="shared" si="23"/>
        <v>0.81</v>
      </c>
      <c r="V154" s="48">
        <f t="shared" si="24"/>
        <v>1.9999999999999907E-2</v>
      </c>
      <c r="W154" s="48">
        <f t="shared" si="25"/>
        <v>1</v>
      </c>
      <c r="X154" s="14">
        <f>MATCH(C154,'Weights and Seed Amounts'!C$2:C$400,0)</f>
        <v>153</v>
      </c>
      <c r="Y154" s="58">
        <f>INDEX('Weights and Seed Amounts'!D$2:D$400,$X154)</f>
        <v>8.9499999999999996E-2</v>
      </c>
      <c r="Z154" s="34">
        <f>INDEX(Xtradata!U$2:U$397,$D154)</f>
        <v>0</v>
      </c>
    </row>
    <row r="155" spans="1:26" x14ac:dyDescent="0.25">
      <c r="A155" s="2" t="s">
        <v>258</v>
      </c>
      <c r="B155" s="2" t="s">
        <v>259</v>
      </c>
      <c r="C155" s="2" t="s">
        <v>266</v>
      </c>
      <c r="D155" s="32">
        <f>MATCH(Xtradata!C155,Xtradata!C$2:C550,0)</f>
        <v>154</v>
      </c>
      <c r="E155" s="33">
        <f>INDEX(Xtradata!G$2:G$397,$D155)</f>
        <v>44321</v>
      </c>
      <c r="F155" s="33">
        <f>INDEX(Xtradata!H$2:H$397,$D155)</f>
        <v>44413</v>
      </c>
      <c r="G155" s="2">
        <v>100</v>
      </c>
      <c r="H155" s="2">
        <v>41</v>
      </c>
      <c r="I155" s="2">
        <v>0</v>
      </c>
      <c r="J155" s="33" t="str">
        <f>INDEX(Xtradata!J$2:J$397,$D155)</f>
        <v>TZ</v>
      </c>
      <c r="K155" s="34">
        <f>IF(J155="TZ",INDEX(Xtradata!P$2:P$397,$D155),IF(J155="clip",INDEX(Xtradata!K$2:K$397,$D155),""))</f>
        <v>18</v>
      </c>
      <c r="L155" s="34">
        <f>IF($J155="TZ",INDEX(Xtradata!Q$2:Q$397,$D155),IF($J155="clip",INDEX(Xtradata!L$2:L$397,$D155),""))</f>
        <v>10</v>
      </c>
      <c r="M155" s="34">
        <f>IF($J155="TZ",INDEX(Xtradata!R$2:R$397,$D155),IF($J155="clip",INDEX(Xtradata!M$2:M$397,$D155),""))</f>
        <v>8</v>
      </c>
      <c r="N155" s="2">
        <v>41</v>
      </c>
      <c r="O155" s="34">
        <f>INDEX(Xtradata!T$2:T$397,$D155)</f>
        <v>0</v>
      </c>
      <c r="P155" s="38">
        <f t="shared" si="19"/>
        <v>0</v>
      </c>
      <c r="Q155" s="48">
        <f t="shared" si="20"/>
        <v>0.41</v>
      </c>
      <c r="R155" s="48">
        <f t="shared" si="21"/>
        <v>0.41</v>
      </c>
      <c r="S155" s="48">
        <f t="shared" si="26"/>
        <v>0.1</v>
      </c>
      <c r="T155" s="48">
        <f t="shared" si="22"/>
        <v>0.51</v>
      </c>
      <c r="U155" s="48">
        <f t="shared" si="23"/>
        <v>0.41</v>
      </c>
      <c r="V155" s="48">
        <f t="shared" si="24"/>
        <v>8.0000000000000016E-2</v>
      </c>
      <c r="W155" s="48">
        <f t="shared" si="25"/>
        <v>1</v>
      </c>
      <c r="X155" s="14">
        <f>MATCH(C155,'Weights and Seed Amounts'!C$2:C$400,0)</f>
        <v>154</v>
      </c>
      <c r="Y155" s="58">
        <f>INDEX('Weights and Seed Amounts'!D$2:D$400,$X155)</f>
        <v>9.9199999999999997E-2</v>
      </c>
      <c r="Z155" s="34">
        <f>INDEX(Xtradata!U$2:U$397,$D155)</f>
        <v>0</v>
      </c>
    </row>
    <row r="156" spans="1:26" x14ac:dyDescent="0.25">
      <c r="A156" s="2" t="s">
        <v>267</v>
      </c>
      <c r="B156" s="2" t="s">
        <v>218</v>
      </c>
      <c r="C156" s="2" t="s">
        <v>268</v>
      </c>
      <c r="D156" s="32">
        <f>MATCH(Xtradata!C156,Xtradata!C$2:C551,0)</f>
        <v>155</v>
      </c>
      <c r="E156" s="33">
        <f>INDEX(Xtradata!G$2:G$397,$D156)</f>
        <v>44361</v>
      </c>
      <c r="F156" s="33">
        <f>INDEX(Xtradata!H$2:H$397,$D156)</f>
        <v>44434</v>
      </c>
      <c r="G156" s="2">
        <v>100</v>
      </c>
      <c r="H156" s="2">
        <v>98</v>
      </c>
      <c r="I156" s="2">
        <v>0</v>
      </c>
      <c r="J156" s="33" t="str">
        <f>INDEX(Xtradata!J$2:J$397,$D156)</f>
        <v>TZ</v>
      </c>
      <c r="K156" s="34">
        <f>IF(J156="TZ",INDEX(Xtradata!P$2:P$397,$D156),IF(J156="clip",INDEX(Xtradata!K$2:K$397,$D156),""))</f>
        <v>2</v>
      </c>
      <c r="L156" s="34">
        <f>IF($J156="TZ",INDEX(Xtradata!Q$2:Q$397,$D156),IF($J156="clip",INDEX(Xtradata!L$2:L$397,$D156),""))</f>
        <v>0</v>
      </c>
      <c r="M156" s="34">
        <f>IF($J156="TZ",INDEX(Xtradata!R$2:R$397,$D156),IF($J156="clip",INDEX(Xtradata!M$2:M$397,$D156),""))</f>
        <v>2</v>
      </c>
      <c r="N156" s="2">
        <v>0</v>
      </c>
      <c r="O156" s="34">
        <f>INDEX(Xtradata!T$2:T$397,$D156)</f>
        <v>0</v>
      </c>
      <c r="P156" s="38">
        <f t="shared" si="19"/>
        <v>0</v>
      </c>
      <c r="Q156" s="48">
        <f t="shared" si="20"/>
        <v>0.98</v>
      </c>
      <c r="R156" s="48">
        <f t="shared" si="21"/>
        <v>0.98</v>
      </c>
      <c r="S156" s="48">
        <f t="shared" si="26"/>
        <v>0</v>
      </c>
      <c r="T156" s="48">
        <f t="shared" si="22"/>
        <v>0.98</v>
      </c>
      <c r="U156" s="48">
        <f t="shared" si="23"/>
        <v>0</v>
      </c>
      <c r="V156" s="48">
        <f t="shared" si="24"/>
        <v>2.0000000000000018E-2</v>
      </c>
      <c r="W156" s="48">
        <f t="shared" si="25"/>
        <v>1</v>
      </c>
      <c r="X156" s="14">
        <f>MATCH(C156,'Weights and Seed Amounts'!C$2:C$400,0)</f>
        <v>155</v>
      </c>
      <c r="Y156" s="58">
        <f>INDEX('Weights and Seed Amounts'!D$2:D$400,$X156)</f>
        <v>3.0000000000000001E-3</v>
      </c>
      <c r="Z156" s="34">
        <f>INDEX(Xtradata!U$2:U$397,$D156)</f>
        <v>0</v>
      </c>
    </row>
    <row r="157" spans="1:26" x14ac:dyDescent="0.25">
      <c r="A157" s="2" t="s">
        <v>267</v>
      </c>
      <c r="B157" s="2" t="s">
        <v>269</v>
      </c>
      <c r="C157" s="2" t="s">
        <v>270</v>
      </c>
      <c r="D157" s="32">
        <f>MATCH(Xtradata!C157,Xtradata!C$2:C552,0)</f>
        <v>156</v>
      </c>
      <c r="E157" s="33">
        <f>INDEX(Xtradata!G$2:G$397,$D157)</f>
        <v>44361</v>
      </c>
      <c r="F157" s="33">
        <f>INDEX(Xtradata!H$2:H$397,$D157)</f>
        <v>44434</v>
      </c>
      <c r="G157" s="2">
        <v>100</v>
      </c>
      <c r="H157" s="2">
        <v>99</v>
      </c>
      <c r="I157" s="2">
        <v>0</v>
      </c>
      <c r="J157" s="33" t="str">
        <f>INDEX(Xtradata!J$2:J$397,$D157)</f>
        <v>TZ</v>
      </c>
      <c r="K157" s="34">
        <f>IF(J157="TZ",INDEX(Xtradata!P$2:P$397,$D157),IF(J157="clip",INDEX(Xtradata!K$2:K$397,$D157),""))</f>
        <v>1</v>
      </c>
      <c r="L157" s="34">
        <f>IF($J157="TZ",INDEX(Xtradata!Q$2:Q$397,$D157),IF($J157="clip",INDEX(Xtradata!L$2:L$397,$D157),""))</f>
        <v>0</v>
      </c>
      <c r="M157" s="34">
        <f>IF($J157="TZ",INDEX(Xtradata!R$2:R$397,$D157),IF($J157="clip",INDEX(Xtradata!M$2:M$397,$D157),""))</f>
        <v>1</v>
      </c>
      <c r="N157" s="2">
        <v>0</v>
      </c>
      <c r="O157" s="34">
        <f>INDEX(Xtradata!T$2:T$397,$D157)</f>
        <v>0</v>
      </c>
      <c r="P157" s="38">
        <f t="shared" si="19"/>
        <v>0</v>
      </c>
      <c r="Q157" s="48">
        <f t="shared" si="20"/>
        <v>0.99</v>
      </c>
      <c r="R157" s="48">
        <f t="shared" si="21"/>
        <v>0.99</v>
      </c>
      <c r="S157" s="48">
        <f t="shared" si="26"/>
        <v>0</v>
      </c>
      <c r="T157" s="48">
        <f t="shared" si="22"/>
        <v>0.99</v>
      </c>
      <c r="U157" s="48">
        <f t="shared" si="23"/>
        <v>0</v>
      </c>
      <c r="V157" s="48">
        <f t="shared" si="24"/>
        <v>1.0000000000000009E-2</v>
      </c>
      <c r="W157" s="48">
        <f t="shared" si="25"/>
        <v>1</v>
      </c>
      <c r="X157" s="14">
        <f>MATCH(C157,'Weights and Seed Amounts'!C$2:C$400,0)</f>
        <v>156</v>
      </c>
      <c r="Y157" s="58">
        <f>INDEX('Weights and Seed Amounts'!D$2:D$400,$X157)</f>
        <v>2.5000000000000001E-3</v>
      </c>
      <c r="Z157" s="34">
        <f>INDEX(Xtradata!U$2:U$397,$D157)</f>
        <v>0</v>
      </c>
    </row>
    <row r="158" spans="1:26" x14ac:dyDescent="0.25">
      <c r="A158" s="2" t="s">
        <v>267</v>
      </c>
      <c r="B158" s="2" t="s">
        <v>269</v>
      </c>
      <c r="C158" s="2" t="s">
        <v>271</v>
      </c>
      <c r="D158" s="32">
        <f>MATCH(Xtradata!C158,Xtradata!C$2:C553,0)</f>
        <v>157</v>
      </c>
      <c r="E158" s="33" t="str">
        <f>INDEX(Xtradata!G$2:G$397,$D158)</f>
        <v>N/A</v>
      </c>
      <c r="F158" s="33" t="str">
        <f>INDEX(Xtradata!H$2:H$397,$D158)</f>
        <v>N/A</v>
      </c>
      <c r="G158" s="2">
        <v>0</v>
      </c>
      <c r="H158" s="2" t="s">
        <v>581</v>
      </c>
      <c r="I158" s="2" t="s">
        <v>581</v>
      </c>
      <c r="J158" s="33" t="str">
        <f>INDEX(Xtradata!J$2:J$397,$D158)</f>
        <v>N/A</v>
      </c>
      <c r="K158" s="34" t="str">
        <f>IF(J158="TZ",INDEX(Xtradata!P$2:P$397,$D158),IF(J158="clip",INDEX(Xtradata!K$2:K$397,$D158),""))</f>
        <v/>
      </c>
      <c r="L158" s="34" t="str">
        <f>IF($J158="TZ",INDEX(Xtradata!Q$2:Q$397,$D158),IF($J158="clip",INDEX(Xtradata!L$2:L$397,$D158),""))</f>
        <v/>
      </c>
      <c r="M158" s="34" t="str">
        <f>IF($J158="TZ",INDEX(Xtradata!R$2:R$397,$D158),IF($J158="clip",INDEX(Xtradata!M$2:M$397,$D158),""))</f>
        <v/>
      </c>
      <c r="N158" s="2" t="s">
        <v>581</v>
      </c>
      <c r="O158" s="34" t="str">
        <f>INDEX(Xtradata!T$2:T$397,$D158)</f>
        <v>N/A</v>
      </c>
      <c r="P158" s="38" t="e">
        <f t="shared" si="19"/>
        <v>#VALUE!</v>
      </c>
      <c r="Q158" s="48" t="str">
        <f t="shared" si="20"/>
        <v/>
      </c>
      <c r="R158" s="48" t="str">
        <f t="shared" si="21"/>
        <v/>
      </c>
      <c r="S158" s="48" t="str">
        <f t="shared" si="26"/>
        <v/>
      </c>
      <c r="T158" s="48" t="str">
        <f t="shared" si="22"/>
        <v/>
      </c>
      <c r="U158" s="48" t="str">
        <f t="shared" si="23"/>
        <v/>
      </c>
      <c r="V158" s="48" t="str">
        <f t="shared" si="24"/>
        <v/>
      </c>
      <c r="W158" s="48">
        <f t="shared" si="25"/>
        <v>0</v>
      </c>
      <c r="X158" s="14">
        <f>MATCH(C158,'Weights and Seed Amounts'!C$2:C$400,0)</f>
        <v>157</v>
      </c>
      <c r="Y158" s="58">
        <f>INDEX('Weights and Seed Amounts'!D$2:D$400,$X158)</f>
        <v>4.1000000000000003E-3</v>
      </c>
      <c r="Z158" s="34" t="str">
        <f>INDEX(Xtradata!U$2:U$397,$D158)</f>
        <v xml:space="preserve">Seeds were discovered to contaminated by a leaking plastic bag from a different sample stored wet. Though the sample was stored, it was not tested. </v>
      </c>
    </row>
    <row r="159" spans="1:26" x14ac:dyDescent="0.25">
      <c r="A159" s="2" t="s">
        <v>267</v>
      </c>
      <c r="B159" s="2" t="s">
        <v>269</v>
      </c>
      <c r="C159" s="2" t="s">
        <v>272</v>
      </c>
      <c r="D159" s="32">
        <f>MATCH(Xtradata!C159,Xtradata!C$2:C554,0)</f>
        <v>158</v>
      </c>
      <c r="E159" s="33">
        <f>INDEX(Xtradata!G$2:G$397,$D159)</f>
        <v>44361</v>
      </c>
      <c r="F159" s="33">
        <f>INDEX(Xtradata!H$2:H$397,$D159)</f>
        <v>44434</v>
      </c>
      <c r="G159" s="2">
        <v>100</v>
      </c>
      <c r="H159" s="2">
        <v>100</v>
      </c>
      <c r="I159" s="2">
        <v>0</v>
      </c>
      <c r="J159" s="33" t="str">
        <f>INDEX(Xtradata!J$2:J$397,$D159)</f>
        <v>N/A</v>
      </c>
      <c r="K159" s="34" t="str">
        <f>IF(J159="TZ",INDEX(Xtradata!P$2:P$397,$D159),IF(J159="clip",INDEX(Xtradata!K$2:K$397,$D159),""))</f>
        <v/>
      </c>
      <c r="L159" s="34" t="str">
        <f>IF($J159="TZ",INDEX(Xtradata!Q$2:Q$397,$D159),IF($J159="clip",INDEX(Xtradata!L$2:L$397,$D159),""))</f>
        <v/>
      </c>
      <c r="M159" s="34" t="str">
        <f>IF($J159="TZ",INDEX(Xtradata!R$2:R$397,$D159),IF($J159="clip",INDEX(Xtradata!M$2:M$397,$D159),""))</f>
        <v/>
      </c>
      <c r="N159" s="2">
        <v>0</v>
      </c>
      <c r="O159" s="34">
        <f>INDEX(Xtradata!T$2:T$397,$D159)</f>
        <v>0</v>
      </c>
      <c r="P159" s="38">
        <f t="shared" si="19"/>
        <v>0</v>
      </c>
      <c r="Q159" s="48">
        <f t="shared" si="20"/>
        <v>1</v>
      </c>
      <c r="R159" s="48">
        <f t="shared" si="21"/>
        <v>1</v>
      </c>
      <c r="S159" s="48">
        <f t="shared" si="26"/>
        <v>0</v>
      </c>
      <c r="T159" s="48">
        <f t="shared" si="22"/>
        <v>1</v>
      </c>
      <c r="U159" s="48">
        <f t="shared" si="23"/>
        <v>0</v>
      </c>
      <c r="V159" s="48">
        <f t="shared" si="24"/>
        <v>0</v>
      </c>
      <c r="W159" s="48">
        <f t="shared" si="25"/>
        <v>1</v>
      </c>
      <c r="X159" s="14">
        <f>MATCH(C159,'Weights and Seed Amounts'!C$2:C$400,0)</f>
        <v>158</v>
      </c>
      <c r="Y159" s="58">
        <f>INDEX('Weights and Seed Amounts'!D$2:D$400,$X159)</f>
        <v>3.5000000000000001E-3</v>
      </c>
      <c r="Z159" s="34">
        <f>INDEX(Xtradata!U$2:U$397,$D159)</f>
        <v>0</v>
      </c>
    </row>
    <row r="160" spans="1:26" x14ac:dyDescent="0.25">
      <c r="A160" s="2" t="s">
        <v>267</v>
      </c>
      <c r="B160" s="2" t="s">
        <v>269</v>
      </c>
      <c r="C160" s="2" t="s">
        <v>273</v>
      </c>
      <c r="D160" s="32">
        <f>MATCH(Xtradata!C160,Xtradata!C$2:C555,0)</f>
        <v>159</v>
      </c>
      <c r="E160" s="33">
        <f>INDEX(Xtradata!G$2:G$397,$D160)</f>
        <v>44361</v>
      </c>
      <c r="F160" s="33">
        <f>INDEX(Xtradata!H$2:H$397,$D160)</f>
        <v>44434</v>
      </c>
      <c r="G160" s="2">
        <v>100</v>
      </c>
      <c r="H160" s="2">
        <v>65</v>
      </c>
      <c r="I160" s="2">
        <v>0</v>
      </c>
      <c r="J160" s="33" t="str">
        <f>INDEX(Xtradata!J$2:J$397,$D160)</f>
        <v>TZ</v>
      </c>
      <c r="K160" s="34">
        <f>IF(J160="TZ",INDEX(Xtradata!P$2:P$397,$D160),IF(J160="clip",INDEX(Xtradata!K$2:K$397,$D160),""))</f>
        <v>35</v>
      </c>
      <c r="L160" s="34">
        <f>IF($J160="TZ",INDEX(Xtradata!Q$2:Q$397,$D160),IF($J160="clip",INDEX(Xtradata!L$2:L$397,$D160),""))</f>
        <v>22</v>
      </c>
      <c r="M160" s="34">
        <f>IF($J160="TZ",INDEX(Xtradata!R$2:R$397,$D160),IF($J160="clip",INDEX(Xtradata!M$2:M$397,$D160),""))</f>
        <v>13</v>
      </c>
      <c r="N160" s="2">
        <v>0</v>
      </c>
      <c r="O160" s="34">
        <f>INDEX(Xtradata!T$2:T$397,$D160)</f>
        <v>0</v>
      </c>
      <c r="P160" s="38">
        <f t="shared" si="19"/>
        <v>0</v>
      </c>
      <c r="Q160" s="48">
        <f t="shared" si="20"/>
        <v>0.65</v>
      </c>
      <c r="R160" s="48">
        <f t="shared" si="21"/>
        <v>0.65</v>
      </c>
      <c r="S160" s="48">
        <f t="shared" si="26"/>
        <v>0.22</v>
      </c>
      <c r="T160" s="48">
        <f t="shared" si="22"/>
        <v>0.87</v>
      </c>
      <c r="U160" s="48">
        <f t="shared" si="23"/>
        <v>0</v>
      </c>
      <c r="V160" s="48">
        <f t="shared" si="24"/>
        <v>0.13</v>
      </c>
      <c r="W160" s="48">
        <f t="shared" si="25"/>
        <v>1</v>
      </c>
      <c r="X160" s="14">
        <f>MATCH(C160,'Weights and Seed Amounts'!C$2:C$400,0)</f>
        <v>159</v>
      </c>
      <c r="Y160" s="58">
        <f>INDEX('Weights and Seed Amounts'!D$2:D$400,$X160)</f>
        <v>4.0000000000000001E-3</v>
      </c>
      <c r="Z160" s="34">
        <f>INDEX(Xtradata!U$2:U$397,$D160)</f>
        <v>0</v>
      </c>
    </row>
    <row r="161" spans="1:26" x14ac:dyDescent="0.25">
      <c r="A161" s="2" t="s">
        <v>267</v>
      </c>
      <c r="B161" s="2" t="s">
        <v>269</v>
      </c>
      <c r="C161" s="2" t="s">
        <v>274</v>
      </c>
      <c r="D161" s="32">
        <f>MATCH(Xtradata!C161,Xtradata!C$2:C556,0)</f>
        <v>160</v>
      </c>
      <c r="E161" s="33">
        <f>INDEX(Xtradata!G$2:G$397,$D161)</f>
        <v>44361</v>
      </c>
      <c r="F161" s="33">
        <f>INDEX(Xtradata!H$2:H$397,$D161)</f>
        <v>44434</v>
      </c>
      <c r="G161" s="2">
        <v>100</v>
      </c>
      <c r="H161" s="2">
        <v>13</v>
      </c>
      <c r="I161" s="2">
        <v>0</v>
      </c>
      <c r="J161" s="33" t="str">
        <f>INDEX(Xtradata!J$2:J$397,$D161)</f>
        <v>TZ</v>
      </c>
      <c r="K161" s="34">
        <f>IF(J161="TZ",INDEX(Xtradata!P$2:P$397,$D161),IF(J161="clip",INDEX(Xtradata!K$2:K$397,$D161),""))</f>
        <v>87</v>
      </c>
      <c r="L161" s="34">
        <f>IF($J161="TZ",INDEX(Xtradata!Q$2:Q$397,$D161),IF($J161="clip",INDEX(Xtradata!L$2:L$397,$D161),""))</f>
        <v>64</v>
      </c>
      <c r="M161" s="34">
        <f>IF($J161="TZ",INDEX(Xtradata!R$2:R$397,$D161),IF($J161="clip",INDEX(Xtradata!M$2:M$397,$D161),""))</f>
        <v>23</v>
      </c>
      <c r="N161" s="2">
        <v>0</v>
      </c>
      <c r="O161" s="34">
        <f>INDEX(Xtradata!T$2:T$397,$D161)</f>
        <v>0</v>
      </c>
      <c r="P161" s="38">
        <f t="shared" si="19"/>
        <v>0</v>
      </c>
      <c r="Q161" s="48">
        <f t="shared" si="20"/>
        <v>0.13</v>
      </c>
      <c r="R161" s="48">
        <f t="shared" si="21"/>
        <v>0.13</v>
      </c>
      <c r="S161" s="48">
        <f t="shared" si="26"/>
        <v>0.64</v>
      </c>
      <c r="T161" s="48">
        <f t="shared" si="22"/>
        <v>0.77</v>
      </c>
      <c r="U161" s="48">
        <f t="shared" si="23"/>
        <v>0</v>
      </c>
      <c r="V161" s="48">
        <f t="shared" si="24"/>
        <v>0.22999999999999998</v>
      </c>
      <c r="W161" s="48">
        <f t="shared" si="25"/>
        <v>1</v>
      </c>
      <c r="X161" s="14">
        <f>MATCH(C161,'Weights and Seed Amounts'!C$2:C$400,0)</f>
        <v>160</v>
      </c>
      <c r="Y161" s="58">
        <f>INDEX('Weights and Seed Amounts'!D$2:D$400,$X161)</f>
        <v>3.3999999999999998E-3</v>
      </c>
      <c r="Z161" s="34">
        <f>INDEX(Xtradata!U$2:U$397,$D161)</f>
        <v>0</v>
      </c>
    </row>
    <row r="162" spans="1:26" x14ac:dyDescent="0.25">
      <c r="A162" s="2" t="s">
        <v>267</v>
      </c>
      <c r="B162" s="2" t="s">
        <v>269</v>
      </c>
      <c r="C162" s="2" t="s">
        <v>275</v>
      </c>
      <c r="D162" s="32">
        <f>MATCH(Xtradata!C162,Xtradata!C$2:C557,0)</f>
        <v>161</v>
      </c>
      <c r="E162" s="33">
        <f>INDEX(Xtradata!G$2:G$397,$D162)</f>
        <v>44361</v>
      </c>
      <c r="F162" s="33">
        <f>INDEX(Xtradata!H$2:H$397,$D162)</f>
        <v>44434</v>
      </c>
      <c r="G162" s="2">
        <v>100</v>
      </c>
      <c r="H162" s="2">
        <v>69</v>
      </c>
      <c r="I162" s="2">
        <v>0</v>
      </c>
      <c r="J162" s="33" t="str">
        <f>INDEX(Xtradata!J$2:J$397,$D162)</f>
        <v>TZ</v>
      </c>
      <c r="K162" s="34">
        <f>IF(J162="TZ",INDEX(Xtradata!P$2:P$397,$D162),IF(J162="clip",INDEX(Xtradata!K$2:K$397,$D162),""))</f>
        <v>31</v>
      </c>
      <c r="L162" s="34">
        <f>IF($J162="TZ",INDEX(Xtradata!Q$2:Q$397,$D162),IF($J162="clip",INDEX(Xtradata!L$2:L$397,$D162),""))</f>
        <v>15</v>
      </c>
      <c r="M162" s="34">
        <f>IF($J162="TZ",INDEX(Xtradata!R$2:R$397,$D162),IF($J162="clip",INDEX(Xtradata!M$2:M$397,$D162),""))</f>
        <v>16</v>
      </c>
      <c r="N162" s="2">
        <v>0</v>
      </c>
      <c r="O162" s="34">
        <f>INDEX(Xtradata!T$2:T$397,$D162)</f>
        <v>0</v>
      </c>
      <c r="P162" s="38">
        <f t="shared" si="19"/>
        <v>0</v>
      </c>
      <c r="Q162" s="48">
        <f t="shared" si="20"/>
        <v>0.69</v>
      </c>
      <c r="R162" s="48">
        <f t="shared" si="21"/>
        <v>0.69</v>
      </c>
      <c r="S162" s="48">
        <f t="shared" si="26"/>
        <v>0.15</v>
      </c>
      <c r="T162" s="48">
        <f t="shared" si="22"/>
        <v>0.84</v>
      </c>
      <c r="U162" s="48">
        <f t="shared" si="23"/>
        <v>0</v>
      </c>
      <c r="V162" s="48">
        <f t="shared" si="24"/>
        <v>0.16000000000000003</v>
      </c>
      <c r="W162" s="48">
        <f t="shared" si="25"/>
        <v>1</v>
      </c>
      <c r="X162" s="14">
        <f>MATCH(C162,'Weights and Seed Amounts'!C$2:C$400,0)</f>
        <v>161</v>
      </c>
      <c r="Y162" s="58">
        <f>INDEX('Weights and Seed Amounts'!D$2:D$400,$X162)</f>
        <v>3.0999999999999999E-3</v>
      </c>
      <c r="Z162" s="34">
        <f>INDEX(Xtradata!U$2:U$397,$D162)</f>
        <v>0</v>
      </c>
    </row>
    <row r="163" spans="1:26" x14ac:dyDescent="0.25">
      <c r="A163" s="2" t="s">
        <v>267</v>
      </c>
      <c r="B163" s="2" t="s">
        <v>269</v>
      </c>
      <c r="C163" s="2" t="s">
        <v>276</v>
      </c>
      <c r="D163" s="32">
        <f>MATCH(Xtradata!C163,Xtradata!C$2:C558,0)</f>
        <v>162</v>
      </c>
      <c r="E163" s="33">
        <f>INDEX(Xtradata!G$2:G$397,$D163)</f>
        <v>44361</v>
      </c>
      <c r="F163" s="33">
        <f>INDEX(Xtradata!H$2:H$397,$D163)</f>
        <v>44434</v>
      </c>
      <c r="G163" s="2">
        <v>100</v>
      </c>
      <c r="H163" s="2">
        <v>47</v>
      </c>
      <c r="I163" s="2">
        <v>0</v>
      </c>
      <c r="J163" s="33" t="str">
        <f>INDEX(Xtradata!J$2:J$397,$D163)</f>
        <v>TZ</v>
      </c>
      <c r="K163" s="34">
        <f>IF(J163="TZ",INDEX(Xtradata!P$2:P$397,$D163),IF(J163="clip",INDEX(Xtradata!K$2:K$397,$D163),""))</f>
        <v>53</v>
      </c>
      <c r="L163" s="34">
        <f>IF($J163="TZ",INDEX(Xtradata!Q$2:Q$397,$D163),IF($J163="clip",INDEX(Xtradata!L$2:L$397,$D163),""))</f>
        <v>33</v>
      </c>
      <c r="M163" s="34">
        <f>IF($J163="TZ",INDEX(Xtradata!R$2:R$397,$D163),IF($J163="clip",INDEX(Xtradata!M$2:M$397,$D163),""))</f>
        <v>20</v>
      </c>
      <c r="N163" s="2">
        <v>0</v>
      </c>
      <c r="O163" s="34">
        <f>INDEX(Xtradata!T$2:T$397,$D163)</f>
        <v>0</v>
      </c>
      <c r="P163" s="38">
        <f t="shared" si="19"/>
        <v>0</v>
      </c>
      <c r="Q163" s="48">
        <f t="shared" si="20"/>
        <v>0.47</v>
      </c>
      <c r="R163" s="48">
        <f t="shared" si="21"/>
        <v>0.47</v>
      </c>
      <c r="S163" s="48">
        <f t="shared" si="26"/>
        <v>0.33</v>
      </c>
      <c r="T163" s="48">
        <f t="shared" si="22"/>
        <v>0.8</v>
      </c>
      <c r="U163" s="48">
        <f t="shared" si="23"/>
        <v>0</v>
      </c>
      <c r="V163" s="48">
        <f t="shared" si="24"/>
        <v>0.19999999999999996</v>
      </c>
      <c r="W163" s="48">
        <f t="shared" si="25"/>
        <v>1</v>
      </c>
      <c r="X163" s="14">
        <f>MATCH(C163,'Weights and Seed Amounts'!C$2:C$400,0)</f>
        <v>162</v>
      </c>
      <c r="Y163" s="58">
        <f>INDEX('Weights and Seed Amounts'!D$2:D$400,$X163)</f>
        <v>2.7000000000000001E-3</v>
      </c>
      <c r="Z163" s="34">
        <f>INDEX(Xtradata!U$2:U$397,$D163)</f>
        <v>0</v>
      </c>
    </row>
    <row r="164" spans="1:26" x14ac:dyDescent="0.25">
      <c r="A164" s="2" t="s">
        <v>267</v>
      </c>
      <c r="B164" s="2" t="s">
        <v>269</v>
      </c>
      <c r="C164" s="2" t="s">
        <v>277</v>
      </c>
      <c r="D164" s="32">
        <f>MATCH(Xtradata!C164,Xtradata!C$2:C559,0)</f>
        <v>163</v>
      </c>
      <c r="E164" s="33">
        <f>INDEX(Xtradata!G$2:G$397,$D164)</f>
        <v>44361</v>
      </c>
      <c r="F164" s="33">
        <f>INDEX(Xtradata!H$2:H$397,$D164)</f>
        <v>44434</v>
      </c>
      <c r="G164" s="2">
        <v>100</v>
      </c>
      <c r="H164" s="2">
        <v>23</v>
      </c>
      <c r="I164" s="2">
        <v>0</v>
      </c>
      <c r="J164" s="33" t="str">
        <f>INDEX(Xtradata!J$2:J$397,$D164)</f>
        <v>TZ</v>
      </c>
      <c r="K164" s="34">
        <f>IF(J164="TZ",INDEX(Xtradata!P$2:P$397,$D164),IF(J164="clip",INDEX(Xtradata!K$2:K$397,$D164),""))</f>
        <v>77</v>
      </c>
      <c r="L164" s="34">
        <f>IF($J164="TZ",INDEX(Xtradata!Q$2:Q$397,$D164),IF($J164="clip",INDEX(Xtradata!L$2:L$397,$D164),""))</f>
        <v>70</v>
      </c>
      <c r="M164" s="34">
        <f>IF($J164="TZ",INDEX(Xtradata!R$2:R$397,$D164),IF($J164="clip",INDEX(Xtradata!M$2:M$397,$D164),""))</f>
        <v>7</v>
      </c>
      <c r="N164" s="2">
        <v>0</v>
      </c>
      <c r="O164" s="34">
        <f>INDEX(Xtradata!T$2:T$397,$D164)</f>
        <v>0</v>
      </c>
      <c r="P164" s="38">
        <f t="shared" si="19"/>
        <v>0</v>
      </c>
      <c r="Q164" s="48">
        <f t="shared" si="20"/>
        <v>0.23</v>
      </c>
      <c r="R164" s="48">
        <f t="shared" si="21"/>
        <v>0.23</v>
      </c>
      <c r="S164" s="48">
        <f t="shared" si="26"/>
        <v>0.7</v>
      </c>
      <c r="T164" s="48">
        <f t="shared" si="22"/>
        <v>0.93</v>
      </c>
      <c r="U164" s="48">
        <f t="shared" si="23"/>
        <v>0</v>
      </c>
      <c r="V164" s="48">
        <f t="shared" si="24"/>
        <v>6.9999999999999951E-2</v>
      </c>
      <c r="W164" s="48">
        <f t="shared" si="25"/>
        <v>0.99999999999999989</v>
      </c>
      <c r="X164" s="14">
        <f>MATCH(C164,'Weights and Seed Amounts'!C$2:C$400,0)</f>
        <v>163</v>
      </c>
      <c r="Y164" s="58">
        <f>INDEX('Weights and Seed Amounts'!D$2:D$400,$X164)</f>
        <v>2.3E-3</v>
      </c>
      <c r="Z164" s="34">
        <f>INDEX(Xtradata!U$2:U$397,$D164)</f>
        <v>0</v>
      </c>
    </row>
    <row r="165" spans="1:26" x14ac:dyDescent="0.25">
      <c r="A165" s="2" t="s">
        <v>267</v>
      </c>
      <c r="B165" s="2" t="s">
        <v>12</v>
      </c>
      <c r="C165" s="2" t="s">
        <v>278</v>
      </c>
      <c r="D165" s="32">
        <f>MATCH(Xtradata!C165,Xtradata!C$2:C560,0)</f>
        <v>164</v>
      </c>
      <c r="E165" s="33">
        <f>INDEX(Xtradata!G$2:G$397,$D165)</f>
        <v>44361</v>
      </c>
      <c r="F165" s="33">
        <f>INDEX(Xtradata!H$2:H$397,$D165)</f>
        <v>44434</v>
      </c>
      <c r="G165" s="2">
        <v>100</v>
      </c>
      <c r="H165" s="2">
        <v>100</v>
      </c>
      <c r="I165" s="2">
        <v>0</v>
      </c>
      <c r="J165" s="33" t="str">
        <f>INDEX(Xtradata!J$2:J$397,$D165)</f>
        <v>N/A</v>
      </c>
      <c r="K165" s="34" t="str">
        <f>IF(J165="TZ",INDEX(Xtradata!P$2:P$397,$D165),IF(J165="clip",INDEX(Xtradata!K$2:K$397,$D165),""))</f>
        <v/>
      </c>
      <c r="L165" s="34" t="str">
        <f>IF($J165="TZ",INDEX(Xtradata!Q$2:Q$397,$D165),IF($J165="clip",INDEX(Xtradata!L$2:L$397,$D165),""))</f>
        <v/>
      </c>
      <c r="M165" s="34" t="str">
        <f>IF($J165="TZ",INDEX(Xtradata!R$2:R$397,$D165),IF($J165="clip",INDEX(Xtradata!M$2:M$397,$D165),""))</f>
        <v/>
      </c>
      <c r="N165" s="2">
        <v>0</v>
      </c>
      <c r="O165" s="34">
        <f>INDEX(Xtradata!T$2:T$397,$D165)</f>
        <v>0</v>
      </c>
      <c r="P165" s="38">
        <f t="shared" si="19"/>
        <v>0</v>
      </c>
      <c r="Q165" s="48">
        <f t="shared" si="20"/>
        <v>1</v>
      </c>
      <c r="R165" s="48">
        <f t="shared" si="21"/>
        <v>1</v>
      </c>
      <c r="S165" s="48">
        <f t="shared" si="26"/>
        <v>0</v>
      </c>
      <c r="T165" s="48">
        <f t="shared" si="22"/>
        <v>1</v>
      </c>
      <c r="U165" s="48">
        <f t="shared" si="23"/>
        <v>0</v>
      </c>
      <c r="V165" s="48">
        <f t="shared" si="24"/>
        <v>0</v>
      </c>
      <c r="W165" s="48">
        <f t="shared" si="25"/>
        <v>1</v>
      </c>
      <c r="X165" s="14">
        <f>MATCH(C165,'Weights and Seed Amounts'!C$2:C$400,0)</f>
        <v>164</v>
      </c>
      <c r="Y165" s="58">
        <f>INDEX('Weights and Seed Amounts'!D$2:D$400,$X165)</f>
        <v>2.5000000000000001E-3</v>
      </c>
      <c r="Z165" s="34">
        <f>INDEX(Xtradata!U$2:U$397,$D165)</f>
        <v>0</v>
      </c>
    </row>
    <row r="166" spans="1:26" x14ac:dyDescent="0.25">
      <c r="A166" s="2" t="s">
        <v>267</v>
      </c>
      <c r="B166" s="2" t="s">
        <v>12</v>
      </c>
      <c r="C166" s="2" t="s">
        <v>279</v>
      </c>
      <c r="D166" s="32">
        <f>MATCH(Xtradata!C166,Xtradata!C$2:C561,0)</f>
        <v>165</v>
      </c>
      <c r="E166" s="33">
        <f>INDEX(Xtradata!G$2:G$397,$D166)</f>
        <v>44361</v>
      </c>
      <c r="F166" s="33">
        <f>INDEX(Xtradata!H$2:H$397,$D166)</f>
        <v>44434</v>
      </c>
      <c r="G166" s="2">
        <v>100</v>
      </c>
      <c r="H166" s="2">
        <v>85</v>
      </c>
      <c r="I166" s="2">
        <v>0</v>
      </c>
      <c r="J166" s="33" t="str">
        <f>INDEX(Xtradata!J$2:J$397,$D166)</f>
        <v>TZ</v>
      </c>
      <c r="K166" s="34">
        <f>IF(J166="TZ",INDEX(Xtradata!P$2:P$397,$D166),IF(J166="clip",INDEX(Xtradata!K$2:K$397,$D166),""))</f>
        <v>15</v>
      </c>
      <c r="L166" s="34">
        <f>IF($J166="TZ",INDEX(Xtradata!Q$2:Q$397,$D166),IF($J166="clip",INDEX(Xtradata!L$2:L$397,$D166),""))</f>
        <v>4</v>
      </c>
      <c r="M166" s="34">
        <f>IF($J166="TZ",INDEX(Xtradata!R$2:R$397,$D166),IF($J166="clip",INDEX(Xtradata!M$2:M$397,$D166),""))</f>
        <v>11</v>
      </c>
      <c r="N166" s="2">
        <v>0</v>
      </c>
      <c r="O166" s="34">
        <f>INDEX(Xtradata!T$2:T$397,$D166)</f>
        <v>0</v>
      </c>
      <c r="P166" s="38">
        <f t="shared" si="19"/>
        <v>0</v>
      </c>
      <c r="Q166" s="48">
        <f t="shared" si="20"/>
        <v>0.85</v>
      </c>
      <c r="R166" s="48">
        <f t="shared" si="21"/>
        <v>0.85</v>
      </c>
      <c r="S166" s="48">
        <f t="shared" si="26"/>
        <v>0.04</v>
      </c>
      <c r="T166" s="48">
        <f t="shared" si="22"/>
        <v>0.89</v>
      </c>
      <c r="U166" s="48">
        <f t="shared" si="23"/>
        <v>0</v>
      </c>
      <c r="V166" s="48">
        <f t="shared" si="24"/>
        <v>0.10999999999999999</v>
      </c>
      <c r="W166" s="48">
        <f t="shared" si="25"/>
        <v>1</v>
      </c>
      <c r="X166" s="14">
        <f>MATCH(C166,'Weights and Seed Amounts'!C$2:C$400,0)</f>
        <v>165</v>
      </c>
      <c r="Y166" s="58">
        <f>INDEX('Weights and Seed Amounts'!D$2:D$400,$X166)</f>
        <v>4.5999999999999999E-3</v>
      </c>
      <c r="Z166" s="34">
        <f>INDEX(Xtradata!U$2:U$397,$D166)</f>
        <v>0</v>
      </c>
    </row>
    <row r="167" spans="1:26" x14ac:dyDescent="0.25">
      <c r="A167" s="2" t="s">
        <v>267</v>
      </c>
      <c r="B167" s="2" t="s">
        <v>12</v>
      </c>
      <c r="C167" s="2" t="s">
        <v>280</v>
      </c>
      <c r="D167" s="32">
        <f>MATCH(Xtradata!C167,Xtradata!C$2:C562,0)</f>
        <v>166</v>
      </c>
      <c r="E167" s="33">
        <f>INDEX(Xtradata!G$2:G$397,$D167)</f>
        <v>44361</v>
      </c>
      <c r="F167" s="33">
        <f>INDEX(Xtradata!H$2:H$397,$D167)</f>
        <v>44434</v>
      </c>
      <c r="G167" s="2">
        <v>100</v>
      </c>
      <c r="H167" s="2">
        <v>100</v>
      </c>
      <c r="I167" s="2">
        <v>0</v>
      </c>
      <c r="J167" s="33" t="str">
        <f>INDEX(Xtradata!J$2:J$397,$D167)</f>
        <v>N/A</v>
      </c>
      <c r="K167" s="34" t="str">
        <f>IF(J167="TZ",INDEX(Xtradata!P$2:P$397,$D167),IF(J167="clip",INDEX(Xtradata!K$2:K$397,$D167),""))</f>
        <v/>
      </c>
      <c r="L167" s="34" t="str">
        <f>IF($J167="TZ",INDEX(Xtradata!Q$2:Q$397,$D167),IF($J167="clip",INDEX(Xtradata!L$2:L$397,$D167),""))</f>
        <v/>
      </c>
      <c r="M167" s="34" t="str">
        <f>IF($J167="TZ",INDEX(Xtradata!R$2:R$397,$D167),IF($J167="clip",INDEX(Xtradata!M$2:M$397,$D167),""))</f>
        <v/>
      </c>
      <c r="N167" s="2">
        <v>0</v>
      </c>
      <c r="O167" s="34">
        <f>INDEX(Xtradata!T$2:T$397,$D167)</f>
        <v>0</v>
      </c>
      <c r="P167" s="38">
        <f t="shared" si="19"/>
        <v>0</v>
      </c>
      <c r="Q167" s="48">
        <f t="shared" si="20"/>
        <v>1</v>
      </c>
      <c r="R167" s="48">
        <f t="shared" si="21"/>
        <v>1</v>
      </c>
      <c r="S167" s="48">
        <f t="shared" si="26"/>
        <v>0</v>
      </c>
      <c r="T167" s="48">
        <f t="shared" si="22"/>
        <v>1</v>
      </c>
      <c r="U167" s="48">
        <f t="shared" si="23"/>
        <v>0</v>
      </c>
      <c r="V167" s="48">
        <f t="shared" si="24"/>
        <v>0</v>
      </c>
      <c r="W167" s="48">
        <f t="shared" si="25"/>
        <v>1</v>
      </c>
      <c r="X167" s="14">
        <f>MATCH(C167,'Weights and Seed Amounts'!C$2:C$400,0)</f>
        <v>166</v>
      </c>
      <c r="Y167" s="58">
        <f>INDEX('Weights and Seed Amounts'!D$2:D$400,$X167)</f>
        <v>2.5999999999999999E-3</v>
      </c>
      <c r="Z167" s="34">
        <f>INDEX(Xtradata!U$2:U$397,$D167)</f>
        <v>0</v>
      </c>
    </row>
    <row r="168" spans="1:26" x14ac:dyDescent="0.25">
      <c r="A168" s="2" t="s">
        <v>267</v>
      </c>
      <c r="B168" s="2" t="s">
        <v>12</v>
      </c>
      <c r="C168" s="2" t="s">
        <v>281</v>
      </c>
      <c r="D168" s="32">
        <f>MATCH(Xtradata!C168,Xtradata!C$2:C563,0)</f>
        <v>167</v>
      </c>
      <c r="E168" s="33">
        <f>INDEX(Xtradata!G$2:G$397,$D168)</f>
        <v>44361</v>
      </c>
      <c r="F168" s="33">
        <f>INDEX(Xtradata!H$2:H$397,$D168)</f>
        <v>44434</v>
      </c>
      <c r="G168" s="2">
        <v>100</v>
      </c>
      <c r="H168" s="2">
        <v>100</v>
      </c>
      <c r="I168" s="2">
        <v>0</v>
      </c>
      <c r="J168" s="33" t="str">
        <f>INDEX(Xtradata!J$2:J$397,$D168)</f>
        <v>N/A</v>
      </c>
      <c r="K168" s="34" t="str">
        <f>IF(J168="TZ",INDEX(Xtradata!P$2:P$397,$D168),IF(J168="clip",INDEX(Xtradata!K$2:K$397,$D168),""))</f>
        <v/>
      </c>
      <c r="L168" s="34" t="str">
        <f>IF($J168="TZ",INDEX(Xtradata!Q$2:Q$397,$D168),IF($J168="clip",INDEX(Xtradata!L$2:L$397,$D168),""))</f>
        <v/>
      </c>
      <c r="M168" s="34" t="str">
        <f>IF($J168="TZ",INDEX(Xtradata!R$2:R$397,$D168),IF($J168="clip",INDEX(Xtradata!M$2:M$397,$D168),""))</f>
        <v/>
      </c>
      <c r="N168" s="2">
        <v>0</v>
      </c>
      <c r="O168" s="34">
        <f>INDEX(Xtradata!T$2:T$397,$D168)</f>
        <v>0</v>
      </c>
      <c r="P168" s="38">
        <f t="shared" si="19"/>
        <v>0</v>
      </c>
      <c r="Q168" s="48">
        <f t="shared" si="20"/>
        <v>1</v>
      </c>
      <c r="R168" s="48">
        <f t="shared" si="21"/>
        <v>1</v>
      </c>
      <c r="S168" s="48">
        <f t="shared" si="26"/>
        <v>0</v>
      </c>
      <c r="T168" s="48">
        <f t="shared" si="22"/>
        <v>1</v>
      </c>
      <c r="U168" s="48">
        <f t="shared" si="23"/>
        <v>0</v>
      </c>
      <c r="V168" s="48">
        <f t="shared" si="24"/>
        <v>0</v>
      </c>
      <c r="W168" s="48">
        <f t="shared" si="25"/>
        <v>1</v>
      </c>
      <c r="X168" s="14">
        <f>MATCH(C168,'Weights and Seed Amounts'!C$2:C$400,0)</f>
        <v>167</v>
      </c>
      <c r="Y168" s="58">
        <f>INDEX('Weights and Seed Amounts'!D$2:D$400,$X168)</f>
        <v>4.7999999999999996E-3</v>
      </c>
      <c r="Z168" s="34">
        <f>INDEX(Xtradata!U$2:U$397,$D168)</f>
        <v>0</v>
      </c>
    </row>
    <row r="169" spans="1:26" x14ac:dyDescent="0.25">
      <c r="A169" s="2" t="s">
        <v>267</v>
      </c>
      <c r="B169" s="2" t="s">
        <v>12</v>
      </c>
      <c r="C169" s="2" t="s">
        <v>282</v>
      </c>
      <c r="D169" s="32">
        <f>MATCH(Xtradata!C169,Xtradata!C$2:C564,0)</f>
        <v>168</v>
      </c>
      <c r="E169" s="33">
        <f>INDEX(Xtradata!G$2:G$397,$D169)</f>
        <v>44361</v>
      </c>
      <c r="F169" s="33">
        <f>INDEX(Xtradata!H$2:H$397,$D169)</f>
        <v>44434</v>
      </c>
      <c r="G169" s="2">
        <v>100</v>
      </c>
      <c r="H169" s="2">
        <v>92</v>
      </c>
      <c r="I169" s="2">
        <v>0</v>
      </c>
      <c r="J169" s="33" t="str">
        <f>INDEX(Xtradata!J$2:J$397,$D169)</f>
        <v>TZ</v>
      </c>
      <c r="K169" s="34">
        <f>IF(J169="TZ",INDEX(Xtradata!P$2:P$397,$D169),IF(J169="clip",INDEX(Xtradata!K$2:K$397,$D169),""))</f>
        <v>8</v>
      </c>
      <c r="L169" s="34">
        <f>IF($J169="TZ",INDEX(Xtradata!Q$2:Q$397,$D169),IF($J169="clip",INDEX(Xtradata!L$2:L$397,$D169),""))</f>
        <v>1</v>
      </c>
      <c r="M169" s="34">
        <f>IF($J169="TZ",INDEX(Xtradata!R$2:R$397,$D169),IF($J169="clip",INDEX(Xtradata!M$2:M$397,$D169),""))</f>
        <v>7</v>
      </c>
      <c r="N169" s="2">
        <v>0</v>
      </c>
      <c r="O169" s="34">
        <f>INDEX(Xtradata!T$2:T$397,$D169)</f>
        <v>0</v>
      </c>
      <c r="P169" s="38">
        <f t="shared" si="19"/>
        <v>0</v>
      </c>
      <c r="Q169" s="48">
        <f t="shared" si="20"/>
        <v>0.92</v>
      </c>
      <c r="R169" s="48">
        <f t="shared" si="21"/>
        <v>0.92</v>
      </c>
      <c r="S169" s="48">
        <f t="shared" si="26"/>
        <v>0.01</v>
      </c>
      <c r="T169" s="48">
        <f t="shared" si="22"/>
        <v>0.93</v>
      </c>
      <c r="U169" s="48">
        <f t="shared" si="23"/>
        <v>0</v>
      </c>
      <c r="V169" s="48">
        <f t="shared" si="24"/>
        <v>6.9999999999999951E-2</v>
      </c>
      <c r="W169" s="48">
        <f t="shared" si="25"/>
        <v>1</v>
      </c>
      <c r="X169" s="14">
        <f>MATCH(C169,'Weights and Seed Amounts'!C$2:C$400,0)</f>
        <v>168</v>
      </c>
      <c r="Y169" s="58">
        <f>INDEX('Weights and Seed Amounts'!D$2:D$400,$X169)</f>
        <v>3.5000000000000001E-3</v>
      </c>
      <c r="Z169" s="34">
        <f>INDEX(Xtradata!U$2:U$397,$D169)</f>
        <v>0</v>
      </c>
    </row>
    <row r="170" spans="1:26" x14ac:dyDescent="0.25">
      <c r="A170" s="2" t="s">
        <v>267</v>
      </c>
      <c r="B170" s="2" t="s">
        <v>12</v>
      </c>
      <c r="C170" s="2" t="s">
        <v>283</v>
      </c>
      <c r="D170" s="32">
        <f>MATCH(Xtradata!C170,Xtradata!C$2:C565,0)</f>
        <v>169</v>
      </c>
      <c r="E170" s="33">
        <f>INDEX(Xtradata!G$2:G$397,$D170)</f>
        <v>44361</v>
      </c>
      <c r="F170" s="33">
        <f>INDEX(Xtradata!H$2:H$397,$D170)</f>
        <v>44434</v>
      </c>
      <c r="G170" s="2">
        <v>100</v>
      </c>
      <c r="H170" s="2">
        <v>100</v>
      </c>
      <c r="I170" s="2">
        <v>0</v>
      </c>
      <c r="J170" s="33" t="str">
        <f>INDEX(Xtradata!J$2:J$397,$D170)</f>
        <v>N/A</v>
      </c>
      <c r="K170" s="34" t="str">
        <f>IF(J170="TZ",INDEX(Xtradata!P$2:P$397,$D170),IF(J170="clip",INDEX(Xtradata!K$2:K$397,$D170),""))</f>
        <v/>
      </c>
      <c r="L170" s="34" t="str">
        <f>IF($J170="TZ",INDEX(Xtradata!Q$2:Q$397,$D170),IF($J170="clip",INDEX(Xtradata!L$2:L$397,$D170),""))</f>
        <v/>
      </c>
      <c r="M170" s="34" t="str">
        <f>IF($J170="TZ",INDEX(Xtradata!R$2:R$397,$D170),IF($J170="clip",INDEX(Xtradata!M$2:M$397,$D170),""))</f>
        <v/>
      </c>
      <c r="N170" s="2">
        <v>0</v>
      </c>
      <c r="O170" s="34">
        <f>INDEX(Xtradata!T$2:T$397,$D170)</f>
        <v>0</v>
      </c>
      <c r="P170" s="38">
        <f t="shared" si="19"/>
        <v>0</v>
      </c>
      <c r="Q170" s="48">
        <f t="shared" si="20"/>
        <v>1</v>
      </c>
      <c r="R170" s="48">
        <f t="shared" si="21"/>
        <v>1</v>
      </c>
      <c r="S170" s="48">
        <f t="shared" si="26"/>
        <v>0</v>
      </c>
      <c r="T170" s="48">
        <f t="shared" si="22"/>
        <v>1</v>
      </c>
      <c r="U170" s="48">
        <f t="shared" si="23"/>
        <v>0</v>
      </c>
      <c r="V170" s="48">
        <f t="shared" si="24"/>
        <v>0</v>
      </c>
      <c r="W170" s="48">
        <f t="shared" si="25"/>
        <v>1</v>
      </c>
      <c r="X170" s="14">
        <f>MATCH(C170,'Weights and Seed Amounts'!C$2:C$400,0)</f>
        <v>169</v>
      </c>
      <c r="Y170" s="58">
        <f>INDEX('Weights and Seed Amounts'!D$2:D$400,$X170)</f>
        <v>4.4999999999999997E-3</v>
      </c>
      <c r="Z170" s="34">
        <f>INDEX(Xtradata!U$2:U$397,$D170)</f>
        <v>0</v>
      </c>
    </row>
    <row r="171" spans="1:26" x14ac:dyDescent="0.25">
      <c r="A171" s="2" t="s">
        <v>267</v>
      </c>
      <c r="B171" s="2" t="s">
        <v>12</v>
      </c>
      <c r="C171" s="2" t="s">
        <v>284</v>
      </c>
      <c r="D171" s="32">
        <f>MATCH(Xtradata!C171,Xtradata!C$2:C566,0)</f>
        <v>170</v>
      </c>
      <c r="E171" s="33">
        <f>INDEX(Xtradata!G$2:G$397,$D171)</f>
        <v>44361</v>
      </c>
      <c r="F171" s="33">
        <f>INDEX(Xtradata!H$2:H$397,$D171)</f>
        <v>44434</v>
      </c>
      <c r="G171" s="2">
        <v>100</v>
      </c>
      <c r="H171" s="2">
        <v>100</v>
      </c>
      <c r="I171" s="2">
        <v>0</v>
      </c>
      <c r="J171" s="33" t="str">
        <f>INDEX(Xtradata!J$2:J$397,$D171)</f>
        <v>N/A</v>
      </c>
      <c r="K171" s="34" t="str">
        <f>IF(J171="TZ",INDEX(Xtradata!P$2:P$397,$D171),IF(J171="clip",INDEX(Xtradata!K$2:K$397,$D171),""))</f>
        <v/>
      </c>
      <c r="L171" s="34" t="str">
        <f>IF($J171="TZ",INDEX(Xtradata!Q$2:Q$397,$D171),IF($J171="clip",INDEX(Xtradata!L$2:L$397,$D171),""))</f>
        <v/>
      </c>
      <c r="M171" s="34" t="str">
        <f>IF($J171="TZ",INDEX(Xtradata!R$2:R$397,$D171),IF($J171="clip",INDEX(Xtradata!M$2:M$397,$D171),""))</f>
        <v/>
      </c>
      <c r="N171" s="2">
        <v>0</v>
      </c>
      <c r="O171" s="34">
        <f>INDEX(Xtradata!T$2:T$397,$D171)</f>
        <v>0</v>
      </c>
      <c r="P171" s="38">
        <f t="shared" si="19"/>
        <v>0</v>
      </c>
      <c r="Q171" s="48">
        <f t="shared" si="20"/>
        <v>1</v>
      </c>
      <c r="R171" s="48">
        <f t="shared" si="21"/>
        <v>1</v>
      </c>
      <c r="S171" s="48">
        <f t="shared" si="26"/>
        <v>0</v>
      </c>
      <c r="T171" s="48">
        <f t="shared" si="22"/>
        <v>1</v>
      </c>
      <c r="U171" s="48">
        <f t="shared" si="23"/>
        <v>0</v>
      </c>
      <c r="V171" s="48">
        <f t="shared" si="24"/>
        <v>0</v>
      </c>
      <c r="W171" s="48">
        <f t="shared" si="25"/>
        <v>1</v>
      </c>
      <c r="X171" s="14">
        <f>MATCH(C171,'Weights and Seed Amounts'!C$2:C$400,0)</f>
        <v>170</v>
      </c>
      <c r="Y171" s="58">
        <f>INDEX('Weights and Seed Amounts'!D$2:D$400,$X171)</f>
        <v>3.0999999999999999E-3</v>
      </c>
      <c r="Z171" s="34">
        <f>INDEX(Xtradata!U$2:U$397,$D171)</f>
        <v>0</v>
      </c>
    </row>
    <row r="172" spans="1:26" x14ac:dyDescent="0.25">
      <c r="A172" s="2" t="s">
        <v>267</v>
      </c>
      <c r="B172" s="2" t="s">
        <v>12</v>
      </c>
      <c r="C172" s="2" t="s">
        <v>285</v>
      </c>
      <c r="D172" s="32">
        <f>MATCH(Xtradata!C172,Xtradata!C$2:C567,0)</f>
        <v>171</v>
      </c>
      <c r="E172" s="33">
        <f>INDEX(Xtradata!G$2:G$397,$D172)</f>
        <v>44361</v>
      </c>
      <c r="F172" s="33">
        <f>INDEX(Xtradata!H$2:H$397,$D172)</f>
        <v>44434</v>
      </c>
      <c r="G172" s="2">
        <v>100</v>
      </c>
      <c r="H172" s="2">
        <v>88</v>
      </c>
      <c r="I172" s="2">
        <v>0</v>
      </c>
      <c r="J172" s="33" t="str">
        <f>INDEX(Xtradata!J$2:J$397,$D172)</f>
        <v>TZ</v>
      </c>
      <c r="K172" s="34">
        <f>IF(J172="TZ",INDEX(Xtradata!P$2:P$397,$D172),IF(J172="clip",INDEX(Xtradata!K$2:K$397,$D172),""))</f>
        <v>12</v>
      </c>
      <c r="L172" s="34">
        <f>IF($J172="TZ",INDEX(Xtradata!Q$2:Q$397,$D172),IF($J172="clip",INDEX(Xtradata!L$2:L$397,$D172),""))</f>
        <v>5</v>
      </c>
      <c r="M172" s="34">
        <f>IF($J172="TZ",INDEX(Xtradata!R$2:R$397,$D172),IF($J172="clip",INDEX(Xtradata!M$2:M$397,$D172),""))</f>
        <v>7</v>
      </c>
      <c r="N172" s="2">
        <v>0</v>
      </c>
      <c r="O172" s="34">
        <f>INDEX(Xtradata!T$2:T$397,$D172)</f>
        <v>0</v>
      </c>
      <c r="P172" s="38">
        <f t="shared" si="19"/>
        <v>0</v>
      </c>
      <c r="Q172" s="48">
        <f t="shared" si="20"/>
        <v>0.88</v>
      </c>
      <c r="R172" s="48">
        <f t="shared" si="21"/>
        <v>0.88</v>
      </c>
      <c r="S172" s="48">
        <f t="shared" si="26"/>
        <v>0.05</v>
      </c>
      <c r="T172" s="48">
        <f t="shared" si="22"/>
        <v>0.93</v>
      </c>
      <c r="U172" s="48">
        <f t="shared" si="23"/>
        <v>0</v>
      </c>
      <c r="V172" s="48">
        <f t="shared" si="24"/>
        <v>6.9999999999999951E-2</v>
      </c>
      <c r="W172" s="48">
        <f t="shared" si="25"/>
        <v>1</v>
      </c>
      <c r="X172" s="14">
        <f>MATCH(C172,'Weights and Seed Amounts'!C$2:C$400,0)</f>
        <v>171</v>
      </c>
      <c r="Y172" s="58">
        <f>INDEX('Weights and Seed Amounts'!D$2:D$400,$X172)</f>
        <v>3.3E-3</v>
      </c>
      <c r="Z172" s="34">
        <f>INDEX(Xtradata!U$2:U$397,$D172)</f>
        <v>0</v>
      </c>
    </row>
    <row r="173" spans="1:26" x14ac:dyDescent="0.25">
      <c r="A173" s="2" t="s">
        <v>267</v>
      </c>
      <c r="B173" s="2" t="s">
        <v>12</v>
      </c>
      <c r="C173" s="2" t="s">
        <v>286</v>
      </c>
      <c r="D173" s="32">
        <f>MATCH(Xtradata!C173,Xtradata!C$2:C568,0)</f>
        <v>172</v>
      </c>
      <c r="E173" s="33">
        <f>INDEX(Xtradata!G$2:G$397,$D173)</f>
        <v>44361</v>
      </c>
      <c r="F173" s="33">
        <f>INDEX(Xtradata!H$2:H$397,$D173)</f>
        <v>44434</v>
      </c>
      <c r="G173" s="2">
        <v>100</v>
      </c>
      <c r="H173" s="2">
        <v>79</v>
      </c>
      <c r="I173" s="2">
        <v>0</v>
      </c>
      <c r="J173" s="33" t="str">
        <f>INDEX(Xtradata!J$2:J$397,$D173)</f>
        <v>TZ</v>
      </c>
      <c r="K173" s="34">
        <f>IF(J173="TZ",INDEX(Xtradata!P$2:P$397,$D173),IF(J173="clip",INDEX(Xtradata!K$2:K$397,$D173),""))</f>
        <v>21</v>
      </c>
      <c r="L173" s="34">
        <f>IF($J173="TZ",INDEX(Xtradata!Q$2:Q$397,$D173),IF($J173="clip",INDEX(Xtradata!L$2:L$397,$D173),""))</f>
        <v>19</v>
      </c>
      <c r="M173" s="34">
        <f>IF($J173="TZ",INDEX(Xtradata!R$2:R$397,$D173),IF($J173="clip",INDEX(Xtradata!M$2:M$397,$D173),""))</f>
        <v>2</v>
      </c>
      <c r="N173" s="2">
        <v>0</v>
      </c>
      <c r="O173" s="34">
        <f>INDEX(Xtradata!T$2:T$397,$D173)</f>
        <v>0</v>
      </c>
      <c r="P173" s="38">
        <f t="shared" si="19"/>
        <v>0</v>
      </c>
      <c r="Q173" s="48">
        <f t="shared" si="20"/>
        <v>0.79</v>
      </c>
      <c r="R173" s="48">
        <f t="shared" si="21"/>
        <v>0.79</v>
      </c>
      <c r="S173" s="48">
        <f t="shared" si="26"/>
        <v>0.19</v>
      </c>
      <c r="T173" s="48">
        <f t="shared" si="22"/>
        <v>0.98</v>
      </c>
      <c r="U173" s="48">
        <f t="shared" si="23"/>
        <v>0</v>
      </c>
      <c r="V173" s="48">
        <f t="shared" si="24"/>
        <v>2.0000000000000018E-2</v>
      </c>
      <c r="W173" s="48">
        <f t="shared" si="25"/>
        <v>1</v>
      </c>
      <c r="X173" s="14">
        <f>MATCH(C173,'Weights and Seed Amounts'!C$2:C$400,0)</f>
        <v>172</v>
      </c>
      <c r="Y173" s="58">
        <f>INDEX('Weights and Seed Amounts'!D$2:D$400,$X173)</f>
        <v>2.8000000000000001E-2</v>
      </c>
      <c r="Z173" s="34">
        <f>INDEX(Xtradata!U$2:U$397,$D173)</f>
        <v>0</v>
      </c>
    </row>
    <row r="174" spans="1:26" x14ac:dyDescent="0.25">
      <c r="A174" s="2" t="s">
        <v>602</v>
      </c>
      <c r="B174" s="2" t="s">
        <v>123</v>
      </c>
      <c r="C174" s="2" t="s">
        <v>603</v>
      </c>
      <c r="D174" s="32">
        <f>MATCH(Xtradata!C174,Xtradata!C$2:C569,0)</f>
        <v>173</v>
      </c>
      <c r="E174" s="33">
        <f>INDEX(Xtradata!G$2:G$397,$D174)</f>
        <v>44372</v>
      </c>
      <c r="F174" s="33">
        <f>INDEX(Xtradata!H$2:H$397,$D174)</f>
        <v>44434</v>
      </c>
      <c r="G174" s="2">
        <v>100</v>
      </c>
      <c r="H174" s="2">
        <v>0</v>
      </c>
      <c r="I174" s="2">
        <v>0</v>
      </c>
      <c r="J174" s="33" t="str">
        <f>INDEX(Xtradata!J$2:J$397,$D174)</f>
        <v>TZ</v>
      </c>
      <c r="K174" s="34">
        <f>IF(J174="TZ",INDEX(Xtradata!P$2:P$397,$D174),IF(J174="clip",INDEX(Xtradata!K$2:K$397,$D174),""))</f>
        <v>93</v>
      </c>
      <c r="L174" s="34">
        <f>IF($J174="TZ",INDEX(Xtradata!Q$2:Q$397,$D174),IF($J174="clip",INDEX(Xtradata!L$2:L$397,$D174),""))</f>
        <v>89</v>
      </c>
      <c r="M174" s="34">
        <f>IF($J174="TZ",INDEX(Xtradata!R$2:R$397,$D174),IF($J174="clip",INDEX(Xtradata!M$2:M$397,$D174),""))</f>
        <v>4</v>
      </c>
      <c r="N174" s="2">
        <v>0</v>
      </c>
      <c r="O174" s="34">
        <f>INDEX(Xtradata!T$2:T$397,$D174)</f>
        <v>7</v>
      </c>
      <c r="P174" s="38">
        <f t="shared" si="19"/>
        <v>0</v>
      </c>
      <c r="Q174" s="48">
        <f t="shared" si="20"/>
        <v>0</v>
      </c>
      <c r="R174" s="48">
        <f t="shared" si="21"/>
        <v>0</v>
      </c>
      <c r="S174" s="48">
        <f t="shared" si="26"/>
        <v>0.89</v>
      </c>
      <c r="T174" s="48">
        <f t="shared" si="22"/>
        <v>0.89</v>
      </c>
      <c r="U174" s="48">
        <f t="shared" si="23"/>
        <v>0</v>
      </c>
      <c r="V174" s="48">
        <f t="shared" si="24"/>
        <v>0.10999999999999999</v>
      </c>
      <c r="W174" s="48">
        <f t="shared" si="25"/>
        <v>1</v>
      </c>
      <c r="X174" s="14">
        <f>MATCH(C174,'Weights and Seed Amounts'!C$2:C$400,0)</f>
        <v>173</v>
      </c>
      <c r="Y174" s="58">
        <f>INDEX('Weights and Seed Amounts'!D$2:D$400,$X174)</f>
        <v>0.87949999999999995</v>
      </c>
      <c r="Z174" s="34">
        <f>INDEX(Xtradata!U$2:U$397,$D174)</f>
        <v>0</v>
      </c>
    </row>
    <row r="175" spans="1:26" x14ac:dyDescent="0.25">
      <c r="A175" s="2" t="s">
        <v>287</v>
      </c>
      <c r="B175" s="2" t="s">
        <v>288</v>
      </c>
      <c r="C175" s="2" t="s">
        <v>289</v>
      </c>
      <c r="D175" s="32">
        <f>MATCH(Xtradata!C175,Xtradata!C$2:C570,0)</f>
        <v>174</v>
      </c>
      <c r="E175" s="33">
        <f>INDEX(Xtradata!G$2:G$397,$D175)</f>
        <v>44336</v>
      </c>
      <c r="F175" s="33">
        <f>INDEX(Xtradata!H$2:H$397,$D175)</f>
        <v>44427</v>
      </c>
      <c r="G175" s="2">
        <v>100</v>
      </c>
      <c r="H175" s="2">
        <v>17</v>
      </c>
      <c r="I175" s="2">
        <v>0</v>
      </c>
      <c r="J175" s="33" t="str">
        <f>INDEX(Xtradata!J$2:J$397,$D175)</f>
        <v>N/A</v>
      </c>
      <c r="K175" s="34" t="str">
        <f>IF(J175="TZ",INDEX(Xtradata!P$2:P$397,$D175),IF(J175="clip",INDEX(Xtradata!K$2:K$397,$D175),""))</f>
        <v/>
      </c>
      <c r="L175" s="34" t="str">
        <f>IF($J175="TZ",INDEX(Xtradata!Q$2:Q$397,$D175),IF($J175="clip",INDEX(Xtradata!L$2:L$397,$D175),""))</f>
        <v/>
      </c>
      <c r="M175" s="34" t="str">
        <f>IF($J175="TZ",INDEX(Xtradata!R$2:R$397,$D175),IF($J175="clip",INDEX(Xtradata!M$2:M$397,$D175),""))</f>
        <v/>
      </c>
      <c r="N175" s="2">
        <v>0</v>
      </c>
      <c r="O175" s="34">
        <f>INDEX(Xtradata!T$2:T$397,$D175)</f>
        <v>83</v>
      </c>
      <c r="P175" s="38">
        <f t="shared" si="19"/>
        <v>0</v>
      </c>
      <c r="Q175" s="48">
        <f t="shared" si="20"/>
        <v>0.17</v>
      </c>
      <c r="R175" s="48">
        <f t="shared" si="21"/>
        <v>0.17</v>
      </c>
      <c r="S175" s="48">
        <f t="shared" si="26"/>
        <v>0</v>
      </c>
      <c r="T175" s="48">
        <f t="shared" si="22"/>
        <v>0.17</v>
      </c>
      <c r="U175" s="48">
        <f t="shared" si="23"/>
        <v>0</v>
      </c>
      <c r="V175" s="48">
        <f t="shared" si="24"/>
        <v>0.83</v>
      </c>
      <c r="W175" s="48">
        <f t="shared" si="25"/>
        <v>1</v>
      </c>
      <c r="X175" s="14">
        <f>MATCH(C175,'Weights and Seed Amounts'!C$2:C$400,0)</f>
        <v>174</v>
      </c>
      <c r="Y175" s="58">
        <f>INDEX('Weights and Seed Amounts'!D$2:D$400,$X175)</f>
        <v>6.0000000000000001E-3</v>
      </c>
      <c r="Z175" s="34">
        <f>INDEX(Xtradata!U$2:U$397,$D175)</f>
        <v>0</v>
      </c>
    </row>
    <row r="176" spans="1:26" x14ac:dyDescent="0.25">
      <c r="A176" s="2" t="s">
        <v>287</v>
      </c>
      <c r="B176" s="2" t="s">
        <v>288</v>
      </c>
      <c r="C176" s="2" t="s">
        <v>290</v>
      </c>
      <c r="D176" s="32">
        <f>MATCH(Xtradata!C176,Xtradata!C$2:C571,0)</f>
        <v>175</v>
      </c>
      <c r="E176" s="33">
        <f>INDEX(Xtradata!G$2:G$397,$D176)</f>
        <v>44336</v>
      </c>
      <c r="F176" s="33">
        <f>INDEX(Xtradata!H$2:H$397,$D176)</f>
        <v>44427</v>
      </c>
      <c r="G176" s="2">
        <v>100</v>
      </c>
      <c r="H176" s="2">
        <v>49</v>
      </c>
      <c r="I176" s="2">
        <v>0</v>
      </c>
      <c r="J176" s="33" t="str">
        <f>INDEX(Xtradata!J$2:J$397,$D176)</f>
        <v>N/A</v>
      </c>
      <c r="K176" s="34" t="str">
        <f>IF(J176="TZ",INDEX(Xtradata!P$2:P$397,$D176),IF(J176="clip",INDEX(Xtradata!K$2:K$397,$D176),""))</f>
        <v/>
      </c>
      <c r="L176" s="34" t="str">
        <f>IF($J176="TZ",INDEX(Xtradata!Q$2:Q$397,$D176),IF($J176="clip",INDEX(Xtradata!L$2:L$397,$D176),""))</f>
        <v/>
      </c>
      <c r="M176" s="34" t="str">
        <f>IF($J176="TZ",INDEX(Xtradata!R$2:R$397,$D176),IF($J176="clip",INDEX(Xtradata!M$2:M$397,$D176),""))</f>
        <v/>
      </c>
      <c r="N176" s="2">
        <v>0</v>
      </c>
      <c r="O176" s="34">
        <f>INDEX(Xtradata!T$2:T$397,$D176)</f>
        <v>51</v>
      </c>
      <c r="P176" s="38">
        <f t="shared" si="19"/>
        <v>0</v>
      </c>
      <c r="Q176" s="48">
        <f t="shared" si="20"/>
        <v>0.49</v>
      </c>
      <c r="R176" s="48">
        <f t="shared" si="21"/>
        <v>0.49</v>
      </c>
      <c r="S176" s="48">
        <f t="shared" si="26"/>
        <v>0</v>
      </c>
      <c r="T176" s="48">
        <f t="shared" si="22"/>
        <v>0.49</v>
      </c>
      <c r="U176" s="48">
        <f t="shared" si="23"/>
        <v>0</v>
      </c>
      <c r="V176" s="48">
        <f t="shared" si="24"/>
        <v>0.51</v>
      </c>
      <c r="W176" s="48">
        <f t="shared" si="25"/>
        <v>1</v>
      </c>
      <c r="X176" s="14">
        <f>MATCH(C176,'Weights and Seed Amounts'!C$2:C$400,0)</f>
        <v>175</v>
      </c>
      <c r="Y176" s="58">
        <f>INDEX('Weights and Seed Amounts'!D$2:D$400,$X176)</f>
        <v>4.7999999999999996E-3</v>
      </c>
      <c r="Z176" s="34">
        <f>INDEX(Xtradata!U$2:U$397,$D176)</f>
        <v>0</v>
      </c>
    </row>
    <row r="177" spans="1:26" x14ac:dyDescent="0.25">
      <c r="A177" s="2" t="s">
        <v>287</v>
      </c>
      <c r="B177" s="2" t="s">
        <v>288</v>
      </c>
      <c r="C177" s="2" t="s">
        <v>291</v>
      </c>
      <c r="D177" s="32">
        <f>MATCH(Xtradata!C177,Xtradata!C$2:C572,0)</f>
        <v>176</v>
      </c>
      <c r="E177" s="33">
        <f>INDEX(Xtradata!G$2:G$397,$D177)</f>
        <v>44336</v>
      </c>
      <c r="F177" s="33">
        <f>INDEX(Xtradata!H$2:H$397,$D177)</f>
        <v>44427</v>
      </c>
      <c r="G177" s="2">
        <v>100</v>
      </c>
      <c r="H177" s="2">
        <v>38</v>
      </c>
      <c r="I177" s="2">
        <v>0</v>
      </c>
      <c r="J177" s="33" t="str">
        <f>INDEX(Xtradata!J$2:J$397,$D177)</f>
        <v>N/A</v>
      </c>
      <c r="K177" s="34" t="str">
        <f>IF(J177="TZ",INDEX(Xtradata!P$2:P$397,$D177),IF(J177="clip",INDEX(Xtradata!K$2:K$397,$D177),""))</f>
        <v/>
      </c>
      <c r="L177" s="34" t="str">
        <f>IF($J177="TZ",INDEX(Xtradata!Q$2:Q$397,$D177),IF($J177="clip",INDEX(Xtradata!L$2:L$397,$D177),""))</f>
        <v/>
      </c>
      <c r="M177" s="34" t="str">
        <f>IF($J177="TZ",INDEX(Xtradata!R$2:R$397,$D177),IF($J177="clip",INDEX(Xtradata!M$2:M$397,$D177),""))</f>
        <v/>
      </c>
      <c r="N177" s="2">
        <v>0</v>
      </c>
      <c r="O177" s="34">
        <f>INDEX(Xtradata!T$2:T$397,$D177)</f>
        <v>62</v>
      </c>
      <c r="P177" s="38">
        <f t="shared" si="19"/>
        <v>0</v>
      </c>
      <c r="Q177" s="48">
        <f t="shared" si="20"/>
        <v>0.38</v>
      </c>
      <c r="R177" s="48">
        <f t="shared" si="21"/>
        <v>0.38</v>
      </c>
      <c r="S177" s="48">
        <f t="shared" si="26"/>
        <v>0</v>
      </c>
      <c r="T177" s="48">
        <f t="shared" si="22"/>
        <v>0.38</v>
      </c>
      <c r="U177" s="48">
        <f t="shared" si="23"/>
        <v>0</v>
      </c>
      <c r="V177" s="48">
        <f t="shared" si="24"/>
        <v>0.62</v>
      </c>
      <c r="W177" s="48">
        <f t="shared" si="25"/>
        <v>1</v>
      </c>
      <c r="X177" s="14">
        <f>MATCH(C177,'Weights and Seed Amounts'!C$2:C$400,0)</f>
        <v>176</v>
      </c>
      <c r="Y177" s="58">
        <f>INDEX('Weights and Seed Amounts'!D$2:D$400,$X177)</f>
        <v>3.7000000000000002E-3</v>
      </c>
      <c r="Z177" s="34">
        <f>INDEX(Xtradata!U$2:U$397,$D177)</f>
        <v>0</v>
      </c>
    </row>
    <row r="178" spans="1:26" x14ac:dyDescent="0.25">
      <c r="A178" s="2" t="s">
        <v>287</v>
      </c>
      <c r="B178" s="2" t="s">
        <v>288</v>
      </c>
      <c r="C178" s="2" t="s">
        <v>292</v>
      </c>
      <c r="D178" s="32">
        <f>MATCH(Xtradata!C178,Xtradata!C$2:C573,0)</f>
        <v>177</v>
      </c>
      <c r="E178" s="33">
        <f>INDEX(Xtradata!G$2:G$397,$D178)</f>
        <v>44336</v>
      </c>
      <c r="F178" s="33">
        <f>INDEX(Xtradata!H$2:H$397,$D178)</f>
        <v>44427</v>
      </c>
      <c r="G178" s="2">
        <v>100</v>
      </c>
      <c r="H178" s="2">
        <v>57</v>
      </c>
      <c r="I178" s="2">
        <v>0</v>
      </c>
      <c r="J178" s="33" t="str">
        <f>INDEX(Xtradata!J$2:J$397,$D178)</f>
        <v>N/A</v>
      </c>
      <c r="K178" s="34" t="str">
        <f>IF(J178="TZ",INDEX(Xtradata!P$2:P$397,$D178),IF(J178="clip",INDEX(Xtradata!K$2:K$397,$D178),""))</f>
        <v/>
      </c>
      <c r="L178" s="34" t="str">
        <f>IF($J178="TZ",INDEX(Xtradata!Q$2:Q$397,$D178),IF($J178="clip",INDEX(Xtradata!L$2:L$397,$D178),""))</f>
        <v/>
      </c>
      <c r="M178" s="34" t="str">
        <f>IF($J178="TZ",INDEX(Xtradata!R$2:R$397,$D178),IF($J178="clip",INDEX(Xtradata!M$2:M$397,$D178),""))</f>
        <v/>
      </c>
      <c r="N178" s="2">
        <v>0</v>
      </c>
      <c r="O178" s="34">
        <f>INDEX(Xtradata!T$2:T$397,$D178)</f>
        <v>43</v>
      </c>
      <c r="P178" s="38">
        <f t="shared" si="19"/>
        <v>0</v>
      </c>
      <c r="Q178" s="48">
        <f t="shared" si="20"/>
        <v>0.56999999999999995</v>
      </c>
      <c r="R178" s="48">
        <f t="shared" si="21"/>
        <v>0.56999999999999995</v>
      </c>
      <c r="S178" s="48">
        <f t="shared" si="26"/>
        <v>0</v>
      </c>
      <c r="T178" s="48">
        <f t="shared" si="22"/>
        <v>0.56999999999999995</v>
      </c>
      <c r="U178" s="48">
        <f t="shared" si="23"/>
        <v>0</v>
      </c>
      <c r="V178" s="48">
        <f t="shared" si="24"/>
        <v>0.43000000000000005</v>
      </c>
      <c r="W178" s="48">
        <f t="shared" si="25"/>
        <v>1</v>
      </c>
      <c r="X178" s="14">
        <f>MATCH(C178,'Weights and Seed Amounts'!C$2:C$400,0)</f>
        <v>177</v>
      </c>
      <c r="Y178" s="58">
        <f>INDEX('Weights and Seed Amounts'!D$2:D$400,$X178)</f>
        <v>4.1000000000000003E-3</v>
      </c>
      <c r="Z178" s="34">
        <f>INDEX(Xtradata!U$2:U$397,$D178)</f>
        <v>0</v>
      </c>
    </row>
    <row r="179" spans="1:26" x14ac:dyDescent="0.25">
      <c r="A179" s="2" t="s">
        <v>293</v>
      </c>
      <c r="B179" s="2" t="s">
        <v>294</v>
      </c>
      <c r="C179" s="2" t="s">
        <v>295</v>
      </c>
      <c r="D179" s="32">
        <f>MATCH(Xtradata!C179,Xtradata!C$2:C574,0)</f>
        <v>178</v>
      </c>
      <c r="E179" s="33">
        <f>INDEX(Xtradata!G$2:G$397,$D179)</f>
        <v>44309</v>
      </c>
      <c r="F179" s="33">
        <f>INDEX(Xtradata!H$2:H$397,$D179)</f>
        <v>44327</v>
      </c>
      <c r="G179" s="2">
        <v>100</v>
      </c>
      <c r="H179" s="2">
        <v>84</v>
      </c>
      <c r="I179" s="2">
        <v>1</v>
      </c>
      <c r="J179" s="33" t="str">
        <f>INDEX(Xtradata!J$2:J$397,$D179)</f>
        <v>clip</v>
      </c>
      <c r="K179" s="34">
        <f>IF(J179="TZ",INDEX(Xtradata!P$2:P$397,$D179),IF(J179="clip",INDEX(Xtradata!K$2:K$397,$D179),""))</f>
        <v>15</v>
      </c>
      <c r="L179" s="34">
        <f>IF($J179="TZ",INDEX(Xtradata!Q$2:Q$397,$D179),IF($J179="clip",INDEX(Xtradata!L$2:L$397,$D179),""))</f>
        <v>10</v>
      </c>
      <c r="M179" s="34">
        <f>IF($J179="TZ",INDEX(Xtradata!R$2:R$397,$D179),IF($J179="clip",INDEX(Xtradata!M$2:M$397,$D179),""))</f>
        <v>5</v>
      </c>
      <c r="N179" s="2">
        <v>0</v>
      </c>
      <c r="O179" s="34">
        <f>INDEX(Xtradata!T$2:T$397,$D179)</f>
        <v>0</v>
      </c>
      <c r="P179" s="38">
        <f t="shared" si="19"/>
        <v>0</v>
      </c>
      <c r="Q179" s="48">
        <f t="shared" si="20"/>
        <v>0.84</v>
      </c>
      <c r="R179" s="48">
        <f t="shared" si="21"/>
        <v>0.95</v>
      </c>
      <c r="S179" s="48">
        <f t="shared" si="26"/>
        <v>0.1</v>
      </c>
      <c r="T179" s="48">
        <f t="shared" si="22"/>
        <v>0.95</v>
      </c>
      <c r="U179" s="48">
        <f t="shared" si="23"/>
        <v>0</v>
      </c>
      <c r="V179" s="48">
        <f t="shared" si="24"/>
        <v>5.0000000000000044E-2</v>
      </c>
      <c r="W179" s="48">
        <f t="shared" si="25"/>
        <v>1.1000000000000001</v>
      </c>
      <c r="X179" s="14">
        <f>MATCH(C179,'Weights and Seed Amounts'!C$2:C$400,0)</f>
        <v>178</v>
      </c>
      <c r="Y179" s="58">
        <f>INDEX('Weights and Seed Amounts'!D$2:D$400,$X179)</f>
        <v>1.8314999999999999</v>
      </c>
      <c r="Z179" s="34">
        <f>INDEX(Xtradata!U$2:U$397,$D179)</f>
        <v>0</v>
      </c>
    </row>
    <row r="180" spans="1:26" x14ac:dyDescent="0.25">
      <c r="A180" s="2" t="s">
        <v>296</v>
      </c>
      <c r="B180" s="2" t="s">
        <v>297</v>
      </c>
      <c r="C180" s="2" t="s">
        <v>298</v>
      </c>
      <c r="D180" s="32">
        <f>MATCH(Xtradata!C180,Xtradata!C$2:C575,0)</f>
        <v>179</v>
      </c>
      <c r="E180" s="33" t="str">
        <f>INDEX(Xtradata!G$2:G$397,$D180)</f>
        <v>N/A</v>
      </c>
      <c r="F180" s="33" t="str">
        <f>INDEX(Xtradata!H$2:H$397,$D180)</f>
        <v>N/A</v>
      </c>
      <c r="G180" s="2">
        <v>0</v>
      </c>
      <c r="H180" s="2" t="s">
        <v>581</v>
      </c>
      <c r="I180" s="2" t="s">
        <v>581</v>
      </c>
      <c r="J180" s="33" t="str">
        <f>INDEX(Xtradata!J$2:J$397,$D180)</f>
        <v>TZ</v>
      </c>
      <c r="K180" s="34">
        <f>IF(J180="TZ",INDEX(Xtradata!P$2:P$397,$D180),IF(J180="clip",INDEX(Xtradata!K$2:K$397,$D180),""))</f>
        <v>11</v>
      </c>
      <c r="L180" s="34">
        <f>IF($J180="TZ",INDEX(Xtradata!Q$2:Q$397,$D180),IF($J180="clip",INDEX(Xtradata!L$2:L$397,$D180),""))</f>
        <v>0</v>
      </c>
      <c r="M180" s="34">
        <f>IF($J180="TZ",INDEX(Xtradata!R$2:R$397,$D180),IF($J180="clip",INDEX(Xtradata!M$2:M$397,$D180),""))</f>
        <v>0</v>
      </c>
      <c r="N180" s="2">
        <v>11</v>
      </c>
      <c r="O180" s="34">
        <f>INDEX(Xtradata!T$2:T$397,$D180)</f>
        <v>0</v>
      </c>
      <c r="P180" s="38">
        <f t="shared" si="19"/>
        <v>0</v>
      </c>
      <c r="Q180" s="48" t="str">
        <f t="shared" si="20"/>
        <v/>
      </c>
      <c r="R180" s="48" t="str">
        <f t="shared" si="21"/>
        <v/>
      </c>
      <c r="S180" s="48" t="str">
        <f t="shared" si="26"/>
        <v/>
      </c>
      <c r="T180" s="48">
        <f t="shared" si="22"/>
        <v>0</v>
      </c>
      <c r="U180" s="48">
        <f t="shared" si="23"/>
        <v>1</v>
      </c>
      <c r="V180" s="48">
        <f t="shared" si="24"/>
        <v>0</v>
      </c>
      <c r="W180" s="48">
        <f t="shared" si="25"/>
        <v>1</v>
      </c>
      <c r="X180" s="14">
        <f>MATCH(C180,'Weights and Seed Amounts'!C$2:C$400,0)</f>
        <v>179</v>
      </c>
      <c r="Y180" s="58">
        <f>INDEX('Weights and Seed Amounts'!D$2:D$400,$X180)</f>
        <v>0.27650000000000002</v>
      </c>
      <c r="Z180" s="34" t="str">
        <f>INDEX(Xtradata!U$2:U$397,$D180)</f>
        <v>Initial TZ of ~ 10 seeds indicated no viability.  High proportion of empty seeds or embryos damaged by insect/handling. Perhaps immature. Not planted for germ assay.</v>
      </c>
    </row>
    <row r="181" spans="1:26" x14ac:dyDescent="0.25">
      <c r="A181" s="2" t="s">
        <v>299</v>
      </c>
      <c r="B181" s="2" t="s">
        <v>300</v>
      </c>
      <c r="C181" s="2" t="s">
        <v>301</v>
      </c>
      <c r="D181" s="32">
        <f>MATCH(Xtradata!C181,Xtradata!C$2:C576,0)</f>
        <v>180</v>
      </c>
      <c r="E181" s="33">
        <f>INDEX(Xtradata!G$2:G$397,$D181)</f>
        <v>44309</v>
      </c>
      <c r="F181" s="33" t="str">
        <f>INDEX(Xtradata!H$2:H$397,$D181)</f>
        <v>N/A</v>
      </c>
      <c r="G181" s="2">
        <v>100</v>
      </c>
      <c r="H181" s="2">
        <v>6</v>
      </c>
      <c r="I181" s="2">
        <v>6</v>
      </c>
      <c r="J181" s="33" t="str">
        <f>INDEX(Xtradata!J$2:J$397,$D181)</f>
        <v>clip</v>
      </c>
      <c r="K181" s="34">
        <f>IF(J181="TZ",INDEX(Xtradata!P$2:P$397,$D181),IF(J181="clip",INDEX(Xtradata!K$2:K$397,$D181),""))</f>
        <v>88</v>
      </c>
      <c r="L181" s="34">
        <f>IF($J181="TZ",INDEX(Xtradata!Q$2:Q$397,$D181),IF($J181="clip",INDEX(Xtradata!L$2:L$397,$D181),""))</f>
        <v>87</v>
      </c>
      <c r="M181" s="34">
        <f>IF($J181="TZ",INDEX(Xtradata!R$2:R$397,$D181),IF($J181="clip",INDEX(Xtradata!M$2:M$397,$D181),""))</f>
        <v>1</v>
      </c>
      <c r="N181" s="2">
        <v>0</v>
      </c>
      <c r="O181" s="34">
        <f>INDEX(Xtradata!T$2:T$397,$D181)</f>
        <v>0</v>
      </c>
      <c r="P181" s="38">
        <f t="shared" si="19"/>
        <v>0</v>
      </c>
      <c r="Q181" s="48">
        <f t="shared" si="20"/>
        <v>0.06</v>
      </c>
      <c r="R181" s="48">
        <f t="shared" si="21"/>
        <v>0.99</v>
      </c>
      <c r="S181" s="48">
        <f t="shared" si="26"/>
        <v>0.87</v>
      </c>
      <c r="T181" s="48">
        <f t="shared" si="22"/>
        <v>0.99</v>
      </c>
      <c r="U181" s="48">
        <f t="shared" si="23"/>
        <v>0</v>
      </c>
      <c r="V181" s="48">
        <f t="shared" si="24"/>
        <v>1.0000000000000009E-2</v>
      </c>
      <c r="W181" s="48">
        <f t="shared" si="25"/>
        <v>1.8699999999999999</v>
      </c>
      <c r="X181" s="14">
        <f>MATCH(C181,'Weights and Seed Amounts'!C$2:C$400,0)</f>
        <v>180</v>
      </c>
      <c r="Y181" s="58">
        <f>INDEX('Weights and Seed Amounts'!D$2:D$400,$X181)</f>
        <v>0.214</v>
      </c>
      <c r="Z181" s="34">
        <f>INDEX(Xtradata!U$2:U$397,$D181)</f>
        <v>0</v>
      </c>
    </row>
    <row r="182" spans="1:26" x14ac:dyDescent="0.25">
      <c r="A182" s="2" t="s">
        <v>299</v>
      </c>
      <c r="B182" s="2" t="s">
        <v>300</v>
      </c>
      <c r="C182" s="2" t="s">
        <v>302</v>
      </c>
      <c r="D182" s="32">
        <f>MATCH(Xtradata!C182,Xtradata!C$2:C577,0)</f>
        <v>181</v>
      </c>
      <c r="E182" s="33">
        <f>INDEX(Xtradata!G$2:G$397,$D182)</f>
        <v>44309</v>
      </c>
      <c r="F182" s="33" t="str">
        <f>INDEX(Xtradata!H$2:H$397,$D182)</f>
        <v>N/A</v>
      </c>
      <c r="G182" s="2">
        <v>100</v>
      </c>
      <c r="H182" s="2">
        <v>2</v>
      </c>
      <c r="I182" s="2">
        <v>5</v>
      </c>
      <c r="J182" s="33" t="str">
        <f>INDEX(Xtradata!J$2:J$397,$D182)</f>
        <v>clip</v>
      </c>
      <c r="K182" s="34">
        <f>IF(J182="TZ",INDEX(Xtradata!P$2:P$397,$D182),IF(J182="clip",INDEX(Xtradata!K$2:K$397,$D182),""))</f>
        <v>66</v>
      </c>
      <c r="L182" s="34">
        <f>IF($J182="TZ",INDEX(Xtradata!Q$2:Q$397,$D182),IF($J182="clip",INDEX(Xtradata!L$2:L$397,$D182),""))</f>
        <v>64</v>
      </c>
      <c r="M182" s="34">
        <f>IF($J182="TZ",INDEX(Xtradata!R$2:R$397,$D182),IF($J182="clip",INDEX(Xtradata!M$2:M$397,$D182),""))</f>
        <v>2</v>
      </c>
      <c r="N182" s="2">
        <v>0</v>
      </c>
      <c r="O182" s="34">
        <f>INDEX(Xtradata!T$2:T$397,$D182)</f>
        <v>27</v>
      </c>
      <c r="P182" s="38">
        <f t="shared" si="19"/>
        <v>0</v>
      </c>
      <c r="Q182" s="48">
        <f t="shared" si="20"/>
        <v>0.02</v>
      </c>
      <c r="R182" s="48">
        <f t="shared" si="21"/>
        <v>0.71</v>
      </c>
      <c r="S182" s="48">
        <f t="shared" si="26"/>
        <v>0.64</v>
      </c>
      <c r="T182" s="48">
        <f t="shared" si="22"/>
        <v>0.71</v>
      </c>
      <c r="U182" s="48">
        <f t="shared" si="23"/>
        <v>0</v>
      </c>
      <c r="V182" s="48">
        <f t="shared" si="24"/>
        <v>0.29000000000000004</v>
      </c>
      <c r="W182" s="48">
        <f t="shared" si="25"/>
        <v>1.6400000000000001</v>
      </c>
      <c r="X182" s="14">
        <f>MATCH(C182,'Weights and Seed Amounts'!C$2:C$400,0)</f>
        <v>181</v>
      </c>
      <c r="Y182" s="58">
        <f>INDEX('Weights and Seed Amounts'!D$2:D$400,$X182)</f>
        <v>0.31059999999999999</v>
      </c>
      <c r="Z182" s="34">
        <f>INDEX(Xtradata!U$2:U$397,$D182)</f>
        <v>0</v>
      </c>
    </row>
    <row r="183" spans="1:26" x14ac:dyDescent="0.25">
      <c r="A183" s="2" t="s">
        <v>303</v>
      </c>
      <c r="B183" s="2" t="s">
        <v>304</v>
      </c>
      <c r="C183" s="2" t="s">
        <v>305</v>
      </c>
      <c r="D183" s="32">
        <f>MATCH(Xtradata!C183,Xtradata!C$2:C578,0)</f>
        <v>182</v>
      </c>
      <c r="E183" s="33">
        <f>INDEX(Xtradata!G$2:G$397,$D183)</f>
        <v>44321</v>
      </c>
      <c r="F183" s="33">
        <f>INDEX(Xtradata!H$2:H$397,$D183)</f>
        <v>44356</v>
      </c>
      <c r="G183" s="2">
        <v>100</v>
      </c>
      <c r="H183" s="2">
        <v>9</v>
      </c>
      <c r="I183" s="2">
        <v>0</v>
      </c>
      <c r="J183" s="33" t="str">
        <f>INDEX(Xtradata!J$2:J$397,$D183)</f>
        <v>N/A</v>
      </c>
      <c r="K183" s="34" t="str">
        <f>IF(J183="TZ",INDEX(Xtradata!P$2:P$397,$D183),IF(J183="clip",INDEX(Xtradata!K$2:K$397,$D183),""))</f>
        <v/>
      </c>
      <c r="L183" s="34" t="str">
        <f>IF($J183="TZ",INDEX(Xtradata!Q$2:Q$397,$D183),IF($J183="clip",INDEX(Xtradata!L$2:L$397,$D183),""))</f>
        <v/>
      </c>
      <c r="M183" s="34" t="str">
        <f>IF($J183="TZ",INDEX(Xtradata!R$2:R$397,$D183),IF($J183="clip",INDEX(Xtradata!M$2:M$397,$D183),""))</f>
        <v/>
      </c>
      <c r="N183" s="2">
        <v>91</v>
      </c>
      <c r="O183" s="34">
        <f>INDEX(Xtradata!T$2:T$397,$D183)</f>
        <v>0</v>
      </c>
      <c r="P183" s="38">
        <f t="shared" si="19"/>
        <v>0</v>
      </c>
      <c r="Q183" s="48">
        <f t="shared" si="20"/>
        <v>0.09</v>
      </c>
      <c r="R183" s="48">
        <f t="shared" si="21"/>
        <v>0.09</v>
      </c>
      <c r="S183" s="48">
        <f t="shared" si="26"/>
        <v>0</v>
      </c>
      <c r="T183" s="48">
        <f t="shared" si="22"/>
        <v>0.09</v>
      </c>
      <c r="U183" s="48">
        <f t="shared" si="23"/>
        <v>0.91</v>
      </c>
      <c r="V183" s="48">
        <f t="shared" si="24"/>
        <v>0</v>
      </c>
      <c r="W183" s="48">
        <f t="shared" si="25"/>
        <v>1</v>
      </c>
      <c r="X183" s="14">
        <f>MATCH(C183,'Weights and Seed Amounts'!C$2:C$400,0)</f>
        <v>182</v>
      </c>
      <c r="Y183" s="58">
        <f>INDEX('Weights and Seed Amounts'!D$2:D$400,$X183)</f>
        <v>5.5500000000000001E-2</v>
      </c>
      <c r="Z183" s="34">
        <f>INDEX(Xtradata!U$2:U$397,$D183)</f>
        <v>0</v>
      </c>
    </row>
    <row r="184" spans="1:26" x14ac:dyDescent="0.25">
      <c r="A184" s="2" t="s">
        <v>303</v>
      </c>
      <c r="B184" s="2" t="s">
        <v>304</v>
      </c>
      <c r="C184" s="2" t="s">
        <v>306</v>
      </c>
      <c r="D184" s="32">
        <f>MATCH(Xtradata!C184,Xtradata!C$2:C579,0)</f>
        <v>183</v>
      </c>
      <c r="E184" s="33">
        <f>INDEX(Xtradata!G$2:G$397,$D184)</f>
        <v>44321</v>
      </c>
      <c r="F184" s="33">
        <f>INDEX(Xtradata!H$2:H$397,$D184)</f>
        <v>44356</v>
      </c>
      <c r="G184" s="2">
        <v>106</v>
      </c>
      <c r="H184" s="2">
        <v>7</v>
      </c>
      <c r="I184" s="2">
        <v>0</v>
      </c>
      <c r="J184" s="33" t="str">
        <f>INDEX(Xtradata!J$2:J$397,$D184)</f>
        <v>N/A</v>
      </c>
      <c r="K184" s="34" t="str">
        <f>IF(J184="TZ",INDEX(Xtradata!P$2:P$397,$D184),IF(J184="clip",INDEX(Xtradata!K$2:K$397,$D184),""))</f>
        <v/>
      </c>
      <c r="L184" s="34" t="str">
        <f>IF($J184="TZ",INDEX(Xtradata!Q$2:Q$397,$D184),IF($J184="clip",INDEX(Xtradata!L$2:L$397,$D184),""))</f>
        <v/>
      </c>
      <c r="M184" s="34" t="str">
        <f>IF($J184="TZ",INDEX(Xtradata!R$2:R$397,$D184),IF($J184="clip",INDEX(Xtradata!M$2:M$397,$D184),""))</f>
        <v/>
      </c>
      <c r="N184" s="2">
        <v>99</v>
      </c>
      <c r="O184" s="34">
        <f>INDEX(Xtradata!T$2:T$397,$D184)</f>
        <v>0</v>
      </c>
      <c r="P184" s="38">
        <f t="shared" si="19"/>
        <v>0</v>
      </c>
      <c r="Q184" s="48">
        <f t="shared" si="20"/>
        <v>6.6037735849056603E-2</v>
      </c>
      <c r="R184" s="48">
        <f t="shared" si="21"/>
        <v>6.6037735849056603E-2</v>
      </c>
      <c r="S184" s="48">
        <f t="shared" si="26"/>
        <v>0</v>
      </c>
      <c r="T184" s="48">
        <f t="shared" si="22"/>
        <v>6.6037735849056603E-2</v>
      </c>
      <c r="U184" s="48">
        <f t="shared" si="23"/>
        <v>0.93396226415094341</v>
      </c>
      <c r="V184" s="48">
        <f t="shared" si="24"/>
        <v>0</v>
      </c>
      <c r="W184" s="48">
        <f t="shared" si="25"/>
        <v>1</v>
      </c>
      <c r="X184" s="14">
        <f>MATCH(C184,'Weights and Seed Amounts'!C$2:C$400,0)</f>
        <v>183</v>
      </c>
      <c r="Y184" s="58">
        <f>INDEX('Weights and Seed Amounts'!D$2:D$400,$X184)</f>
        <v>0.1328</v>
      </c>
      <c r="Z184" s="34">
        <f>INDEX(Xtradata!U$2:U$397,$D184)</f>
        <v>0</v>
      </c>
    </row>
    <row r="185" spans="1:26" x14ac:dyDescent="0.25">
      <c r="A185" s="2" t="s">
        <v>303</v>
      </c>
      <c r="B185" s="2" t="s">
        <v>304</v>
      </c>
      <c r="C185" s="2" t="s">
        <v>307</v>
      </c>
      <c r="D185" s="32">
        <f>MATCH(Xtradata!C185,Xtradata!C$2:C580,0)</f>
        <v>184</v>
      </c>
      <c r="E185" s="33">
        <f>INDEX(Xtradata!G$2:G$397,$D185)</f>
        <v>44321</v>
      </c>
      <c r="F185" s="33">
        <f>INDEX(Xtradata!H$2:H$397,$D185)</f>
        <v>44356</v>
      </c>
      <c r="G185" s="2">
        <v>100</v>
      </c>
      <c r="H185" s="2">
        <v>6</v>
      </c>
      <c r="I185" s="2">
        <v>0</v>
      </c>
      <c r="J185" s="33" t="str">
        <f>INDEX(Xtradata!J$2:J$397,$D185)</f>
        <v>N/A</v>
      </c>
      <c r="K185" s="34" t="str">
        <f>IF(J185="TZ",INDEX(Xtradata!P$2:P$397,$D185),IF(J185="clip",INDEX(Xtradata!K$2:K$397,$D185),""))</f>
        <v/>
      </c>
      <c r="L185" s="34" t="str">
        <f>IF($J185="TZ",INDEX(Xtradata!Q$2:Q$397,$D185),IF($J185="clip",INDEX(Xtradata!L$2:L$397,$D185),""))</f>
        <v/>
      </c>
      <c r="M185" s="34" t="str">
        <f>IF($J185="TZ",INDEX(Xtradata!R$2:R$397,$D185),IF($J185="clip",INDEX(Xtradata!M$2:M$397,$D185),""))</f>
        <v/>
      </c>
      <c r="N185" s="2">
        <v>94</v>
      </c>
      <c r="O185" s="34">
        <f>INDEX(Xtradata!T$2:T$397,$D185)</f>
        <v>0</v>
      </c>
      <c r="P185" s="38">
        <f t="shared" si="19"/>
        <v>0</v>
      </c>
      <c r="Q185" s="48">
        <f t="shared" si="20"/>
        <v>0.06</v>
      </c>
      <c r="R185" s="48">
        <f t="shared" si="21"/>
        <v>0.06</v>
      </c>
      <c r="S185" s="48">
        <f t="shared" si="26"/>
        <v>0</v>
      </c>
      <c r="T185" s="48">
        <f t="shared" si="22"/>
        <v>0.06</v>
      </c>
      <c r="U185" s="48">
        <f t="shared" si="23"/>
        <v>0.94</v>
      </c>
      <c r="V185" s="48">
        <f t="shared" si="24"/>
        <v>0</v>
      </c>
      <c r="W185" s="48">
        <f t="shared" si="25"/>
        <v>1</v>
      </c>
      <c r="X185" s="14">
        <f>MATCH(C185,'Weights and Seed Amounts'!C$2:C$400,0)</f>
        <v>184</v>
      </c>
      <c r="Y185" s="58">
        <f>INDEX('Weights and Seed Amounts'!D$2:D$400,$X185)</f>
        <v>5.8999999999999997E-2</v>
      </c>
      <c r="Z185" s="34">
        <f>INDEX(Xtradata!U$2:U$397,$D185)</f>
        <v>0</v>
      </c>
    </row>
    <row r="186" spans="1:26" x14ac:dyDescent="0.25">
      <c r="A186" s="2" t="s">
        <v>303</v>
      </c>
      <c r="B186" s="2" t="s">
        <v>304</v>
      </c>
      <c r="C186" s="2" t="s">
        <v>308</v>
      </c>
      <c r="D186" s="32">
        <f>MATCH(Xtradata!C186,Xtradata!C$2:C581,0)</f>
        <v>185</v>
      </c>
      <c r="E186" s="33">
        <f>INDEX(Xtradata!G$2:G$397,$D186)</f>
        <v>44321</v>
      </c>
      <c r="F186" s="33">
        <f>INDEX(Xtradata!H$2:H$397,$D186)</f>
        <v>44356</v>
      </c>
      <c r="G186" s="2">
        <v>100</v>
      </c>
      <c r="H186" s="2">
        <v>8</v>
      </c>
      <c r="I186" s="2">
        <v>0</v>
      </c>
      <c r="J186" s="33" t="str">
        <f>INDEX(Xtradata!J$2:J$397,$D186)</f>
        <v>N/A</v>
      </c>
      <c r="K186" s="34" t="str">
        <f>IF(J186="TZ",INDEX(Xtradata!P$2:P$397,$D186),IF(J186="clip",INDEX(Xtradata!K$2:K$397,$D186),""))</f>
        <v/>
      </c>
      <c r="L186" s="34" t="str">
        <f>IF($J186="TZ",INDEX(Xtradata!Q$2:Q$397,$D186),IF($J186="clip",INDEX(Xtradata!L$2:L$397,$D186),""))</f>
        <v/>
      </c>
      <c r="M186" s="34" t="str">
        <f>IF($J186="TZ",INDEX(Xtradata!R$2:R$397,$D186),IF($J186="clip",INDEX(Xtradata!M$2:M$397,$D186),""))</f>
        <v/>
      </c>
      <c r="N186" s="2">
        <v>92</v>
      </c>
      <c r="O186" s="34">
        <f>INDEX(Xtradata!T$2:T$397,$D186)</f>
        <v>0</v>
      </c>
      <c r="P186" s="38">
        <f t="shared" si="19"/>
        <v>0</v>
      </c>
      <c r="Q186" s="48">
        <f t="shared" si="20"/>
        <v>0.08</v>
      </c>
      <c r="R186" s="48">
        <f t="shared" si="21"/>
        <v>0.08</v>
      </c>
      <c r="S186" s="48">
        <f t="shared" si="26"/>
        <v>0</v>
      </c>
      <c r="T186" s="48">
        <f t="shared" si="22"/>
        <v>0.08</v>
      </c>
      <c r="U186" s="48">
        <f t="shared" si="23"/>
        <v>0.92</v>
      </c>
      <c r="V186" s="48">
        <f t="shared" si="24"/>
        <v>0</v>
      </c>
      <c r="W186" s="48">
        <f t="shared" si="25"/>
        <v>1</v>
      </c>
      <c r="X186" s="14">
        <f>MATCH(C186,'Weights and Seed Amounts'!C$2:C$400,0)</f>
        <v>185</v>
      </c>
      <c r="Y186" s="58">
        <f>INDEX('Weights and Seed Amounts'!D$2:D$400,$X186)</f>
        <v>3.73E-2</v>
      </c>
      <c r="Z186" s="34">
        <f>INDEX(Xtradata!U$2:U$397,$D186)</f>
        <v>0</v>
      </c>
    </row>
    <row r="187" spans="1:26" x14ac:dyDescent="0.25">
      <c r="A187" s="2" t="s">
        <v>303</v>
      </c>
      <c r="B187" s="2" t="s">
        <v>304</v>
      </c>
      <c r="C187" s="2" t="s">
        <v>309</v>
      </c>
      <c r="D187" s="32">
        <f>MATCH(Xtradata!C187,Xtradata!C$2:C582,0)</f>
        <v>186</v>
      </c>
      <c r="E187" s="33">
        <f>INDEX(Xtradata!G$2:G$397,$D187)</f>
        <v>44321</v>
      </c>
      <c r="F187" s="33">
        <f>INDEX(Xtradata!H$2:H$397,$D187)</f>
        <v>44356</v>
      </c>
      <c r="G187" s="2">
        <v>108</v>
      </c>
      <c r="H187" s="2">
        <v>14</v>
      </c>
      <c r="I187" s="2">
        <v>0</v>
      </c>
      <c r="J187" s="33" t="str">
        <f>INDEX(Xtradata!J$2:J$397,$D187)</f>
        <v>N/A</v>
      </c>
      <c r="K187" s="34" t="str">
        <f>IF(J187="TZ",INDEX(Xtradata!P$2:P$397,$D187),IF(J187="clip",INDEX(Xtradata!K$2:K$397,$D187),""))</f>
        <v/>
      </c>
      <c r="L187" s="34" t="str">
        <f>IF($J187="TZ",INDEX(Xtradata!Q$2:Q$397,$D187),IF($J187="clip",INDEX(Xtradata!L$2:L$397,$D187),""))</f>
        <v/>
      </c>
      <c r="M187" s="34" t="str">
        <f>IF($J187="TZ",INDEX(Xtradata!R$2:R$397,$D187),IF($J187="clip",INDEX(Xtradata!M$2:M$397,$D187),""))</f>
        <v/>
      </c>
      <c r="N187" s="2">
        <v>94</v>
      </c>
      <c r="O187" s="34">
        <f>INDEX(Xtradata!T$2:T$397,$D187)</f>
        <v>0</v>
      </c>
      <c r="P187" s="38">
        <f t="shared" si="19"/>
        <v>0</v>
      </c>
      <c r="Q187" s="48">
        <f t="shared" si="20"/>
        <v>0.12962962962962962</v>
      </c>
      <c r="R187" s="48">
        <f t="shared" si="21"/>
        <v>0.12962962962962962</v>
      </c>
      <c r="S187" s="48">
        <f t="shared" si="26"/>
        <v>0</v>
      </c>
      <c r="T187" s="48">
        <f t="shared" si="22"/>
        <v>0.12962962962962962</v>
      </c>
      <c r="U187" s="48">
        <f t="shared" si="23"/>
        <v>0.87037037037037035</v>
      </c>
      <c r="V187" s="48">
        <f t="shared" si="24"/>
        <v>0</v>
      </c>
      <c r="W187" s="48">
        <f t="shared" si="25"/>
        <v>1</v>
      </c>
      <c r="X187" s="14">
        <f>MATCH(C187,'Weights and Seed Amounts'!C$2:C$400,0)</f>
        <v>186</v>
      </c>
      <c r="Y187" s="58">
        <f>INDEX('Weights and Seed Amounts'!D$2:D$400,$X187)</f>
        <v>0.14829999999999999</v>
      </c>
      <c r="Z187" s="34">
        <f>INDEX(Xtradata!U$2:U$397,$D187)</f>
        <v>0</v>
      </c>
    </row>
    <row r="188" spans="1:26" x14ac:dyDescent="0.25">
      <c r="A188" s="2" t="s">
        <v>310</v>
      </c>
      <c r="B188" s="2" t="s">
        <v>311</v>
      </c>
      <c r="C188" s="2" t="s">
        <v>312</v>
      </c>
      <c r="D188" s="32">
        <f>MATCH(Xtradata!C188,Xtradata!C$2:C583,0)</f>
        <v>187</v>
      </c>
      <c r="E188" s="33">
        <f>INDEX(Xtradata!G$2:G$397,$D188)</f>
        <v>44349</v>
      </c>
      <c r="F188" s="33">
        <f>INDEX(Xtradata!H$2:H$397,$D188)</f>
        <v>44427</v>
      </c>
      <c r="G188" s="2">
        <v>100</v>
      </c>
      <c r="H188" s="2">
        <v>0</v>
      </c>
      <c r="I188" s="2">
        <v>0</v>
      </c>
      <c r="J188" s="33" t="str">
        <f>INDEX(Xtradata!J$2:J$397,$D188)</f>
        <v>TZ</v>
      </c>
      <c r="K188" s="34">
        <f>IF(J188="TZ",INDEX(Xtradata!P$2:P$397,$D188),IF(J188="clip",INDEX(Xtradata!K$2:K$397,$D188),""))</f>
        <v>66</v>
      </c>
      <c r="L188" s="34">
        <f>IF($J188="TZ",INDEX(Xtradata!Q$2:Q$397,$D188),IF($J188="clip",INDEX(Xtradata!L$2:L$397,$D188),""))</f>
        <v>58</v>
      </c>
      <c r="M188" s="34">
        <f>IF($J188="TZ",INDEX(Xtradata!R$2:R$397,$D188),IF($J188="clip",INDEX(Xtradata!M$2:M$397,$D188),""))</f>
        <v>8</v>
      </c>
      <c r="N188" s="2">
        <v>34</v>
      </c>
      <c r="O188" s="34">
        <f>INDEX(Xtradata!T$2:T$397,$D188)</f>
        <v>0</v>
      </c>
      <c r="P188" s="38">
        <f t="shared" si="19"/>
        <v>0</v>
      </c>
      <c r="Q188" s="48">
        <f t="shared" si="20"/>
        <v>0</v>
      </c>
      <c r="R188" s="48">
        <f t="shared" si="21"/>
        <v>0</v>
      </c>
      <c r="S188" s="48">
        <f t="shared" si="26"/>
        <v>0.57999999999999996</v>
      </c>
      <c r="T188" s="48">
        <f t="shared" si="22"/>
        <v>0.57999999999999996</v>
      </c>
      <c r="U188" s="48">
        <f t="shared" si="23"/>
        <v>0.34</v>
      </c>
      <c r="V188" s="48">
        <f t="shared" si="24"/>
        <v>8.0000000000000016E-2</v>
      </c>
      <c r="W188" s="48">
        <f t="shared" si="25"/>
        <v>1</v>
      </c>
      <c r="X188" s="14">
        <f>MATCH(C188,'Weights and Seed Amounts'!C$2:C$400,0)</f>
        <v>187</v>
      </c>
      <c r="Y188" s="58">
        <f>INDEX('Weights and Seed Amounts'!D$2:D$400,$X188)</f>
        <v>1.7999999999999999E-2</v>
      </c>
      <c r="Z188" s="34">
        <f>INDEX(Xtradata!U$2:U$397,$D188)</f>
        <v>0</v>
      </c>
    </row>
    <row r="189" spans="1:26" x14ac:dyDescent="0.25">
      <c r="A189" s="2" t="s">
        <v>313</v>
      </c>
      <c r="B189" s="2" t="s">
        <v>314</v>
      </c>
      <c r="C189" s="2" t="s">
        <v>315</v>
      </c>
      <c r="D189" s="32">
        <f>MATCH(Xtradata!C189,Xtradata!C$2:C584,0)</f>
        <v>188</v>
      </c>
      <c r="E189" s="33">
        <f>INDEX(Xtradata!G$2:G$397,$D189)</f>
        <v>44319</v>
      </c>
      <c r="F189" s="33">
        <f>INDEX(Xtradata!H$2:H$397,$D189)</f>
        <v>44371</v>
      </c>
      <c r="G189" s="41">
        <f>96+4</f>
        <v>100</v>
      </c>
      <c r="H189" s="2">
        <v>1</v>
      </c>
      <c r="I189" s="2">
        <v>0</v>
      </c>
      <c r="J189" s="33" t="str">
        <f>INDEX(Xtradata!J$2:J$397,$D189)</f>
        <v>TZ</v>
      </c>
      <c r="K189" s="34">
        <f>IF(J189="TZ",INDEX(Xtradata!P$2:P$397,$D189),IF(J189="clip",INDEX(Xtradata!K$2:K$397,$D189),""))</f>
        <v>99</v>
      </c>
      <c r="L189" s="34">
        <f>IF($J189="TZ",INDEX(Xtradata!Q$2:Q$397,$D189),IF($J189="clip",INDEX(Xtradata!L$2:L$397,$D189),""))</f>
        <v>71</v>
      </c>
      <c r="M189" s="34">
        <f>IF($J189="TZ",INDEX(Xtradata!R$2:R$397,$D189),IF($J189="clip",INDEX(Xtradata!M$2:M$397,$D189),""))</f>
        <v>28</v>
      </c>
      <c r="N189" s="2">
        <v>0</v>
      </c>
      <c r="O189" s="34">
        <f>INDEX(Xtradata!T$2:T$397,$D189)</f>
        <v>0</v>
      </c>
      <c r="P189" s="38">
        <f t="shared" si="19"/>
        <v>0</v>
      </c>
      <c r="Q189" s="48">
        <f t="shared" si="20"/>
        <v>0.01</v>
      </c>
      <c r="R189" s="48">
        <f t="shared" si="21"/>
        <v>0.01</v>
      </c>
      <c r="S189" s="48">
        <f t="shared" si="26"/>
        <v>0.71</v>
      </c>
      <c r="T189" s="48">
        <f t="shared" si="22"/>
        <v>0.72</v>
      </c>
      <c r="U189" s="48">
        <f t="shared" si="23"/>
        <v>0</v>
      </c>
      <c r="V189" s="48">
        <f t="shared" si="24"/>
        <v>0.28000000000000003</v>
      </c>
      <c r="W189" s="48">
        <f t="shared" si="25"/>
        <v>1</v>
      </c>
      <c r="X189" s="14">
        <f>MATCH(C189,'Weights and Seed Amounts'!C$2:C$400,0)</f>
        <v>188</v>
      </c>
      <c r="Y189" s="58">
        <f>INDEX('Weights and Seed Amounts'!D$2:D$400,$X189)</f>
        <v>0.26240000000000002</v>
      </c>
      <c r="Z189" s="34">
        <f>INDEX(Xtradata!U$2:U$397,$D189)</f>
        <v>0</v>
      </c>
    </row>
    <row r="190" spans="1:26" x14ac:dyDescent="0.25">
      <c r="A190" s="2" t="s">
        <v>316</v>
      </c>
      <c r="B190" s="2" t="s">
        <v>317</v>
      </c>
      <c r="C190" s="2" t="s">
        <v>318</v>
      </c>
      <c r="D190" s="32">
        <f>MATCH(Xtradata!C190,Xtradata!C$2:C585,0)</f>
        <v>189</v>
      </c>
      <c r="E190" s="33">
        <f>INDEX(Xtradata!G$2:G$397,$D190)</f>
        <v>44362</v>
      </c>
      <c r="F190" s="33">
        <f>INDEX(Xtradata!H$2:H$397,$D190)</f>
        <v>44413</v>
      </c>
      <c r="G190" s="2">
        <v>100</v>
      </c>
      <c r="H190" s="2">
        <v>53</v>
      </c>
      <c r="I190" s="2">
        <v>0</v>
      </c>
      <c r="J190" s="33" t="str">
        <f>INDEX(Xtradata!J$2:J$397,$D190)</f>
        <v>TZ</v>
      </c>
      <c r="K190" s="34">
        <f>IF(J190="TZ",INDEX(Xtradata!P$2:P$397,$D190),IF(J190="clip",INDEX(Xtradata!K$2:K$397,$D190),""))</f>
        <v>43</v>
      </c>
      <c r="L190" s="34">
        <f>IF($J190="TZ",INDEX(Xtradata!Q$2:Q$397,$D190),IF($J190="clip",INDEX(Xtradata!L$2:L$397,$D190),""))</f>
        <v>17</v>
      </c>
      <c r="M190" s="34">
        <f>IF($J190="TZ",INDEX(Xtradata!R$2:R$397,$D190),IF($J190="clip",INDEX(Xtradata!M$2:M$397,$D190),""))</f>
        <v>26</v>
      </c>
      <c r="N190" s="2">
        <v>4</v>
      </c>
      <c r="O190" s="34">
        <f>INDEX(Xtradata!T$2:T$397,$D190)</f>
        <v>0</v>
      </c>
      <c r="P190" s="38">
        <f t="shared" si="19"/>
        <v>0</v>
      </c>
      <c r="Q190" s="48">
        <f t="shared" si="20"/>
        <v>0.53</v>
      </c>
      <c r="R190" s="48">
        <f t="shared" si="21"/>
        <v>0.53</v>
      </c>
      <c r="S190" s="48">
        <f t="shared" si="26"/>
        <v>0.17</v>
      </c>
      <c r="T190" s="48">
        <f t="shared" si="22"/>
        <v>0.7</v>
      </c>
      <c r="U190" s="48">
        <f t="shared" si="23"/>
        <v>0.04</v>
      </c>
      <c r="V190" s="48">
        <f t="shared" si="24"/>
        <v>0.26000000000000006</v>
      </c>
      <c r="W190" s="48">
        <f t="shared" si="25"/>
        <v>1.0000000000000002</v>
      </c>
      <c r="X190" s="14">
        <f>MATCH(C190,'Weights and Seed Amounts'!C$2:C$400,0)</f>
        <v>189</v>
      </c>
      <c r="Y190" s="58">
        <f>INDEX('Weights and Seed Amounts'!D$2:D$400,$X190)</f>
        <v>0.26240000000000002</v>
      </c>
      <c r="Z190" s="34">
        <f>INDEX(Xtradata!U$2:U$397,$D190)</f>
        <v>0</v>
      </c>
    </row>
    <row r="191" spans="1:26" x14ac:dyDescent="0.25">
      <c r="A191" s="2" t="s">
        <v>319</v>
      </c>
      <c r="B191" s="2" t="s">
        <v>320</v>
      </c>
      <c r="C191" s="2" t="s">
        <v>321</v>
      </c>
      <c r="D191" s="32">
        <f>MATCH(Xtradata!C191,Xtradata!C$2:C586,0)</f>
        <v>190</v>
      </c>
      <c r="E191" s="33">
        <f>INDEX(Xtradata!G$2:G$397,$D191)</f>
        <v>44330</v>
      </c>
      <c r="F191" s="33">
        <f>INDEX(Xtradata!H$2:H$397,$D191)</f>
        <v>44364</v>
      </c>
      <c r="G191" s="2">
        <v>98</v>
      </c>
      <c r="H191" s="2">
        <v>69</v>
      </c>
      <c r="I191" s="2">
        <v>0</v>
      </c>
      <c r="J191" s="33" t="str">
        <f>INDEX(Xtradata!J$2:J$397,$D191)</f>
        <v>N/A</v>
      </c>
      <c r="K191" s="34" t="str">
        <f>IF(J191="TZ",INDEX(Xtradata!P$2:P$397,$D191),IF(J191="clip",INDEX(Xtradata!K$2:K$397,$D191),""))</f>
        <v/>
      </c>
      <c r="L191" s="34" t="str">
        <f>IF($J191="TZ",INDEX(Xtradata!Q$2:Q$397,$D191),IF($J191="clip",INDEX(Xtradata!L$2:L$397,$D191),""))</f>
        <v/>
      </c>
      <c r="M191" s="34" t="str">
        <f>IF($J191="TZ",INDEX(Xtradata!R$2:R$397,$D191),IF($J191="clip",INDEX(Xtradata!M$2:M$397,$D191),""))</f>
        <v/>
      </c>
      <c r="N191" s="2">
        <v>29</v>
      </c>
      <c r="O191" s="34">
        <f>INDEX(Xtradata!T$2:T$397,$D191)</f>
        <v>0</v>
      </c>
      <c r="P191" s="38">
        <f t="shared" si="19"/>
        <v>0</v>
      </c>
      <c r="Q191" s="48">
        <f t="shared" si="20"/>
        <v>0.70408163265306123</v>
      </c>
      <c r="R191" s="48">
        <f t="shared" si="21"/>
        <v>0.70408163265306123</v>
      </c>
      <c r="S191" s="48">
        <f t="shared" si="26"/>
        <v>0</v>
      </c>
      <c r="T191" s="48">
        <f t="shared" si="22"/>
        <v>0.70408163265306123</v>
      </c>
      <c r="U191" s="48">
        <f t="shared" si="23"/>
        <v>0.29591836734693877</v>
      </c>
      <c r="V191" s="48">
        <f t="shared" si="24"/>
        <v>0</v>
      </c>
      <c r="W191" s="48">
        <f t="shared" si="25"/>
        <v>1</v>
      </c>
      <c r="X191" s="14">
        <f>MATCH(C191,'Weights and Seed Amounts'!C$2:C$400,0)</f>
        <v>190</v>
      </c>
      <c r="Y191" s="58">
        <f>INDEX('Weights and Seed Amounts'!D$2:D$400,$X191)</f>
        <v>0.2145</v>
      </c>
      <c r="Z191" s="34">
        <f>INDEX(Xtradata!U$2:U$397,$D191)</f>
        <v>0</v>
      </c>
    </row>
    <row r="192" spans="1:26" x14ac:dyDescent="0.25">
      <c r="A192" s="2" t="s">
        <v>319</v>
      </c>
      <c r="B192" s="2" t="s">
        <v>320</v>
      </c>
      <c r="C192" s="2" t="s">
        <v>322</v>
      </c>
      <c r="D192" s="32">
        <f>MATCH(Xtradata!C192,Xtradata!C$2:C587,0)</f>
        <v>191</v>
      </c>
      <c r="E192" s="33">
        <f>INDEX(Xtradata!G$2:G$397,$D192)</f>
        <v>44330</v>
      </c>
      <c r="F192" s="33">
        <f>INDEX(Xtradata!H$2:H$397,$D192)</f>
        <v>44364</v>
      </c>
      <c r="G192" s="2">
        <v>64</v>
      </c>
      <c r="H192" s="2">
        <v>24</v>
      </c>
      <c r="I192" s="2">
        <v>0</v>
      </c>
      <c r="J192" s="33" t="str">
        <f>INDEX(Xtradata!J$2:J$397,$D192)</f>
        <v>N/A</v>
      </c>
      <c r="K192" s="34" t="str">
        <f>IF(J192="TZ",INDEX(Xtradata!P$2:P$397,$D192),IF(J192="clip",INDEX(Xtradata!K$2:K$397,$D192),""))</f>
        <v/>
      </c>
      <c r="L192" s="34" t="str">
        <f>IF($J192="TZ",INDEX(Xtradata!Q$2:Q$397,$D192),IF($J192="clip",INDEX(Xtradata!L$2:L$397,$D192),""))</f>
        <v/>
      </c>
      <c r="M192" s="34" t="str">
        <f>IF($J192="TZ",INDEX(Xtradata!R$2:R$397,$D192),IF($J192="clip",INDEX(Xtradata!M$2:M$397,$D192),""))</f>
        <v/>
      </c>
      <c r="N192" s="2">
        <v>40</v>
      </c>
      <c r="O192" s="34">
        <f>INDEX(Xtradata!T$2:T$397,$D192)</f>
        <v>0</v>
      </c>
      <c r="P192" s="38">
        <f t="shared" si="19"/>
        <v>0</v>
      </c>
      <c r="Q192" s="48">
        <f t="shared" si="20"/>
        <v>0.375</v>
      </c>
      <c r="R192" s="48">
        <f t="shared" si="21"/>
        <v>0.375</v>
      </c>
      <c r="S192" s="48">
        <f t="shared" si="26"/>
        <v>0</v>
      </c>
      <c r="T192" s="48">
        <f t="shared" si="22"/>
        <v>0.375</v>
      </c>
      <c r="U192" s="48">
        <f t="shared" si="23"/>
        <v>0.625</v>
      </c>
      <c r="V192" s="48">
        <f t="shared" si="24"/>
        <v>0</v>
      </c>
      <c r="W192" s="48">
        <f t="shared" si="25"/>
        <v>1</v>
      </c>
      <c r="X192" s="14">
        <f>MATCH(C192,'Weights and Seed Amounts'!C$2:C$400,0)</f>
        <v>191</v>
      </c>
      <c r="Y192" s="58">
        <f>INDEX('Weights and Seed Amounts'!D$2:D$400,$X192)</f>
        <v>0.111</v>
      </c>
      <c r="Z192" s="34">
        <f>INDEX(Xtradata!U$2:U$397,$D192)</f>
        <v>0</v>
      </c>
    </row>
    <row r="193" spans="1:26" x14ac:dyDescent="0.25">
      <c r="A193" s="2" t="s">
        <v>319</v>
      </c>
      <c r="B193" s="2" t="s">
        <v>323</v>
      </c>
      <c r="C193" s="2" t="s">
        <v>324</v>
      </c>
      <c r="D193" s="32">
        <f>MATCH(Xtradata!C193,Xtradata!C$2:C588,0)</f>
        <v>192</v>
      </c>
      <c r="E193" s="33">
        <f>INDEX(Xtradata!G$2:G$397,$D193)</f>
        <v>44330</v>
      </c>
      <c r="F193" s="33">
        <f>INDEX(Xtradata!H$2:H$397,$D193)</f>
        <v>44364</v>
      </c>
      <c r="G193" s="2">
        <v>74</v>
      </c>
      <c r="H193" s="2">
        <v>9</v>
      </c>
      <c r="I193" s="2">
        <v>0</v>
      </c>
      <c r="J193" s="33" t="str">
        <f>INDEX(Xtradata!J$2:J$397,$D193)</f>
        <v>N/A</v>
      </c>
      <c r="K193" s="34" t="str">
        <f>IF(J193="TZ",INDEX(Xtradata!P$2:P$397,$D193),IF(J193="clip",INDEX(Xtradata!K$2:K$397,$D193),""))</f>
        <v/>
      </c>
      <c r="L193" s="34" t="str">
        <f>IF($J193="TZ",INDEX(Xtradata!Q$2:Q$397,$D193),IF($J193="clip",INDEX(Xtradata!L$2:L$397,$D193),""))</f>
        <v/>
      </c>
      <c r="M193" s="34" t="str">
        <f>IF($J193="TZ",INDEX(Xtradata!R$2:R$397,$D193),IF($J193="clip",INDEX(Xtradata!M$2:M$397,$D193),""))</f>
        <v/>
      </c>
      <c r="N193" s="2">
        <v>65</v>
      </c>
      <c r="O193" s="34">
        <f>INDEX(Xtradata!T$2:T$397,$D193)</f>
        <v>0</v>
      </c>
      <c r="P193" s="38">
        <f t="shared" si="19"/>
        <v>0</v>
      </c>
      <c r="Q193" s="48">
        <f t="shared" si="20"/>
        <v>0.12162162162162163</v>
      </c>
      <c r="R193" s="48">
        <f t="shared" si="21"/>
        <v>0.12162162162162163</v>
      </c>
      <c r="S193" s="48">
        <f t="shared" si="26"/>
        <v>0</v>
      </c>
      <c r="T193" s="48">
        <f t="shared" si="22"/>
        <v>0.12162162162162163</v>
      </c>
      <c r="U193" s="48">
        <f t="shared" si="23"/>
        <v>0.8783783783783784</v>
      </c>
      <c r="V193" s="48">
        <f t="shared" si="24"/>
        <v>0</v>
      </c>
      <c r="W193" s="48">
        <f t="shared" si="25"/>
        <v>1</v>
      </c>
      <c r="X193" s="14">
        <f>MATCH(C193,'Weights and Seed Amounts'!C$2:C$400,0)</f>
        <v>192</v>
      </c>
      <c r="Y193" s="58">
        <f>INDEX('Weights and Seed Amounts'!D$2:D$400,$X193)</f>
        <v>6.0600000000000001E-2</v>
      </c>
      <c r="Z193" s="34">
        <f>INDEX(Xtradata!U$2:U$397,$D193)</f>
        <v>0</v>
      </c>
    </row>
    <row r="194" spans="1:26" x14ac:dyDescent="0.25">
      <c r="A194" s="2" t="s">
        <v>319</v>
      </c>
      <c r="B194" s="2" t="s">
        <v>323</v>
      </c>
      <c r="C194" s="2" t="s">
        <v>325</v>
      </c>
      <c r="D194" s="32">
        <f>MATCH(Xtradata!C194,Xtradata!C$2:C589,0)</f>
        <v>193</v>
      </c>
      <c r="E194" s="33">
        <f>INDEX(Xtradata!G$2:G$397,$D194)</f>
        <v>44330</v>
      </c>
      <c r="F194" s="33">
        <f>INDEX(Xtradata!H$2:H$397,$D194)</f>
        <v>44364</v>
      </c>
      <c r="G194" s="2">
        <v>94</v>
      </c>
      <c r="H194" s="2">
        <v>11</v>
      </c>
      <c r="I194" s="2">
        <v>0</v>
      </c>
      <c r="J194" s="33" t="str">
        <f>INDEX(Xtradata!J$2:J$397,$D194)</f>
        <v>N/A</v>
      </c>
      <c r="K194" s="34" t="str">
        <f>IF(J194="TZ",INDEX(Xtradata!P$2:P$397,$D194),IF(J194="clip",INDEX(Xtradata!K$2:K$397,$D194),""))</f>
        <v/>
      </c>
      <c r="L194" s="34" t="str">
        <f>IF($J194="TZ",INDEX(Xtradata!Q$2:Q$397,$D194),IF($J194="clip",INDEX(Xtradata!L$2:L$397,$D194),""))</f>
        <v/>
      </c>
      <c r="M194" s="34" t="str">
        <f>IF($J194="TZ",INDEX(Xtradata!R$2:R$397,$D194),IF($J194="clip",INDEX(Xtradata!M$2:M$397,$D194),""))</f>
        <v/>
      </c>
      <c r="N194" s="2">
        <v>83</v>
      </c>
      <c r="O194" s="34">
        <f>INDEX(Xtradata!T$2:T$397,$D194)</f>
        <v>0</v>
      </c>
      <c r="P194" s="38">
        <f t="shared" si="19"/>
        <v>0</v>
      </c>
      <c r="Q194" s="48">
        <f t="shared" si="20"/>
        <v>0.11702127659574468</v>
      </c>
      <c r="R194" s="48">
        <f t="shared" si="21"/>
        <v>0.11702127659574468</v>
      </c>
      <c r="S194" s="48">
        <f t="shared" si="26"/>
        <v>0</v>
      </c>
      <c r="T194" s="48">
        <f t="shared" si="22"/>
        <v>0.11702127659574468</v>
      </c>
      <c r="U194" s="48">
        <f t="shared" si="23"/>
        <v>0.88297872340425532</v>
      </c>
      <c r="V194" s="48">
        <f t="shared" si="24"/>
        <v>0</v>
      </c>
      <c r="W194" s="48">
        <f t="shared" si="25"/>
        <v>1</v>
      </c>
      <c r="X194" s="14">
        <f>MATCH(C194,'Weights and Seed Amounts'!C$2:C$400,0)</f>
        <v>193</v>
      </c>
      <c r="Y194" s="58">
        <f>INDEX('Weights and Seed Amounts'!D$2:D$400,$X194)</f>
        <v>7.2599999999999998E-2</v>
      </c>
      <c r="Z194" s="34">
        <f>INDEX(Xtradata!U$2:U$397,$D194)</f>
        <v>0</v>
      </c>
    </row>
    <row r="195" spans="1:26" x14ac:dyDescent="0.25">
      <c r="A195" s="2" t="s">
        <v>319</v>
      </c>
      <c r="B195" s="2" t="s">
        <v>323</v>
      </c>
      <c r="C195" s="2" t="s">
        <v>326</v>
      </c>
      <c r="D195" s="32">
        <f>MATCH(Xtradata!C195,Xtradata!C$2:C590,0)</f>
        <v>194</v>
      </c>
      <c r="E195" s="33">
        <f>INDEX(Xtradata!G$2:G$397,$D195)</f>
        <v>44330</v>
      </c>
      <c r="F195" s="33">
        <f>INDEX(Xtradata!H$2:H$397,$D195)</f>
        <v>44364</v>
      </c>
      <c r="G195" s="2">
        <v>80</v>
      </c>
      <c r="H195" s="2">
        <v>9</v>
      </c>
      <c r="I195" s="2">
        <v>0</v>
      </c>
      <c r="J195" s="33" t="str">
        <f>INDEX(Xtradata!J$2:J$397,$D195)</f>
        <v>N/A</v>
      </c>
      <c r="K195" s="34" t="str">
        <f>IF(J195="TZ",INDEX(Xtradata!P$2:P$397,$D195),IF(J195="clip",INDEX(Xtradata!K$2:K$397,$D195),""))</f>
        <v/>
      </c>
      <c r="L195" s="34" t="str">
        <f>IF($J195="TZ",INDEX(Xtradata!Q$2:Q$397,$D195),IF($J195="clip",INDEX(Xtradata!L$2:L$397,$D195),""))</f>
        <v/>
      </c>
      <c r="M195" s="34" t="str">
        <f>IF($J195="TZ",INDEX(Xtradata!R$2:R$397,$D195),IF($J195="clip",INDEX(Xtradata!M$2:M$397,$D195),""))</f>
        <v/>
      </c>
      <c r="N195" s="2">
        <v>71</v>
      </c>
      <c r="O195" s="34">
        <f>INDEX(Xtradata!T$2:T$397,$D195)</f>
        <v>0</v>
      </c>
      <c r="P195" s="38">
        <f t="shared" ref="P195:P258" si="27">IF(G195=0,K195-SUM(L195,M195,N195,O195),G195-SUM(H195,I195,L195,M195,N195,O195))</f>
        <v>0</v>
      </c>
      <c r="Q195" s="48">
        <f t="shared" ref="Q195:Q258" si="28">IF($G195=0,"",H195/$G195)</f>
        <v>0.1125</v>
      </c>
      <c r="R195" s="48">
        <f t="shared" ref="R195:R258" si="29">IF($G195=0,"",IF(J195="clip",(H195+I195+L195)/$G195,(H195+I195)/$G195))</f>
        <v>0.1125</v>
      </c>
      <c r="S195" s="48">
        <f t="shared" si="26"/>
        <v>0</v>
      </c>
      <c r="T195" s="48">
        <f t="shared" ref="T195:T258" si="30">IF($G195=0,IF(J195="TZ",(L195)/$K195,""),IF(J195="N/A",(H195+I195)/$G195, (H195+I195+L195)/$G195))</f>
        <v>0.1125</v>
      </c>
      <c r="U195" s="48">
        <f t="shared" ref="U195:U258" si="31">IFERROR(N195/G195,IFERROR(N195/K195,""))</f>
        <v>0.88749999999999996</v>
      </c>
      <c r="V195" s="48">
        <f t="shared" ref="V195:V258" si="32">IFERROR(1-T195-U195,IFERROR(1-T195,""))</f>
        <v>0</v>
      </c>
      <c r="W195" s="48">
        <f t="shared" si="25"/>
        <v>1</v>
      </c>
      <c r="X195" s="14">
        <f>MATCH(C195,'Weights and Seed Amounts'!C$2:C$400,0)</f>
        <v>194</v>
      </c>
      <c r="Y195" s="58">
        <f>INDEX('Weights and Seed Amounts'!D$2:D$400,$X195)</f>
        <v>6.7199999999999996E-2</v>
      </c>
      <c r="Z195" s="34">
        <f>INDEX(Xtradata!U$2:U$397,$D195)</f>
        <v>0</v>
      </c>
    </row>
    <row r="196" spans="1:26" x14ac:dyDescent="0.25">
      <c r="A196" s="2" t="s">
        <v>319</v>
      </c>
      <c r="B196" s="2" t="s">
        <v>323</v>
      </c>
      <c r="C196" s="2" t="s">
        <v>327</v>
      </c>
      <c r="D196" s="32">
        <f>MATCH(Xtradata!C196,Xtradata!C$2:C591,0)</f>
        <v>195</v>
      </c>
      <c r="E196" s="33">
        <f>INDEX(Xtradata!G$2:G$397,$D196)</f>
        <v>44336</v>
      </c>
      <c r="F196" s="33">
        <f>INDEX(Xtradata!H$2:H$397,$D196)</f>
        <v>44371</v>
      </c>
      <c r="G196" s="2">
        <v>100</v>
      </c>
      <c r="H196" s="2">
        <v>25</v>
      </c>
      <c r="I196" s="2">
        <v>0</v>
      </c>
      <c r="J196" s="33" t="str">
        <f>INDEX(Xtradata!J$2:J$397,$D196)</f>
        <v>N/A</v>
      </c>
      <c r="K196" s="34" t="str">
        <f>IF(J196="TZ",INDEX(Xtradata!P$2:P$397,$D196),IF(J196="clip",INDEX(Xtradata!K$2:K$397,$D196),""))</f>
        <v/>
      </c>
      <c r="L196" s="34" t="str">
        <f>IF($J196="TZ",INDEX(Xtradata!Q$2:Q$397,$D196),IF($J196="clip",INDEX(Xtradata!L$2:L$397,$D196),""))</f>
        <v/>
      </c>
      <c r="M196" s="34" t="str">
        <f>IF($J196="TZ",INDEX(Xtradata!R$2:R$397,$D196),IF($J196="clip",INDEX(Xtradata!M$2:M$397,$D196),""))</f>
        <v/>
      </c>
      <c r="N196" s="2">
        <v>75</v>
      </c>
      <c r="O196" s="34">
        <f>INDEX(Xtradata!T$2:T$397,$D196)</f>
        <v>0</v>
      </c>
      <c r="P196" s="38">
        <f t="shared" si="27"/>
        <v>0</v>
      </c>
      <c r="Q196" s="48">
        <f t="shared" si="28"/>
        <v>0.25</v>
      </c>
      <c r="R196" s="48">
        <f t="shared" si="29"/>
        <v>0.25</v>
      </c>
      <c r="S196" s="48">
        <f t="shared" si="26"/>
        <v>0</v>
      </c>
      <c r="T196" s="48">
        <f t="shared" si="30"/>
        <v>0.25</v>
      </c>
      <c r="U196" s="48">
        <f t="shared" si="31"/>
        <v>0.75</v>
      </c>
      <c r="V196" s="48">
        <f t="shared" si="32"/>
        <v>0</v>
      </c>
      <c r="W196" s="48">
        <f t="shared" si="25"/>
        <v>1</v>
      </c>
      <c r="X196" s="14">
        <f>MATCH(C196,'Weights and Seed Amounts'!C$2:C$400,0)</f>
        <v>195</v>
      </c>
      <c r="Y196" s="58">
        <f>INDEX('Weights and Seed Amounts'!D$2:D$400,$X196)</f>
        <v>0.1028</v>
      </c>
      <c r="Z196" s="34">
        <f>INDEX(Xtradata!U$2:U$397,$D196)</f>
        <v>0</v>
      </c>
    </row>
    <row r="197" spans="1:26" x14ac:dyDescent="0.25">
      <c r="A197" s="2" t="s">
        <v>319</v>
      </c>
      <c r="B197" s="2" t="s">
        <v>323</v>
      </c>
      <c r="C197" s="2" t="s">
        <v>328</v>
      </c>
      <c r="D197" s="32">
        <f>MATCH(Xtradata!C197,Xtradata!C$2:C592,0)</f>
        <v>196</v>
      </c>
      <c r="E197" s="33">
        <f>INDEX(Xtradata!G$2:G$397,$D197)</f>
        <v>44336</v>
      </c>
      <c r="F197" s="33">
        <f>INDEX(Xtradata!H$2:H$397,$D197)</f>
        <v>44371</v>
      </c>
      <c r="G197" s="2">
        <v>100</v>
      </c>
      <c r="H197" s="2">
        <v>26</v>
      </c>
      <c r="I197" s="2">
        <v>0</v>
      </c>
      <c r="J197" s="33" t="str">
        <f>INDEX(Xtradata!J$2:J$397,$D197)</f>
        <v>N/A</v>
      </c>
      <c r="K197" s="34" t="str">
        <f>IF(J197="TZ",INDEX(Xtradata!P$2:P$397,$D197),IF(J197="clip",INDEX(Xtradata!K$2:K$397,$D197),""))</f>
        <v/>
      </c>
      <c r="L197" s="34" t="str">
        <f>IF($J197="TZ",INDEX(Xtradata!Q$2:Q$397,$D197),IF($J197="clip",INDEX(Xtradata!L$2:L$397,$D197),""))</f>
        <v/>
      </c>
      <c r="M197" s="34" t="str">
        <f>IF($J197="TZ",INDEX(Xtradata!R$2:R$397,$D197),IF($J197="clip",INDEX(Xtradata!M$2:M$397,$D197),""))</f>
        <v/>
      </c>
      <c r="N197" s="2">
        <v>74</v>
      </c>
      <c r="O197" s="34">
        <f>INDEX(Xtradata!T$2:T$397,$D197)</f>
        <v>0</v>
      </c>
      <c r="P197" s="38">
        <f t="shared" si="27"/>
        <v>0</v>
      </c>
      <c r="Q197" s="48">
        <f t="shared" si="28"/>
        <v>0.26</v>
      </c>
      <c r="R197" s="48">
        <f t="shared" si="29"/>
        <v>0.26</v>
      </c>
      <c r="S197" s="48">
        <f t="shared" si="26"/>
        <v>0</v>
      </c>
      <c r="T197" s="48">
        <f t="shared" si="30"/>
        <v>0.26</v>
      </c>
      <c r="U197" s="48">
        <f t="shared" si="31"/>
        <v>0.74</v>
      </c>
      <c r="V197" s="48">
        <f t="shared" si="32"/>
        <v>0</v>
      </c>
      <c r="W197" s="48">
        <f t="shared" ref="W197:W260" si="33">SUM(R197,S197,U197,V197)</f>
        <v>1</v>
      </c>
      <c r="X197" s="14">
        <f>MATCH(C197,'Weights and Seed Amounts'!C$2:C$400,0)</f>
        <v>196</v>
      </c>
      <c r="Y197" s="58">
        <f>INDEX('Weights and Seed Amounts'!D$2:D$400,$X197)</f>
        <v>1.0279999999999999E-2</v>
      </c>
      <c r="Z197" s="34">
        <f>INDEX(Xtradata!U$2:U$397,$D197)</f>
        <v>0</v>
      </c>
    </row>
    <row r="198" spans="1:26" x14ac:dyDescent="0.25">
      <c r="A198" s="2" t="s">
        <v>319</v>
      </c>
      <c r="B198" s="2" t="s">
        <v>323</v>
      </c>
      <c r="C198" s="2" t="s">
        <v>329</v>
      </c>
      <c r="D198" s="32">
        <f>MATCH(Xtradata!C198,Xtradata!C$2:C593,0)</f>
        <v>197</v>
      </c>
      <c r="E198" s="33">
        <f>INDEX(Xtradata!G$2:G$397,$D198)</f>
        <v>44336</v>
      </c>
      <c r="F198" s="33">
        <f>INDEX(Xtradata!H$2:H$397,$D198)</f>
        <v>44371</v>
      </c>
      <c r="G198" s="41">
        <f>101+1</f>
        <v>102</v>
      </c>
      <c r="H198" s="2">
        <v>37</v>
      </c>
      <c r="I198" s="2">
        <v>0</v>
      </c>
      <c r="J198" s="33" t="str">
        <f>INDEX(Xtradata!J$2:J$397,$D198)</f>
        <v>N/A</v>
      </c>
      <c r="K198" s="34" t="str">
        <f>IF(J198="TZ",INDEX(Xtradata!P$2:P$397,$D198),IF(J198="clip",INDEX(Xtradata!K$2:K$397,$D198),""))</f>
        <v/>
      </c>
      <c r="L198" s="34" t="str">
        <f>IF($J198="TZ",INDEX(Xtradata!Q$2:Q$397,$D198),IF($J198="clip",INDEX(Xtradata!L$2:L$397,$D198),""))</f>
        <v/>
      </c>
      <c r="M198" s="34" t="str">
        <f>IF($J198="TZ",INDEX(Xtradata!R$2:R$397,$D198),IF($J198="clip",INDEX(Xtradata!M$2:M$397,$D198),""))</f>
        <v/>
      </c>
      <c r="N198" s="2">
        <v>64</v>
      </c>
      <c r="O198" s="34">
        <f>INDEX(Xtradata!T$2:T$397,$D198)</f>
        <v>1</v>
      </c>
      <c r="P198" s="38">
        <f t="shared" si="27"/>
        <v>0</v>
      </c>
      <c r="Q198" s="48">
        <f t="shared" si="28"/>
        <v>0.36274509803921567</v>
      </c>
      <c r="R198" s="48">
        <f t="shared" si="29"/>
        <v>0.36274509803921567</v>
      </c>
      <c r="S198" s="48">
        <f t="shared" si="26"/>
        <v>0</v>
      </c>
      <c r="T198" s="48">
        <f t="shared" si="30"/>
        <v>0.36274509803921567</v>
      </c>
      <c r="U198" s="48">
        <f t="shared" si="31"/>
        <v>0.62745098039215685</v>
      </c>
      <c r="V198" s="48">
        <f t="shared" si="32"/>
        <v>9.8039215686274161E-3</v>
      </c>
      <c r="W198" s="48">
        <f t="shared" si="33"/>
        <v>1</v>
      </c>
      <c r="X198" s="14">
        <f>MATCH(C198,'Weights and Seed Amounts'!C$2:C$400,0)</f>
        <v>197</v>
      </c>
      <c r="Y198" s="58">
        <f>INDEX('Weights and Seed Amounts'!D$2:D$400,$X198)</f>
        <v>0.11409999999999999</v>
      </c>
      <c r="Z198" s="34">
        <f>INDEX(Xtradata!U$2:U$397,$D198)</f>
        <v>0</v>
      </c>
    </row>
    <row r="199" spans="1:26" x14ac:dyDescent="0.25">
      <c r="A199" s="2" t="s">
        <v>319</v>
      </c>
      <c r="B199" s="2" t="s">
        <v>323</v>
      </c>
      <c r="C199" s="2" t="s">
        <v>330</v>
      </c>
      <c r="D199" s="32">
        <f>MATCH(Xtradata!C199,Xtradata!C$2:C594,0)</f>
        <v>198</v>
      </c>
      <c r="E199" s="33">
        <f>INDEX(Xtradata!G$2:G$397,$D199)</f>
        <v>44336</v>
      </c>
      <c r="F199" s="33">
        <f>INDEX(Xtradata!H$2:H$397,$D199)</f>
        <v>44371</v>
      </c>
      <c r="G199" s="2">
        <v>100</v>
      </c>
      <c r="H199" s="2">
        <v>18</v>
      </c>
      <c r="I199" s="2">
        <v>0</v>
      </c>
      <c r="J199" s="33" t="str">
        <f>INDEX(Xtradata!J$2:J$397,$D199)</f>
        <v>N/A</v>
      </c>
      <c r="K199" s="34" t="str">
        <f>IF(J199="TZ",INDEX(Xtradata!P$2:P$397,$D199),IF(J199="clip",INDEX(Xtradata!K$2:K$397,$D199),""))</f>
        <v/>
      </c>
      <c r="L199" s="34" t="str">
        <f>IF($J199="TZ",INDEX(Xtradata!Q$2:Q$397,$D199),IF($J199="clip",INDEX(Xtradata!L$2:L$397,$D199),""))</f>
        <v/>
      </c>
      <c r="M199" s="34" t="str">
        <f>IF($J199="TZ",INDEX(Xtradata!R$2:R$397,$D199),IF($J199="clip",INDEX(Xtradata!M$2:M$397,$D199),""))</f>
        <v/>
      </c>
      <c r="N199" s="2">
        <v>82</v>
      </c>
      <c r="O199" s="34">
        <f>INDEX(Xtradata!T$2:T$397,$D199)</f>
        <v>0</v>
      </c>
      <c r="P199" s="38">
        <f t="shared" si="27"/>
        <v>0</v>
      </c>
      <c r="Q199" s="48">
        <f t="shared" si="28"/>
        <v>0.18</v>
      </c>
      <c r="R199" s="48">
        <f t="shared" si="29"/>
        <v>0.18</v>
      </c>
      <c r="S199" s="48">
        <f t="shared" si="26"/>
        <v>0</v>
      </c>
      <c r="T199" s="48">
        <f t="shared" si="30"/>
        <v>0.18</v>
      </c>
      <c r="U199" s="48">
        <f t="shared" si="31"/>
        <v>0.82</v>
      </c>
      <c r="V199" s="48">
        <f t="shared" si="32"/>
        <v>1.1102230246251565E-16</v>
      </c>
      <c r="W199" s="48">
        <f t="shared" si="33"/>
        <v>1</v>
      </c>
      <c r="X199" s="14">
        <f>MATCH(C199,'Weights and Seed Amounts'!C$2:C$400,0)</f>
        <v>198</v>
      </c>
      <c r="Y199" s="58">
        <f>INDEX('Weights and Seed Amounts'!D$2:D$400,$X199)</f>
        <v>9.6299999999999997E-2</v>
      </c>
      <c r="Z199" s="34">
        <f>INDEX(Xtradata!U$2:U$397,$D199)</f>
        <v>0</v>
      </c>
    </row>
    <row r="200" spans="1:26" x14ac:dyDescent="0.25">
      <c r="A200" s="2" t="s">
        <v>331</v>
      </c>
      <c r="B200" s="2" t="s">
        <v>332</v>
      </c>
      <c r="C200" s="2" t="s">
        <v>333</v>
      </c>
      <c r="D200" s="32">
        <f>MATCH(Xtradata!C200,Xtradata!C$2:C595,0)</f>
        <v>199</v>
      </c>
      <c r="E200" s="33" t="str">
        <f>INDEX(Xtradata!G$2:G$397,$D200)</f>
        <v>N/A</v>
      </c>
      <c r="F200" s="33" t="str">
        <f>INDEX(Xtradata!H$2:H$397,$D200)</f>
        <v>N/A</v>
      </c>
      <c r="G200" s="2">
        <v>0</v>
      </c>
      <c r="H200" s="2" t="s">
        <v>581</v>
      </c>
      <c r="I200" s="2" t="s">
        <v>581</v>
      </c>
      <c r="J200" s="33" t="str">
        <f>INDEX(Xtradata!J$2:J$397,$D200)</f>
        <v>N/A</v>
      </c>
      <c r="K200" s="34" t="str">
        <f>IF(J200="TZ",INDEX(Xtradata!P$2:P$397,$D200),IF(J200="clip",INDEX(Xtradata!K$2:K$397,$D200),""))</f>
        <v/>
      </c>
      <c r="L200" s="34" t="str">
        <f>IF($J200="TZ",INDEX(Xtradata!Q$2:Q$397,$D200),IF($J200="clip",INDEX(Xtradata!L$2:L$397,$D200),""))</f>
        <v/>
      </c>
      <c r="M200" s="34" t="str">
        <f>IF($J200="TZ",INDEX(Xtradata!R$2:R$397,$D200),IF($J200="clip",INDEX(Xtradata!M$2:M$397,$D200),""))</f>
        <v/>
      </c>
      <c r="N200" s="2" t="s">
        <v>581</v>
      </c>
      <c r="O200" s="34" t="str">
        <f>INDEX(Xtradata!T$2:T$397,$D200)</f>
        <v>N/A</v>
      </c>
      <c r="P200" s="38" t="e">
        <f t="shared" si="27"/>
        <v>#VALUE!</v>
      </c>
      <c r="Q200" s="48" t="str">
        <f t="shared" si="28"/>
        <v/>
      </c>
      <c r="R200" s="48" t="str">
        <f t="shared" si="29"/>
        <v/>
      </c>
      <c r="S200" s="48" t="str">
        <f t="shared" ref="S200:S263" si="34">IF($G200=0,"",IF(J200="N/A",0,L200/$G200))</f>
        <v/>
      </c>
      <c r="T200" s="48" t="str">
        <f t="shared" si="30"/>
        <v/>
      </c>
      <c r="U200" s="48" t="str">
        <f t="shared" si="31"/>
        <v/>
      </c>
      <c r="V200" s="48" t="str">
        <f t="shared" si="32"/>
        <v/>
      </c>
      <c r="W200" s="48">
        <f t="shared" si="33"/>
        <v>0</v>
      </c>
      <c r="X200" s="14">
        <f>MATCH(C200,'Weights and Seed Amounts'!C$2:C$400,0)</f>
        <v>199</v>
      </c>
      <c r="Y200" s="58">
        <f>INDEX('Weights and Seed Amounts'!D$2:D$400,$X200)</f>
        <v>0</v>
      </c>
      <c r="Z200" s="34" t="str">
        <f>INDEX(Xtradata!U$2:U$397,$D200)</f>
        <v xml:space="preserve">Seeds were  found to be too moldy to clean and test. The sample was discarded. </v>
      </c>
    </row>
    <row r="201" spans="1:26" x14ac:dyDescent="0.25">
      <c r="A201" s="2" t="s">
        <v>334</v>
      </c>
      <c r="B201" s="2" t="s">
        <v>335</v>
      </c>
      <c r="C201" s="2" t="s">
        <v>336</v>
      </c>
      <c r="D201" s="32">
        <f>MATCH(Xtradata!C201,Xtradata!C$2:C596,0)</f>
        <v>200</v>
      </c>
      <c r="E201" s="33">
        <f>INDEX(Xtradata!G$2:G$397,$D201)</f>
        <v>44368</v>
      </c>
      <c r="F201" s="33">
        <f>INDEX(Xtradata!H$2:H$397,$D201)</f>
        <v>44431</v>
      </c>
      <c r="G201" s="2">
        <v>100</v>
      </c>
      <c r="H201" s="2">
        <v>31</v>
      </c>
      <c r="I201" s="2">
        <v>0</v>
      </c>
      <c r="J201" s="33" t="str">
        <f>INDEX(Xtradata!J$2:J$397,$D201)</f>
        <v>N/A</v>
      </c>
      <c r="K201" s="34" t="str">
        <f>IF(J201="TZ",INDEX(Xtradata!P$2:P$397,$D201),IF(J201="clip",INDEX(Xtradata!K$2:K$397,$D201),""))</f>
        <v/>
      </c>
      <c r="L201" s="34" t="str">
        <f>IF($J201="TZ",INDEX(Xtradata!Q$2:Q$397,$D201),IF($J201="clip",INDEX(Xtradata!L$2:L$397,$D201),""))</f>
        <v/>
      </c>
      <c r="M201" s="34" t="str">
        <f>IF($J201="TZ",INDEX(Xtradata!R$2:R$397,$D201),IF($J201="clip",INDEX(Xtradata!M$2:M$397,$D201),""))</f>
        <v/>
      </c>
      <c r="N201" s="2">
        <v>69</v>
      </c>
      <c r="O201" s="34">
        <f>INDEX(Xtradata!T$2:T$397,$D201)</f>
        <v>0</v>
      </c>
      <c r="P201" s="38">
        <f t="shared" si="27"/>
        <v>0</v>
      </c>
      <c r="Q201" s="48">
        <f t="shared" si="28"/>
        <v>0.31</v>
      </c>
      <c r="R201" s="48">
        <f t="shared" si="29"/>
        <v>0.31</v>
      </c>
      <c r="S201" s="48">
        <f t="shared" si="34"/>
        <v>0</v>
      </c>
      <c r="T201" s="48">
        <f t="shared" si="30"/>
        <v>0.31</v>
      </c>
      <c r="U201" s="48">
        <f t="shared" si="31"/>
        <v>0.69</v>
      </c>
      <c r="V201" s="48">
        <f t="shared" si="32"/>
        <v>0</v>
      </c>
      <c r="W201" s="48">
        <f t="shared" si="33"/>
        <v>1</v>
      </c>
      <c r="X201" s="14">
        <f>MATCH(C201,'Weights and Seed Amounts'!C$2:C$400,0)</f>
        <v>200</v>
      </c>
      <c r="Y201" s="58">
        <f>INDEX('Weights and Seed Amounts'!D$2:D$400,$X201)</f>
        <v>0.43159999999999998</v>
      </c>
      <c r="Z201" s="34">
        <f>INDEX(Xtradata!U$2:U$397,$D201)</f>
        <v>0</v>
      </c>
    </row>
    <row r="202" spans="1:26" x14ac:dyDescent="0.25">
      <c r="A202" s="2" t="s">
        <v>337</v>
      </c>
      <c r="B202" s="2" t="s">
        <v>294</v>
      </c>
      <c r="C202" s="2" t="s">
        <v>338</v>
      </c>
      <c r="D202" s="32">
        <f>MATCH(Xtradata!C202,Xtradata!C$2:C597,0)</f>
        <v>201</v>
      </c>
      <c r="E202" s="33" t="str">
        <f>INDEX(Xtradata!G$2:G$397,$D202)</f>
        <v>N/A</v>
      </c>
      <c r="F202" s="33" t="str">
        <f>INDEX(Xtradata!H$2:H$397,$D202)</f>
        <v>N/A</v>
      </c>
      <c r="G202" s="2">
        <v>0</v>
      </c>
      <c r="H202" s="2" t="s">
        <v>581</v>
      </c>
      <c r="I202" s="2" t="s">
        <v>581</v>
      </c>
      <c r="J202" s="33" t="str">
        <f>INDEX(Xtradata!J$2:J$397,$D202)</f>
        <v>N/A</v>
      </c>
      <c r="K202" s="34" t="str">
        <f>IF(J202="TZ",INDEX(Xtradata!P$2:P$397,$D202),IF(J202="clip",INDEX(Xtradata!K$2:K$397,$D202),""))</f>
        <v/>
      </c>
      <c r="L202" s="34" t="str">
        <f>IF($J202="TZ",INDEX(Xtradata!Q$2:Q$397,$D202),IF($J202="clip",INDEX(Xtradata!L$2:L$397,$D202),""))</f>
        <v/>
      </c>
      <c r="M202" s="34" t="str">
        <f>IF($J202="TZ",INDEX(Xtradata!R$2:R$397,$D202),IF($J202="clip",INDEX(Xtradata!M$2:M$397,$D202),""))</f>
        <v/>
      </c>
      <c r="N202" s="2" t="s">
        <v>581</v>
      </c>
      <c r="O202" s="34" t="str">
        <f>INDEX(Xtradata!T$2:T$397,$D202)</f>
        <v>N/A</v>
      </c>
      <c r="P202" s="38" t="e">
        <f t="shared" si="27"/>
        <v>#VALUE!</v>
      </c>
      <c r="Q202" s="48" t="str">
        <f t="shared" si="28"/>
        <v/>
      </c>
      <c r="R202" s="48" t="str">
        <f t="shared" si="29"/>
        <v/>
      </c>
      <c r="S202" s="48" t="str">
        <f t="shared" si="34"/>
        <v/>
      </c>
      <c r="T202" s="48" t="str">
        <f t="shared" si="30"/>
        <v/>
      </c>
      <c r="U202" s="48" t="str">
        <f t="shared" si="31"/>
        <v/>
      </c>
      <c r="V202" s="48" t="str">
        <f t="shared" si="32"/>
        <v/>
      </c>
      <c r="W202" s="48">
        <f t="shared" si="33"/>
        <v>0</v>
      </c>
      <c r="X202" s="14">
        <f>MATCH(C202,'Weights and Seed Amounts'!C$2:C$400,0)</f>
        <v>201</v>
      </c>
      <c r="Y202" s="58" t="str">
        <f>INDEX('Weights and Seed Amounts'!D$2:D$400,$X202)</f>
        <v>N/A</v>
      </c>
      <c r="Z202" s="34" t="str">
        <f>INDEX(Xtradata!U$2:U$397,$D202)</f>
        <v>Sample on packing list but not included in shipment</v>
      </c>
    </row>
    <row r="203" spans="1:26" x14ac:dyDescent="0.25">
      <c r="A203" s="2" t="s">
        <v>339</v>
      </c>
      <c r="B203" s="2" t="s">
        <v>340</v>
      </c>
      <c r="C203" s="2" t="s">
        <v>341</v>
      </c>
      <c r="D203" s="32">
        <f>MATCH(Xtradata!C203,Xtradata!C$2:C598,0)</f>
        <v>202</v>
      </c>
      <c r="E203" s="33">
        <f>INDEX(Xtradata!G$2:G$397,$D203)</f>
        <v>44368</v>
      </c>
      <c r="F203" s="33">
        <f>INDEX(Xtradata!H$2:H$397,$D203)</f>
        <v>44413</v>
      </c>
      <c r="G203" s="2">
        <v>100</v>
      </c>
      <c r="H203" s="2">
        <v>0</v>
      </c>
      <c r="I203" s="2">
        <v>0</v>
      </c>
      <c r="J203" s="33" t="str">
        <f>INDEX(Xtradata!J$2:J$397,$D203)</f>
        <v>TZ</v>
      </c>
      <c r="K203" s="34">
        <f>IF(J203="TZ",INDEX(Xtradata!P$2:P$397,$D203),IF(J203="clip",INDEX(Xtradata!K$2:K$397,$D203),""))</f>
        <v>72</v>
      </c>
      <c r="L203" s="34">
        <f>IF($J203="TZ",INDEX(Xtradata!Q$2:Q$397,$D203),IF($J203="clip",INDEX(Xtradata!L$2:L$397,$D203),""))</f>
        <v>34</v>
      </c>
      <c r="M203" s="34">
        <f>IF($J203="TZ",INDEX(Xtradata!R$2:R$397,$D203),IF($J203="clip",INDEX(Xtradata!M$2:M$397,$D203),""))</f>
        <v>38</v>
      </c>
      <c r="N203" s="2">
        <v>27</v>
      </c>
      <c r="O203" s="34">
        <f>INDEX(Xtradata!T$2:T$397,$D203)</f>
        <v>1</v>
      </c>
      <c r="P203" s="38">
        <f t="shared" si="27"/>
        <v>0</v>
      </c>
      <c r="Q203" s="48">
        <f t="shared" si="28"/>
        <v>0</v>
      </c>
      <c r="R203" s="48">
        <f t="shared" si="29"/>
        <v>0</v>
      </c>
      <c r="S203" s="48">
        <f t="shared" si="34"/>
        <v>0.34</v>
      </c>
      <c r="T203" s="48">
        <f t="shared" si="30"/>
        <v>0.34</v>
      </c>
      <c r="U203" s="48">
        <f t="shared" si="31"/>
        <v>0.27</v>
      </c>
      <c r="V203" s="48">
        <f t="shared" si="32"/>
        <v>0.3899999999999999</v>
      </c>
      <c r="W203" s="48">
        <f t="shared" si="33"/>
        <v>1</v>
      </c>
      <c r="X203" s="14">
        <f>MATCH(C203,'Weights and Seed Amounts'!C$2:C$400,0)</f>
        <v>202</v>
      </c>
      <c r="Y203" s="58">
        <f>INDEX('Weights and Seed Amounts'!D$2:D$400,$X203)</f>
        <v>0.2697</v>
      </c>
      <c r="Z203" s="34">
        <f>INDEX(Xtradata!U$2:U$397,$D203)</f>
        <v>0</v>
      </c>
    </row>
    <row r="204" spans="1:26" x14ac:dyDescent="0.25">
      <c r="A204" s="2" t="s">
        <v>339</v>
      </c>
      <c r="B204" s="2" t="s">
        <v>340</v>
      </c>
      <c r="C204" s="2" t="s">
        <v>342</v>
      </c>
      <c r="D204" s="32">
        <f>MATCH(Xtradata!C204,Xtradata!C$2:C599,0)</f>
        <v>203</v>
      </c>
      <c r="E204" s="33">
        <f>INDEX(Xtradata!G$2:G$397,$D204)</f>
        <v>44368</v>
      </c>
      <c r="F204" s="33">
        <f>INDEX(Xtradata!H$2:H$397,$D204)</f>
        <v>44413</v>
      </c>
      <c r="G204" s="2">
        <v>100</v>
      </c>
      <c r="H204" s="2">
        <v>0</v>
      </c>
      <c r="I204" s="2">
        <v>0</v>
      </c>
      <c r="J204" s="33" t="str">
        <f>INDEX(Xtradata!J$2:J$397,$D204)</f>
        <v>TZ</v>
      </c>
      <c r="K204" s="34">
        <f>IF(J204="TZ",INDEX(Xtradata!P$2:P$397,$D204),IF(J204="clip",INDEX(Xtradata!K$2:K$397,$D204),""))</f>
        <v>83</v>
      </c>
      <c r="L204" s="34">
        <f>IF($J204="TZ",INDEX(Xtradata!Q$2:Q$397,$D204),IF($J204="clip",INDEX(Xtradata!L$2:L$397,$D204),""))</f>
        <v>41</v>
      </c>
      <c r="M204" s="34">
        <f>IF($J204="TZ",INDEX(Xtradata!R$2:R$397,$D204),IF($J204="clip",INDEX(Xtradata!M$2:M$397,$D204),""))</f>
        <v>42</v>
      </c>
      <c r="N204" s="2">
        <v>17</v>
      </c>
      <c r="O204" s="34">
        <f>INDEX(Xtradata!T$2:T$397,$D204)</f>
        <v>0</v>
      </c>
      <c r="P204" s="38">
        <f t="shared" si="27"/>
        <v>0</v>
      </c>
      <c r="Q204" s="48">
        <f t="shared" si="28"/>
        <v>0</v>
      </c>
      <c r="R204" s="48">
        <f t="shared" si="29"/>
        <v>0</v>
      </c>
      <c r="S204" s="48">
        <f t="shared" si="34"/>
        <v>0.41</v>
      </c>
      <c r="T204" s="48">
        <f t="shared" si="30"/>
        <v>0.41</v>
      </c>
      <c r="U204" s="48">
        <f t="shared" si="31"/>
        <v>0.17</v>
      </c>
      <c r="V204" s="48">
        <f t="shared" si="32"/>
        <v>0.42000000000000004</v>
      </c>
      <c r="W204" s="48">
        <f t="shared" si="33"/>
        <v>1</v>
      </c>
      <c r="X204" s="14">
        <f>MATCH(C204,'Weights and Seed Amounts'!C$2:C$400,0)</f>
        <v>203</v>
      </c>
      <c r="Y204" s="58">
        <f>INDEX('Weights and Seed Amounts'!D$2:D$400,$X204)</f>
        <v>0.32419999999999999</v>
      </c>
      <c r="Z204" s="34">
        <f>INDEX(Xtradata!U$2:U$397,$D204)</f>
        <v>0</v>
      </c>
    </row>
    <row r="205" spans="1:26" x14ac:dyDescent="0.25">
      <c r="A205" s="2" t="s">
        <v>339</v>
      </c>
      <c r="B205" s="2" t="s">
        <v>340</v>
      </c>
      <c r="C205" s="2" t="s">
        <v>343</v>
      </c>
      <c r="D205" s="32">
        <f>MATCH(Xtradata!C205,Xtradata!C$2:C600,0)</f>
        <v>204</v>
      </c>
      <c r="E205" s="33">
        <f>INDEX(Xtradata!G$2:G$397,$D205)</f>
        <v>44372</v>
      </c>
      <c r="F205" s="33">
        <f>INDEX(Xtradata!H$2:H$397,$D205)</f>
        <v>44413</v>
      </c>
      <c r="G205" s="2">
        <v>100</v>
      </c>
      <c r="H205" s="2">
        <v>0</v>
      </c>
      <c r="I205" s="2">
        <v>0</v>
      </c>
      <c r="J205" s="33" t="str">
        <f>INDEX(Xtradata!J$2:J$397,$D205)</f>
        <v>TZ</v>
      </c>
      <c r="K205" s="34">
        <f>IF(J205="TZ",INDEX(Xtradata!P$2:P$397,$D205),IF(J205="clip",INDEX(Xtradata!K$2:K$397,$D205),""))</f>
        <v>100</v>
      </c>
      <c r="L205" s="34">
        <f>IF($J205="TZ",INDEX(Xtradata!Q$2:Q$397,$D205),IF($J205="clip",INDEX(Xtradata!L$2:L$397,$D205),""))</f>
        <v>67</v>
      </c>
      <c r="M205" s="34">
        <f>IF($J205="TZ",INDEX(Xtradata!R$2:R$397,$D205),IF($J205="clip",INDEX(Xtradata!M$2:M$397,$D205),""))</f>
        <v>33</v>
      </c>
      <c r="N205" s="2">
        <v>0</v>
      </c>
      <c r="O205" s="34">
        <f>INDEX(Xtradata!T$2:T$397,$D205)</f>
        <v>0</v>
      </c>
      <c r="P205" s="38">
        <f t="shared" si="27"/>
        <v>0</v>
      </c>
      <c r="Q205" s="48">
        <f t="shared" si="28"/>
        <v>0</v>
      </c>
      <c r="R205" s="48">
        <f t="shared" si="29"/>
        <v>0</v>
      </c>
      <c r="S205" s="48">
        <f t="shared" si="34"/>
        <v>0.67</v>
      </c>
      <c r="T205" s="48">
        <f t="shared" si="30"/>
        <v>0.67</v>
      </c>
      <c r="U205" s="48">
        <f t="shared" si="31"/>
        <v>0</v>
      </c>
      <c r="V205" s="48">
        <f t="shared" si="32"/>
        <v>0.32999999999999996</v>
      </c>
      <c r="W205" s="48">
        <f t="shared" si="33"/>
        <v>1</v>
      </c>
      <c r="X205" s="14">
        <f>MATCH(C205,'Weights and Seed Amounts'!C$2:C$400,0)</f>
        <v>204</v>
      </c>
      <c r="Y205" s="58">
        <f>INDEX('Weights and Seed Amounts'!D$2:D$400,$X205)</f>
        <v>0.3211</v>
      </c>
      <c r="Z205" s="34">
        <f>INDEX(Xtradata!U$2:U$397,$D205)</f>
        <v>0</v>
      </c>
    </row>
    <row r="206" spans="1:26" x14ac:dyDescent="0.25">
      <c r="A206" s="2" t="s">
        <v>344</v>
      </c>
      <c r="B206" s="2" t="s">
        <v>345</v>
      </c>
      <c r="C206" s="2" t="s">
        <v>346</v>
      </c>
      <c r="D206" s="32">
        <f>MATCH(Xtradata!C206,Xtradata!C$2:C601,0)</f>
        <v>205</v>
      </c>
      <c r="E206" s="33">
        <f>INDEX(Xtradata!G$2:G$397,$D206)</f>
        <v>44309</v>
      </c>
      <c r="F206" s="33">
        <f>INDEX(Xtradata!H$2:H$397,$D206)</f>
        <v>44323</v>
      </c>
      <c r="G206" s="41">
        <f>100+4</f>
        <v>104</v>
      </c>
      <c r="H206" s="2">
        <v>0</v>
      </c>
      <c r="I206" s="2">
        <v>3</v>
      </c>
      <c r="J206" s="33" t="str">
        <f>INDEX(Xtradata!J$2:J$397,$D206)</f>
        <v>clip</v>
      </c>
      <c r="K206" s="34">
        <f>IF(J206="TZ",INDEX(Xtradata!P$2:P$397,$D206),IF(J206="clip",INDEX(Xtradata!K$2:K$397,$D206),""))</f>
        <v>100</v>
      </c>
      <c r="L206" s="34">
        <f>IF($J206="TZ",INDEX(Xtradata!Q$2:Q$397,$D206),IF($J206="clip",INDEX(Xtradata!L$2:L$397,$D206),""))</f>
        <v>87</v>
      </c>
      <c r="M206" s="34">
        <f>IF($J206="TZ",INDEX(Xtradata!R$2:R$397,$D206),IF($J206="clip",INDEX(Xtradata!M$2:M$397,$D206),""))</f>
        <v>13</v>
      </c>
      <c r="N206" s="2">
        <v>0</v>
      </c>
      <c r="O206" s="34">
        <f>INDEX(Xtradata!T$2:T$397,$D206)</f>
        <v>1</v>
      </c>
      <c r="P206" s="38">
        <f t="shared" si="27"/>
        <v>0</v>
      </c>
      <c r="Q206" s="48">
        <f t="shared" si="28"/>
        <v>0</v>
      </c>
      <c r="R206" s="48">
        <f t="shared" si="29"/>
        <v>0.86538461538461542</v>
      </c>
      <c r="S206" s="48">
        <f t="shared" si="34"/>
        <v>0.83653846153846156</v>
      </c>
      <c r="T206" s="48">
        <f t="shared" si="30"/>
        <v>0.86538461538461542</v>
      </c>
      <c r="U206" s="48">
        <f t="shared" si="31"/>
        <v>0</v>
      </c>
      <c r="V206" s="48">
        <f t="shared" si="32"/>
        <v>0.13461538461538458</v>
      </c>
      <c r="W206" s="48">
        <f t="shared" si="33"/>
        <v>1.8365384615384617</v>
      </c>
      <c r="X206" s="14">
        <f>MATCH(C206,'Weights and Seed Amounts'!C$2:C$400,0)</f>
        <v>205</v>
      </c>
      <c r="Y206" s="58">
        <f>INDEX('Weights and Seed Amounts'!D$2:D$400,$X206)</f>
        <v>0.65949999999999998</v>
      </c>
      <c r="Z206" s="34">
        <f>INDEX(Xtradata!U$2:U$397,$D206)</f>
        <v>0</v>
      </c>
    </row>
    <row r="207" spans="1:26" x14ac:dyDescent="0.25">
      <c r="A207" s="2" t="s">
        <v>344</v>
      </c>
      <c r="B207" s="2" t="s">
        <v>345</v>
      </c>
      <c r="C207" s="2" t="s">
        <v>347</v>
      </c>
      <c r="D207" s="32">
        <f>MATCH(Xtradata!C207,Xtradata!C$2:C602,0)</f>
        <v>206</v>
      </c>
      <c r="E207" s="33">
        <f>INDEX(Xtradata!G$2:G$397,$D207)</f>
        <v>44309</v>
      </c>
      <c r="F207" s="33">
        <f>INDEX(Xtradata!H$2:H$397,$D207)</f>
        <v>44323</v>
      </c>
      <c r="G207" s="2">
        <v>100</v>
      </c>
      <c r="H207" s="2">
        <v>2</v>
      </c>
      <c r="I207" s="2">
        <v>0</v>
      </c>
      <c r="J207" s="33" t="str">
        <f>INDEX(Xtradata!J$2:J$397,$D207)</f>
        <v>clip</v>
      </c>
      <c r="K207" s="34">
        <f>IF(J207="TZ",INDEX(Xtradata!P$2:P$397,$D207),IF(J207="clip",INDEX(Xtradata!K$2:K$397,$D207),""))</f>
        <v>98</v>
      </c>
      <c r="L207" s="34">
        <f>IF($J207="TZ",INDEX(Xtradata!Q$2:Q$397,$D207),IF($J207="clip",INDEX(Xtradata!L$2:L$397,$D207),""))</f>
        <v>83</v>
      </c>
      <c r="M207" s="34">
        <f>IF($J207="TZ",INDEX(Xtradata!R$2:R$397,$D207),IF($J207="clip",INDEX(Xtradata!M$2:M$397,$D207),""))</f>
        <v>15</v>
      </c>
      <c r="N207" s="2">
        <v>0</v>
      </c>
      <c r="O207" s="34">
        <f>INDEX(Xtradata!T$2:T$397,$D207)</f>
        <v>0</v>
      </c>
      <c r="P207" s="38">
        <f t="shared" si="27"/>
        <v>0</v>
      </c>
      <c r="Q207" s="48">
        <f t="shared" si="28"/>
        <v>0.02</v>
      </c>
      <c r="R207" s="48">
        <f t="shared" si="29"/>
        <v>0.85</v>
      </c>
      <c r="S207" s="48">
        <f t="shared" si="34"/>
        <v>0.83</v>
      </c>
      <c r="T207" s="48">
        <f t="shared" si="30"/>
        <v>0.85</v>
      </c>
      <c r="U207" s="48">
        <f t="shared" si="31"/>
        <v>0</v>
      </c>
      <c r="V207" s="48">
        <f t="shared" si="32"/>
        <v>0.15000000000000002</v>
      </c>
      <c r="W207" s="48">
        <f t="shared" si="33"/>
        <v>1.83</v>
      </c>
      <c r="X207" s="14">
        <f>MATCH(C207,'Weights and Seed Amounts'!C$2:C$400,0)</f>
        <v>206</v>
      </c>
      <c r="Y207" s="58">
        <f>INDEX('Weights and Seed Amounts'!D$2:D$400,$X207)</f>
        <v>0.6774</v>
      </c>
      <c r="Z207" s="34">
        <f>INDEX(Xtradata!U$2:U$397,$D207)</f>
        <v>0</v>
      </c>
    </row>
    <row r="208" spans="1:26" x14ac:dyDescent="0.25">
      <c r="A208" s="2" t="s">
        <v>348</v>
      </c>
      <c r="B208" s="2" t="s">
        <v>349</v>
      </c>
      <c r="C208" s="2" t="s">
        <v>350</v>
      </c>
      <c r="D208" s="32">
        <f>MATCH(Xtradata!C208,Xtradata!C$2:C603,0)</f>
        <v>207</v>
      </c>
      <c r="E208" s="33">
        <f>INDEX(Xtradata!G$2:G$397,$D208)</f>
        <v>44309</v>
      </c>
      <c r="F208" s="33">
        <f>INDEX(Xtradata!H$2:H$397,$D208)</f>
        <v>44368</v>
      </c>
      <c r="G208" s="2">
        <v>100</v>
      </c>
      <c r="H208" s="2">
        <v>44</v>
      </c>
      <c r="I208" s="2">
        <v>0</v>
      </c>
      <c r="J208" s="33" t="str">
        <f>INDEX(Xtradata!J$2:J$397,$D208)</f>
        <v>TZ</v>
      </c>
      <c r="K208" s="34">
        <f>IF(J208="TZ",INDEX(Xtradata!P$2:P$397,$D208),IF(J208="clip",INDEX(Xtradata!K$2:K$397,$D208),""))</f>
        <v>28</v>
      </c>
      <c r="L208" s="34">
        <f>IF($J208="TZ",INDEX(Xtradata!Q$2:Q$397,$D208),IF($J208="clip",INDEX(Xtradata!L$2:L$397,$D208),""))</f>
        <v>15</v>
      </c>
      <c r="M208" s="34">
        <f>IF($J208="TZ",INDEX(Xtradata!R$2:R$397,$D208),IF($J208="clip",INDEX(Xtradata!M$2:M$397,$D208),""))</f>
        <v>13</v>
      </c>
      <c r="N208" s="2">
        <v>28</v>
      </c>
      <c r="O208" s="34">
        <f>INDEX(Xtradata!T$2:T$397,$D208)</f>
        <v>0</v>
      </c>
      <c r="P208" s="38">
        <f t="shared" si="27"/>
        <v>0</v>
      </c>
      <c r="Q208" s="48">
        <f t="shared" si="28"/>
        <v>0.44</v>
      </c>
      <c r="R208" s="48">
        <f t="shared" si="29"/>
        <v>0.44</v>
      </c>
      <c r="S208" s="48">
        <f t="shared" si="34"/>
        <v>0.15</v>
      </c>
      <c r="T208" s="48">
        <f t="shared" si="30"/>
        <v>0.59</v>
      </c>
      <c r="U208" s="48">
        <f t="shared" si="31"/>
        <v>0.28000000000000003</v>
      </c>
      <c r="V208" s="48">
        <f t="shared" si="32"/>
        <v>0.13</v>
      </c>
      <c r="W208" s="48">
        <f t="shared" si="33"/>
        <v>1</v>
      </c>
      <c r="X208" s="14">
        <f>MATCH(C208,'Weights and Seed Amounts'!C$2:C$400,0)</f>
        <v>207</v>
      </c>
      <c r="Y208" s="58">
        <f>INDEX('Weights and Seed Amounts'!D$2:D$400,$X208)</f>
        <v>0.75980000000000003</v>
      </c>
      <c r="Z208" s="34">
        <f>INDEX(Xtradata!U$2:U$397,$D208)</f>
        <v>0</v>
      </c>
    </row>
    <row r="209" spans="1:26" x14ac:dyDescent="0.25">
      <c r="A209" s="2" t="s">
        <v>348</v>
      </c>
      <c r="B209" s="2" t="s">
        <v>351</v>
      </c>
      <c r="C209" s="2" t="s">
        <v>352</v>
      </c>
      <c r="D209" s="32">
        <f>MATCH(Xtradata!C209,Xtradata!C$2:C604,0)</f>
        <v>208</v>
      </c>
      <c r="E209" s="33">
        <f>INDEX(Xtradata!G$2:G$397,$D209)</f>
        <v>44309</v>
      </c>
      <c r="F209" s="33">
        <f>INDEX(Xtradata!H$2:H$397,$D209)</f>
        <v>44368</v>
      </c>
      <c r="G209" s="2">
        <v>100</v>
      </c>
      <c r="H209" s="2">
        <v>36</v>
      </c>
      <c r="I209" s="2">
        <v>0</v>
      </c>
      <c r="J209" s="33" t="str">
        <f>INDEX(Xtradata!J$2:J$397,$D209)</f>
        <v>TZ</v>
      </c>
      <c r="K209" s="34">
        <f>IF(J209="TZ",INDEX(Xtradata!P$2:P$397,$D209),IF(J209="clip",INDEX(Xtradata!K$2:K$397,$D209),""))</f>
        <v>59</v>
      </c>
      <c r="L209" s="34">
        <f>IF($J209="TZ",INDEX(Xtradata!Q$2:Q$397,$D209),IF($J209="clip",INDEX(Xtradata!L$2:L$397,$D209),""))</f>
        <v>6</v>
      </c>
      <c r="M209" s="34">
        <f>IF($J209="TZ",INDEX(Xtradata!R$2:R$397,$D209),IF($J209="clip",INDEX(Xtradata!M$2:M$397,$D209),""))</f>
        <v>53</v>
      </c>
      <c r="N209" s="2">
        <v>5</v>
      </c>
      <c r="O209" s="34">
        <f>INDEX(Xtradata!T$2:T$397,$D209)</f>
        <v>0</v>
      </c>
      <c r="P209" s="38">
        <f t="shared" si="27"/>
        <v>0</v>
      </c>
      <c r="Q209" s="48">
        <f t="shared" si="28"/>
        <v>0.36</v>
      </c>
      <c r="R209" s="48">
        <f t="shared" si="29"/>
        <v>0.36</v>
      </c>
      <c r="S209" s="48">
        <f t="shared" si="34"/>
        <v>0.06</v>
      </c>
      <c r="T209" s="48">
        <f t="shared" si="30"/>
        <v>0.42</v>
      </c>
      <c r="U209" s="48">
        <f t="shared" si="31"/>
        <v>0.05</v>
      </c>
      <c r="V209" s="48">
        <f t="shared" si="32"/>
        <v>0.53</v>
      </c>
      <c r="W209" s="48">
        <f t="shared" si="33"/>
        <v>1</v>
      </c>
      <c r="X209" s="14">
        <f>MATCH(C209,'Weights and Seed Amounts'!C$2:C$400,0)</f>
        <v>208</v>
      </c>
      <c r="Y209" s="58">
        <f>INDEX('Weights and Seed Amounts'!D$2:D$400,$X209)</f>
        <v>0.81889999999999996</v>
      </c>
      <c r="Z209" s="34">
        <f>INDEX(Xtradata!U$2:U$397,$D209)</f>
        <v>0</v>
      </c>
    </row>
    <row r="210" spans="1:26" x14ac:dyDescent="0.25">
      <c r="A210" s="2" t="s">
        <v>353</v>
      </c>
      <c r="B210" s="2" t="s">
        <v>354</v>
      </c>
      <c r="C210" s="2" t="s">
        <v>355</v>
      </c>
      <c r="D210" s="32">
        <f>MATCH(Xtradata!C210,Xtradata!C$2:C605,0)</f>
        <v>209</v>
      </c>
      <c r="E210" s="33">
        <f>INDEX(Xtradata!G$2:G$397,$D210)</f>
        <v>44370</v>
      </c>
      <c r="F210" s="33">
        <f>INDEX(Xtradata!H$2:H$397,$D210)</f>
        <v>44432</v>
      </c>
      <c r="G210" s="2">
        <v>100</v>
      </c>
      <c r="H210" s="2">
        <v>5</v>
      </c>
      <c r="I210" s="2">
        <v>0</v>
      </c>
      <c r="J210" s="33" t="str">
        <f>INDEX(Xtradata!J$2:J$397,$D210)</f>
        <v>TZ</v>
      </c>
      <c r="K210" s="34">
        <f>IF(J210="TZ",INDEX(Xtradata!P$2:P$397,$D210),IF(J210="clip",INDEX(Xtradata!K$2:K$397,$D210),""))</f>
        <v>45</v>
      </c>
      <c r="L210" s="34">
        <f>IF($J210="TZ",INDEX(Xtradata!Q$2:Q$397,$D210),IF($J210="clip",INDEX(Xtradata!L$2:L$397,$D210),""))</f>
        <v>20</v>
      </c>
      <c r="M210" s="34">
        <f>IF($J210="TZ",INDEX(Xtradata!R$2:R$397,$D210),IF($J210="clip",INDEX(Xtradata!M$2:M$397,$D210),""))</f>
        <v>25</v>
      </c>
      <c r="N210" s="2">
        <v>50</v>
      </c>
      <c r="O210" s="34">
        <f>INDEX(Xtradata!T$2:T$397,$D210)</f>
        <v>0</v>
      </c>
      <c r="P210" s="38">
        <f t="shared" si="27"/>
        <v>0</v>
      </c>
      <c r="Q210" s="48">
        <f t="shared" si="28"/>
        <v>0.05</v>
      </c>
      <c r="R210" s="48">
        <f t="shared" si="29"/>
        <v>0.05</v>
      </c>
      <c r="S210" s="48">
        <f t="shared" si="34"/>
        <v>0.2</v>
      </c>
      <c r="T210" s="48">
        <f t="shared" si="30"/>
        <v>0.25</v>
      </c>
      <c r="U210" s="48">
        <f t="shared" si="31"/>
        <v>0.5</v>
      </c>
      <c r="V210" s="48">
        <f t="shared" si="32"/>
        <v>0.25</v>
      </c>
      <c r="W210" s="48">
        <f t="shared" si="33"/>
        <v>1</v>
      </c>
      <c r="X210" s="14">
        <f>MATCH(C210,'Weights and Seed Amounts'!C$2:C$400,0)</f>
        <v>209</v>
      </c>
      <c r="Y210" s="58">
        <f>INDEX('Weights and Seed Amounts'!D$2:D$400,$X210)</f>
        <v>0.53069999999999995</v>
      </c>
      <c r="Z210" s="34">
        <f>INDEX(Xtradata!U$2:U$397,$D210)</f>
        <v>0</v>
      </c>
    </row>
    <row r="211" spans="1:26" x14ac:dyDescent="0.25">
      <c r="A211" s="2" t="s">
        <v>356</v>
      </c>
      <c r="B211" s="2" t="s">
        <v>357</v>
      </c>
      <c r="C211" s="2" t="s">
        <v>358</v>
      </c>
      <c r="D211" s="32">
        <f>MATCH(Xtradata!C211,Xtradata!C$2:C606,0)</f>
        <v>210</v>
      </c>
      <c r="E211" s="33">
        <f>INDEX(Xtradata!G$2:G$397,$D211)</f>
        <v>44370</v>
      </c>
      <c r="F211" s="33">
        <f>INDEX(Xtradata!H$2:H$397,$D211)</f>
        <v>44432</v>
      </c>
      <c r="G211" s="2">
        <v>100</v>
      </c>
      <c r="H211" s="2">
        <v>0</v>
      </c>
      <c r="I211" s="2">
        <v>0</v>
      </c>
      <c r="J211" s="33" t="str">
        <f>INDEX(Xtradata!J$2:J$397,$D211)</f>
        <v>TZ</v>
      </c>
      <c r="K211" s="34">
        <f>IF(J211="TZ",INDEX(Xtradata!P$2:P$397,$D211),IF(J211="clip",INDEX(Xtradata!K$2:K$397,$D211),""))</f>
        <v>36</v>
      </c>
      <c r="L211" s="34">
        <f>IF($J211="TZ",INDEX(Xtradata!Q$2:Q$397,$D211),IF($J211="clip",INDEX(Xtradata!L$2:L$397,$D211),""))</f>
        <v>31</v>
      </c>
      <c r="M211" s="34">
        <f>IF($J211="TZ",INDEX(Xtradata!R$2:R$397,$D211),IF($J211="clip",INDEX(Xtradata!M$2:M$397,$D211),""))</f>
        <v>5</v>
      </c>
      <c r="N211" s="2">
        <v>64</v>
      </c>
      <c r="O211" s="34">
        <f>INDEX(Xtradata!T$2:T$397,$D211)</f>
        <v>0</v>
      </c>
      <c r="P211" s="38">
        <f t="shared" si="27"/>
        <v>0</v>
      </c>
      <c r="Q211" s="48">
        <f t="shared" si="28"/>
        <v>0</v>
      </c>
      <c r="R211" s="48">
        <f t="shared" si="29"/>
        <v>0</v>
      </c>
      <c r="S211" s="48">
        <f t="shared" si="34"/>
        <v>0.31</v>
      </c>
      <c r="T211" s="48">
        <f t="shared" si="30"/>
        <v>0.31</v>
      </c>
      <c r="U211" s="48">
        <f t="shared" si="31"/>
        <v>0.64</v>
      </c>
      <c r="V211" s="48">
        <f t="shared" si="32"/>
        <v>4.9999999999999933E-2</v>
      </c>
      <c r="W211" s="48">
        <f t="shared" si="33"/>
        <v>0.99999999999999989</v>
      </c>
      <c r="X211" s="14">
        <f>MATCH(C211,'Weights and Seed Amounts'!C$2:C$400,0)</f>
        <v>210</v>
      </c>
      <c r="Y211" s="58">
        <f>INDEX('Weights and Seed Amounts'!D$2:D$400,$X211)</f>
        <v>3.4599999999999999E-2</v>
      </c>
      <c r="Z211" s="34">
        <f>INDEX(Xtradata!U$2:U$397,$D211)</f>
        <v>0</v>
      </c>
    </row>
    <row r="212" spans="1:26" x14ac:dyDescent="0.25">
      <c r="A212" s="2" t="s">
        <v>359</v>
      </c>
      <c r="B212" s="2" t="s">
        <v>360</v>
      </c>
      <c r="C212" s="2" t="s">
        <v>361</v>
      </c>
      <c r="D212" s="32">
        <f>MATCH(Xtradata!C212,Xtradata!C$2:C607,0)</f>
        <v>211</v>
      </c>
      <c r="E212" s="33">
        <f>INDEX(Xtradata!G$2:G$397,$D212)</f>
        <v>44368</v>
      </c>
      <c r="F212" s="33">
        <f>INDEX(Xtradata!H$2:H$397,$D212)</f>
        <v>44396</v>
      </c>
      <c r="G212" s="2">
        <v>100</v>
      </c>
      <c r="H212" s="2">
        <v>23</v>
      </c>
      <c r="I212" s="2">
        <v>0</v>
      </c>
      <c r="J212" s="33" t="str">
        <f>INDEX(Xtradata!J$2:J$397,$D212)</f>
        <v>TZ</v>
      </c>
      <c r="K212" s="34">
        <f>IF(J212="TZ",INDEX(Xtradata!P$2:P$397,$D212),IF(J212="clip",INDEX(Xtradata!K$2:K$397,$D212),""))</f>
        <v>63</v>
      </c>
      <c r="L212" s="34">
        <f>IF($J212="TZ",INDEX(Xtradata!Q$2:Q$397,$D212),IF($J212="clip",INDEX(Xtradata!L$2:L$397,$D212),""))</f>
        <v>8</v>
      </c>
      <c r="M212" s="34">
        <f>IF($J212="TZ",INDEX(Xtradata!R$2:R$397,$D212),IF($J212="clip",INDEX(Xtradata!M$2:M$397,$D212),""))</f>
        <v>55</v>
      </c>
      <c r="N212" s="2">
        <v>14</v>
      </c>
      <c r="O212" s="34">
        <f>INDEX(Xtradata!T$2:T$397,$D212)</f>
        <v>0</v>
      </c>
      <c r="P212" s="38">
        <f t="shared" si="27"/>
        <v>0</v>
      </c>
      <c r="Q212" s="48">
        <f t="shared" si="28"/>
        <v>0.23</v>
      </c>
      <c r="R212" s="48">
        <f t="shared" si="29"/>
        <v>0.23</v>
      </c>
      <c r="S212" s="48">
        <f t="shared" si="34"/>
        <v>0.08</v>
      </c>
      <c r="T212" s="48">
        <f t="shared" si="30"/>
        <v>0.31</v>
      </c>
      <c r="U212" s="48">
        <f t="shared" si="31"/>
        <v>0.14000000000000001</v>
      </c>
      <c r="V212" s="48">
        <f t="shared" si="32"/>
        <v>0.54999999999999993</v>
      </c>
      <c r="W212" s="48">
        <f t="shared" si="33"/>
        <v>1</v>
      </c>
      <c r="X212" s="14">
        <f>MATCH(C212,'Weights and Seed Amounts'!C$2:C$400,0)</f>
        <v>211</v>
      </c>
      <c r="Y212" s="58">
        <f>INDEX('Weights and Seed Amounts'!D$2:D$400,$X212)</f>
        <v>1.37E-2</v>
      </c>
      <c r="Z212" s="34">
        <f>INDEX(Xtradata!U$2:U$397,$D212)</f>
        <v>0</v>
      </c>
    </row>
    <row r="213" spans="1:26" x14ac:dyDescent="0.25">
      <c r="A213" s="2" t="s">
        <v>359</v>
      </c>
      <c r="B213" s="2" t="s">
        <v>360</v>
      </c>
      <c r="C213" s="2" t="s">
        <v>362</v>
      </c>
      <c r="D213" s="32">
        <f>MATCH(Xtradata!C213,Xtradata!C$2:C608,0)</f>
        <v>212</v>
      </c>
      <c r="E213" s="33">
        <f>INDEX(Xtradata!G$2:G$397,$D213)</f>
        <v>44368</v>
      </c>
      <c r="F213" s="33">
        <f>INDEX(Xtradata!H$2:H$397,$D213)</f>
        <v>44396</v>
      </c>
      <c r="G213" s="2">
        <v>100</v>
      </c>
      <c r="H213" s="2">
        <v>12</v>
      </c>
      <c r="I213" s="2">
        <v>0</v>
      </c>
      <c r="J213" s="33" t="str">
        <f>INDEX(Xtradata!J$2:J$397,$D213)</f>
        <v>TZ</v>
      </c>
      <c r="K213" s="34">
        <f>IF(J213="TZ",INDEX(Xtradata!P$2:P$397,$D213),IF(J213="clip",INDEX(Xtradata!K$2:K$397,$D213),""))</f>
        <v>46</v>
      </c>
      <c r="L213" s="34">
        <f>IF($J213="TZ",INDEX(Xtradata!Q$2:Q$397,$D213),IF($J213="clip",INDEX(Xtradata!L$2:L$397,$D213),""))</f>
        <v>3</v>
      </c>
      <c r="M213" s="34">
        <f>IF($J213="TZ",INDEX(Xtradata!R$2:R$397,$D213),IF($J213="clip",INDEX(Xtradata!M$2:M$397,$D213),""))</f>
        <v>43</v>
      </c>
      <c r="N213" s="2">
        <v>42</v>
      </c>
      <c r="O213" s="34">
        <f>INDEX(Xtradata!T$2:T$397,$D213)</f>
        <v>0</v>
      </c>
      <c r="P213" s="38">
        <f t="shared" si="27"/>
        <v>0</v>
      </c>
      <c r="Q213" s="48">
        <f t="shared" si="28"/>
        <v>0.12</v>
      </c>
      <c r="R213" s="48">
        <f t="shared" si="29"/>
        <v>0.12</v>
      </c>
      <c r="S213" s="48">
        <f t="shared" si="34"/>
        <v>0.03</v>
      </c>
      <c r="T213" s="48">
        <f t="shared" si="30"/>
        <v>0.15</v>
      </c>
      <c r="U213" s="48">
        <f t="shared" si="31"/>
        <v>0.42</v>
      </c>
      <c r="V213" s="48">
        <f t="shared" si="32"/>
        <v>0.43</v>
      </c>
      <c r="W213" s="48">
        <f t="shared" si="33"/>
        <v>1</v>
      </c>
      <c r="X213" s="14">
        <f>MATCH(C213,'Weights and Seed Amounts'!C$2:C$400,0)</f>
        <v>212</v>
      </c>
      <c r="Y213" s="58">
        <f>INDEX('Weights and Seed Amounts'!D$2:D$400,$X213)</f>
        <v>1.7100000000000001E-2</v>
      </c>
      <c r="Z213" s="34">
        <f>INDEX(Xtradata!U$2:U$397,$D213)</f>
        <v>0</v>
      </c>
    </row>
    <row r="214" spans="1:26" x14ac:dyDescent="0.25">
      <c r="A214" s="2" t="s">
        <v>359</v>
      </c>
      <c r="B214" s="2" t="s">
        <v>360</v>
      </c>
      <c r="C214" s="2" t="s">
        <v>363</v>
      </c>
      <c r="D214" s="32">
        <f>MATCH(Xtradata!C214,Xtradata!C$2:C609,0)</f>
        <v>213</v>
      </c>
      <c r="E214" s="33">
        <f>INDEX(Xtradata!G$2:G$397,$D214)</f>
        <v>44368</v>
      </c>
      <c r="F214" s="33">
        <f>INDEX(Xtradata!H$2:H$397,$D214)</f>
        <v>44396</v>
      </c>
      <c r="G214" s="2">
        <v>100</v>
      </c>
      <c r="H214" s="2">
        <v>11</v>
      </c>
      <c r="I214" s="2">
        <v>0</v>
      </c>
      <c r="J214" s="33" t="str">
        <f>INDEX(Xtradata!J$2:J$397,$D214)</f>
        <v>TZ</v>
      </c>
      <c r="K214" s="34">
        <f>IF(J214="TZ",INDEX(Xtradata!P$2:P$397,$D214),IF(J214="clip",INDEX(Xtradata!K$2:K$397,$D214),""))</f>
        <v>80</v>
      </c>
      <c r="L214" s="34">
        <f>IF($J214="TZ",INDEX(Xtradata!Q$2:Q$397,$D214),IF($J214="clip",INDEX(Xtradata!L$2:L$397,$D214),""))</f>
        <v>6</v>
      </c>
      <c r="M214" s="34">
        <f>IF($J214="TZ",INDEX(Xtradata!R$2:R$397,$D214),IF($J214="clip",INDEX(Xtradata!M$2:M$397,$D214),""))</f>
        <v>74</v>
      </c>
      <c r="N214" s="2">
        <v>9</v>
      </c>
      <c r="O214" s="34">
        <f>INDEX(Xtradata!T$2:T$397,$D214)</f>
        <v>0</v>
      </c>
      <c r="P214" s="38">
        <f t="shared" si="27"/>
        <v>0</v>
      </c>
      <c r="Q214" s="48">
        <f t="shared" si="28"/>
        <v>0.11</v>
      </c>
      <c r="R214" s="48">
        <f t="shared" si="29"/>
        <v>0.11</v>
      </c>
      <c r="S214" s="48">
        <f t="shared" si="34"/>
        <v>0.06</v>
      </c>
      <c r="T214" s="48">
        <f t="shared" si="30"/>
        <v>0.17</v>
      </c>
      <c r="U214" s="48">
        <f t="shared" si="31"/>
        <v>0.09</v>
      </c>
      <c r="V214" s="48">
        <f t="shared" si="32"/>
        <v>0.74</v>
      </c>
      <c r="W214" s="48">
        <f t="shared" si="33"/>
        <v>1</v>
      </c>
      <c r="X214" s="14">
        <f>MATCH(C214,'Weights and Seed Amounts'!C$2:C$400,0)</f>
        <v>213</v>
      </c>
      <c r="Y214" s="58">
        <f>INDEX('Weights and Seed Amounts'!D$2:D$400,$X214)</f>
        <v>1.49E-2</v>
      </c>
      <c r="Z214" s="34">
        <f>INDEX(Xtradata!U$2:U$397,$D214)</f>
        <v>0</v>
      </c>
    </row>
    <row r="215" spans="1:26" x14ac:dyDescent="0.25">
      <c r="A215" s="2" t="s">
        <v>359</v>
      </c>
      <c r="B215" s="2" t="s">
        <v>360</v>
      </c>
      <c r="C215" s="2" t="s">
        <v>364</v>
      </c>
      <c r="D215" s="32">
        <f>MATCH(Xtradata!C215,Xtradata!C$2:C610,0)</f>
        <v>214</v>
      </c>
      <c r="E215" s="33">
        <f>INDEX(Xtradata!G$2:G$397,$D215)</f>
        <v>44368</v>
      </c>
      <c r="F215" s="33">
        <f>INDEX(Xtradata!H$2:H$397,$D215)</f>
        <v>44396</v>
      </c>
      <c r="G215" s="2">
        <v>100</v>
      </c>
      <c r="H215" s="2">
        <v>20</v>
      </c>
      <c r="I215" s="2">
        <v>0</v>
      </c>
      <c r="J215" s="33" t="str">
        <f>INDEX(Xtradata!J$2:J$397,$D215)</f>
        <v>TZ</v>
      </c>
      <c r="K215" s="34">
        <f>IF(J215="TZ",INDEX(Xtradata!P$2:P$397,$D215),IF(J215="clip",INDEX(Xtradata!K$2:K$397,$D215),""))</f>
        <v>65</v>
      </c>
      <c r="L215" s="34">
        <f>IF($J215="TZ",INDEX(Xtradata!Q$2:Q$397,$D215),IF($J215="clip",INDEX(Xtradata!L$2:L$397,$D215),""))</f>
        <v>1</v>
      </c>
      <c r="M215" s="34">
        <f>IF($J215="TZ",INDEX(Xtradata!R$2:R$397,$D215),IF($J215="clip",INDEX(Xtradata!M$2:M$397,$D215),""))</f>
        <v>64</v>
      </c>
      <c r="N215" s="2">
        <v>15</v>
      </c>
      <c r="O215" s="34">
        <f>INDEX(Xtradata!T$2:T$397,$D215)</f>
        <v>0</v>
      </c>
      <c r="P215" s="38">
        <f t="shared" si="27"/>
        <v>0</v>
      </c>
      <c r="Q215" s="48">
        <f t="shared" si="28"/>
        <v>0.2</v>
      </c>
      <c r="R215" s="48">
        <f t="shared" si="29"/>
        <v>0.2</v>
      </c>
      <c r="S215" s="48">
        <f t="shared" si="34"/>
        <v>0.01</v>
      </c>
      <c r="T215" s="48">
        <f t="shared" si="30"/>
        <v>0.21</v>
      </c>
      <c r="U215" s="48">
        <f t="shared" si="31"/>
        <v>0.15</v>
      </c>
      <c r="V215" s="48">
        <f t="shared" si="32"/>
        <v>0.64</v>
      </c>
      <c r="W215" s="48">
        <f t="shared" si="33"/>
        <v>1</v>
      </c>
      <c r="X215" s="14">
        <f>MATCH(C215,'Weights and Seed Amounts'!C$2:C$400,0)</f>
        <v>214</v>
      </c>
      <c r="Y215" s="58">
        <f>INDEX('Weights and Seed Amounts'!D$2:D$400,$X215)</f>
        <v>2.2200000000000001E-2</v>
      </c>
      <c r="Z215" s="34">
        <f>INDEX(Xtradata!U$2:U$397,$D215)</f>
        <v>0</v>
      </c>
    </row>
    <row r="216" spans="1:26" x14ac:dyDescent="0.25">
      <c r="A216" s="2" t="s">
        <v>359</v>
      </c>
      <c r="B216" s="2" t="s">
        <v>360</v>
      </c>
      <c r="C216" s="2" t="s">
        <v>365</v>
      </c>
      <c r="D216" s="32">
        <f>MATCH(Xtradata!C216,Xtradata!C$2:C611,0)</f>
        <v>215</v>
      </c>
      <c r="E216" s="33">
        <f>INDEX(Xtradata!G$2:G$397,$D216)</f>
        <v>44368</v>
      </c>
      <c r="F216" s="33">
        <f>INDEX(Xtradata!H$2:H$397,$D216)</f>
        <v>44396</v>
      </c>
      <c r="G216" s="2">
        <v>100</v>
      </c>
      <c r="H216" s="2">
        <v>46</v>
      </c>
      <c r="I216" s="2">
        <v>0</v>
      </c>
      <c r="J216" s="33" t="str">
        <f>INDEX(Xtradata!J$2:J$397,$D216)</f>
        <v>TZ</v>
      </c>
      <c r="K216" s="34">
        <f>IF(J216="TZ",INDEX(Xtradata!P$2:P$397,$D216),IF(J216="clip",INDEX(Xtradata!K$2:K$397,$D216),""))</f>
        <v>11</v>
      </c>
      <c r="L216" s="34">
        <f>IF($J216="TZ",INDEX(Xtradata!Q$2:Q$397,$D216),IF($J216="clip",INDEX(Xtradata!L$2:L$397,$D216),""))</f>
        <v>1</v>
      </c>
      <c r="M216" s="34">
        <f>IF($J216="TZ",INDEX(Xtradata!R$2:R$397,$D216),IF($J216="clip",INDEX(Xtradata!M$2:M$397,$D216),""))</f>
        <v>10</v>
      </c>
      <c r="N216" s="2">
        <v>43</v>
      </c>
      <c r="O216" s="34">
        <f>INDEX(Xtradata!T$2:T$397,$D216)</f>
        <v>0</v>
      </c>
      <c r="P216" s="38">
        <f t="shared" si="27"/>
        <v>0</v>
      </c>
      <c r="Q216" s="48">
        <f t="shared" si="28"/>
        <v>0.46</v>
      </c>
      <c r="R216" s="48">
        <f t="shared" si="29"/>
        <v>0.46</v>
      </c>
      <c r="S216" s="48">
        <f t="shared" si="34"/>
        <v>0.01</v>
      </c>
      <c r="T216" s="48">
        <f t="shared" si="30"/>
        <v>0.47</v>
      </c>
      <c r="U216" s="48">
        <f t="shared" si="31"/>
        <v>0.43</v>
      </c>
      <c r="V216" s="48">
        <f t="shared" si="32"/>
        <v>0.10000000000000003</v>
      </c>
      <c r="W216" s="48">
        <f t="shared" si="33"/>
        <v>1</v>
      </c>
      <c r="X216" s="14">
        <f>MATCH(C216,'Weights and Seed Amounts'!C$2:C$400,0)</f>
        <v>215</v>
      </c>
      <c r="Y216" s="58">
        <f>INDEX('Weights and Seed Amounts'!D$2:D$400,$X216)</f>
        <v>2.0299999999999999E-2</v>
      </c>
      <c r="Z216" s="34">
        <f>INDEX(Xtradata!U$2:U$397,$D216)</f>
        <v>0</v>
      </c>
    </row>
    <row r="217" spans="1:26" x14ac:dyDescent="0.25">
      <c r="A217" s="3" t="s">
        <v>366</v>
      </c>
      <c r="B217" s="3" t="s">
        <v>351</v>
      </c>
      <c r="C217" s="3" t="s">
        <v>367</v>
      </c>
      <c r="D217" s="32">
        <f>MATCH(Xtradata!C217,Xtradata!C$2:C615,0)</f>
        <v>216</v>
      </c>
      <c r="E217" s="33" t="str">
        <f>INDEX(Xtradata!G$2:G$397,$D217)</f>
        <v>N/A</v>
      </c>
      <c r="F217" s="33" t="str">
        <f>INDEX(Xtradata!H$2:H$397,$D217)</f>
        <v>N/A</v>
      </c>
      <c r="G217" s="2">
        <v>0</v>
      </c>
      <c r="H217" s="2" t="s">
        <v>581</v>
      </c>
      <c r="I217" s="2" t="s">
        <v>581</v>
      </c>
      <c r="J217" s="33" t="str">
        <f>INDEX(Xtradata!J$2:J$397,$D217)</f>
        <v>TZ</v>
      </c>
      <c r="K217" s="34">
        <f>IF(J217="TZ",INDEX(Xtradata!P$2:P$397,$D217),IF(J217="clip",INDEX(Xtradata!K$2:K$397,$D217),""))</f>
        <v>10</v>
      </c>
      <c r="L217" s="34">
        <f>IF($J217="TZ",INDEX(Xtradata!Q$2:Q$397,$D217),IF($J217="clip",INDEX(Xtradata!L$2:L$397,$D217),""))</f>
        <v>0</v>
      </c>
      <c r="M217" s="34">
        <f>IF($J217="TZ",INDEX(Xtradata!R$2:R$397,$D217),IF($J217="clip",INDEX(Xtradata!M$2:M$397,$D217),""))</f>
        <v>2</v>
      </c>
      <c r="N217" s="2" t="s">
        <v>581</v>
      </c>
      <c r="O217" s="34">
        <f>INDEX(Xtradata!T$2:T$397,$D217)</f>
        <v>8</v>
      </c>
      <c r="P217" s="38">
        <f t="shared" si="27"/>
        <v>0</v>
      </c>
      <c r="Q217" s="48" t="str">
        <f t="shared" si="28"/>
        <v/>
      </c>
      <c r="R217" s="48" t="str">
        <f t="shared" si="29"/>
        <v/>
      </c>
      <c r="S217" s="48" t="str">
        <f t="shared" si="34"/>
        <v/>
      </c>
      <c r="T217" s="48">
        <f t="shared" si="30"/>
        <v>0</v>
      </c>
      <c r="U217" s="48" t="str">
        <f t="shared" si="31"/>
        <v/>
      </c>
      <c r="V217" s="48">
        <f t="shared" si="32"/>
        <v>1</v>
      </c>
      <c r="W217" s="48">
        <f t="shared" si="33"/>
        <v>1</v>
      </c>
      <c r="X217" s="14">
        <f>MATCH(C217,'Weights and Seed Amounts'!C$2:C$400,0)</f>
        <v>216</v>
      </c>
      <c r="Y217" s="58">
        <f>INDEX('Weights and Seed Amounts'!D$2:D$400,$X217)</f>
        <v>16.16</v>
      </c>
      <c r="Z217" s="34" t="str">
        <f>INDEX(Xtradata!U$2:U$397,$D217)</f>
        <v>Initial TZ of ~ 10 seeds indicated no viability.  High proportion of empty seeds or embryos damaged by insect/handling. Perhaps immature. Not planted for germ assay.</v>
      </c>
    </row>
    <row r="218" spans="1:26" x14ac:dyDescent="0.25">
      <c r="A218" s="2" t="s">
        <v>368</v>
      </c>
      <c r="B218" s="2" t="s">
        <v>369</v>
      </c>
      <c r="C218" s="2" t="s">
        <v>370</v>
      </c>
      <c r="D218" s="32">
        <f>MATCH(Xtradata!C218,Xtradata!C$2:C616,0)</f>
        <v>217</v>
      </c>
      <c r="E218" s="33" t="str">
        <f>INDEX(Xtradata!G$2:G$397,$D218)</f>
        <v>N/A</v>
      </c>
      <c r="F218" s="33" t="str">
        <f>INDEX(Xtradata!H$2:H$397,$D218)</f>
        <v>N/A</v>
      </c>
      <c r="G218" s="2">
        <v>0</v>
      </c>
      <c r="H218" s="2" t="s">
        <v>581</v>
      </c>
      <c r="I218" s="2" t="s">
        <v>581</v>
      </c>
      <c r="J218" s="33" t="str">
        <f>INDEX(Xtradata!J$2:J$397,$D218)</f>
        <v>TZ</v>
      </c>
      <c r="K218" s="34">
        <f>IF(J218="TZ",INDEX(Xtradata!P$2:P$397,$D218),IF(J218="clip",INDEX(Xtradata!K$2:K$397,$D218),""))</f>
        <v>12</v>
      </c>
      <c r="L218" s="34">
        <f>IF($J218="TZ",INDEX(Xtradata!Q$2:Q$397,$D218),IF($J218="clip",INDEX(Xtradata!L$2:L$397,$D218),""))</f>
        <v>0</v>
      </c>
      <c r="M218" s="34">
        <f>IF($J218="TZ",INDEX(Xtradata!R$2:R$397,$D218),IF($J218="clip",INDEX(Xtradata!M$2:M$397,$D218),""))</f>
        <v>0</v>
      </c>
      <c r="N218" s="2" t="s">
        <v>581</v>
      </c>
      <c r="O218" s="34">
        <f>INDEX(Xtradata!T$2:T$397,$D218)</f>
        <v>12</v>
      </c>
      <c r="P218" s="38">
        <f t="shared" si="27"/>
        <v>0</v>
      </c>
      <c r="Q218" s="48" t="str">
        <f t="shared" si="28"/>
        <v/>
      </c>
      <c r="R218" s="48" t="str">
        <f t="shared" si="29"/>
        <v/>
      </c>
      <c r="S218" s="48" t="str">
        <f t="shared" si="34"/>
        <v/>
      </c>
      <c r="T218" s="48">
        <f t="shared" si="30"/>
        <v>0</v>
      </c>
      <c r="U218" s="48" t="str">
        <f t="shared" si="31"/>
        <v/>
      </c>
      <c r="V218" s="48">
        <f t="shared" si="32"/>
        <v>1</v>
      </c>
      <c r="W218" s="48">
        <f t="shared" si="33"/>
        <v>1</v>
      </c>
      <c r="X218" s="14">
        <f>MATCH(C218,'Weights and Seed Amounts'!C$2:C$400,0)</f>
        <v>217</v>
      </c>
      <c r="Y218" s="58">
        <f>INDEX('Weights and Seed Amounts'!D$2:D$400,$X218)</f>
        <v>1.1999999999999999E-3</v>
      </c>
      <c r="Z218" s="34" t="str">
        <f>INDEX(Xtradata!U$2:U$397,$D218)</f>
        <v>Initial TZ of ~ 10 seeds indicated no viability.  High proportion of empty seeds or embryos damaged by insect/handling. Perhaps immature. Not planted for germ assay.</v>
      </c>
    </row>
    <row r="219" spans="1:26" x14ac:dyDescent="0.25">
      <c r="A219" s="2" t="s">
        <v>368</v>
      </c>
      <c r="B219" s="2" t="s">
        <v>369</v>
      </c>
      <c r="C219" s="2" t="s">
        <v>371</v>
      </c>
      <c r="D219" s="32">
        <f>MATCH(Xtradata!C219,Xtradata!C$2:C617,0)</f>
        <v>218</v>
      </c>
      <c r="E219" s="33" t="str">
        <f>INDEX(Xtradata!G$2:G$397,$D219)</f>
        <v>N/A</v>
      </c>
      <c r="F219" s="33" t="str">
        <f>INDEX(Xtradata!H$2:H$397,$D219)</f>
        <v>N/A</v>
      </c>
      <c r="G219" s="2">
        <v>0</v>
      </c>
      <c r="H219" s="2" t="s">
        <v>581</v>
      </c>
      <c r="I219" s="2" t="s">
        <v>581</v>
      </c>
      <c r="J219" s="33" t="str">
        <f>INDEX(Xtradata!J$2:J$397,$D219)</f>
        <v>TZ</v>
      </c>
      <c r="K219" s="34">
        <f>IF(J219="TZ",INDEX(Xtradata!P$2:P$397,$D219),IF(J219="clip",INDEX(Xtradata!K$2:K$397,$D219),""))</f>
        <v>11</v>
      </c>
      <c r="L219" s="34">
        <f>IF($J219="TZ",INDEX(Xtradata!Q$2:Q$397,$D219),IF($J219="clip",INDEX(Xtradata!L$2:L$397,$D219),""))</f>
        <v>0</v>
      </c>
      <c r="M219" s="34">
        <f>IF($J219="TZ",INDEX(Xtradata!R$2:R$397,$D219),IF($J219="clip",INDEX(Xtradata!M$2:M$397,$D219),""))</f>
        <v>0</v>
      </c>
      <c r="N219" s="2" t="s">
        <v>581</v>
      </c>
      <c r="O219" s="34">
        <f>INDEX(Xtradata!T$2:T$397,$D219)</f>
        <v>11</v>
      </c>
      <c r="P219" s="38">
        <f t="shared" si="27"/>
        <v>0</v>
      </c>
      <c r="Q219" s="48" t="str">
        <f t="shared" si="28"/>
        <v/>
      </c>
      <c r="R219" s="48" t="str">
        <f t="shared" si="29"/>
        <v/>
      </c>
      <c r="S219" s="48" t="str">
        <f t="shared" si="34"/>
        <v/>
      </c>
      <c r="T219" s="48">
        <f t="shared" si="30"/>
        <v>0</v>
      </c>
      <c r="U219" s="48" t="str">
        <f t="shared" si="31"/>
        <v/>
      </c>
      <c r="V219" s="48">
        <f t="shared" si="32"/>
        <v>1</v>
      </c>
      <c r="W219" s="48">
        <f t="shared" si="33"/>
        <v>1</v>
      </c>
      <c r="X219" s="14">
        <f>MATCH(C219,'Weights and Seed Amounts'!C$2:C$400,0)</f>
        <v>218</v>
      </c>
      <c r="Y219" s="58">
        <f>INDEX('Weights and Seed Amounts'!D$2:D$400,$X219)</f>
        <v>1.9E-3</v>
      </c>
      <c r="Z219" s="34" t="str">
        <f>INDEX(Xtradata!U$2:U$397,$D219)</f>
        <v>Initial TZ of ~ 10 seeds indicated no viability.  High proportion of empty seeds or embryos damaged by insect/handling. Perhaps immature. Not planted for germ assay.</v>
      </c>
    </row>
    <row r="220" spans="1:26" x14ac:dyDescent="0.25">
      <c r="A220" s="2" t="s">
        <v>372</v>
      </c>
      <c r="B220" s="2" t="s">
        <v>373</v>
      </c>
      <c r="C220" s="2" t="s">
        <v>374</v>
      </c>
      <c r="D220" s="32">
        <f>MATCH(Xtradata!C220,Xtradata!C$2:C618,0)</f>
        <v>219</v>
      </c>
      <c r="E220" s="33">
        <f>INDEX(Xtradata!G$2:G$397,$D220)</f>
        <v>44370</v>
      </c>
      <c r="F220" s="33">
        <f>INDEX(Xtradata!H$2:H$397,$D220)</f>
        <v>44399</v>
      </c>
      <c r="G220" s="2">
        <v>100</v>
      </c>
      <c r="H220" s="2">
        <v>33</v>
      </c>
      <c r="I220" s="2">
        <v>0</v>
      </c>
      <c r="J220" s="33" t="str">
        <f>INDEX(Xtradata!J$2:J$397,$D220)</f>
        <v>N/A</v>
      </c>
      <c r="K220" s="34" t="str">
        <f>IF(J220="TZ",INDEX(Xtradata!P$2:P$397,$D220),IF(J220="clip",INDEX(Xtradata!K$2:K$397,$D220),""))</f>
        <v/>
      </c>
      <c r="L220" s="34" t="str">
        <f>IF($J220="TZ",INDEX(Xtradata!Q$2:Q$397,$D220),IF($J220="clip",INDEX(Xtradata!L$2:L$397,$D220),""))</f>
        <v/>
      </c>
      <c r="M220" s="34" t="str">
        <f>IF($J220="TZ",INDEX(Xtradata!R$2:R$397,$D220),IF($J220="clip",INDEX(Xtradata!M$2:M$397,$D220),""))</f>
        <v/>
      </c>
      <c r="N220" s="2">
        <v>67</v>
      </c>
      <c r="O220" s="34">
        <f>INDEX(Xtradata!T$2:T$397,$D220)</f>
        <v>0</v>
      </c>
      <c r="P220" s="38">
        <f t="shared" si="27"/>
        <v>0</v>
      </c>
      <c r="Q220" s="48">
        <f t="shared" si="28"/>
        <v>0.33</v>
      </c>
      <c r="R220" s="48">
        <f t="shared" si="29"/>
        <v>0.33</v>
      </c>
      <c r="S220" s="48">
        <f t="shared" si="34"/>
        <v>0</v>
      </c>
      <c r="T220" s="48">
        <f t="shared" si="30"/>
        <v>0.33</v>
      </c>
      <c r="U220" s="48">
        <f t="shared" si="31"/>
        <v>0.67</v>
      </c>
      <c r="V220" s="48">
        <f t="shared" si="32"/>
        <v>-1.1102230246251565E-16</v>
      </c>
      <c r="W220" s="48">
        <f t="shared" si="33"/>
        <v>0.99999999999999989</v>
      </c>
      <c r="X220" s="14">
        <f>MATCH(C220,'Weights and Seed Amounts'!C$2:C$400,0)</f>
        <v>219</v>
      </c>
      <c r="Y220" s="58">
        <f>INDEX('Weights and Seed Amounts'!D$2:D$400,$X220)</f>
        <v>6.8999999999999999E-3</v>
      </c>
      <c r="Z220" s="34">
        <f>INDEX(Xtradata!U$2:U$397,$D220)</f>
        <v>0</v>
      </c>
    </row>
    <row r="221" spans="1:26" x14ac:dyDescent="0.25">
      <c r="A221" s="2" t="s">
        <v>375</v>
      </c>
      <c r="B221" s="2" t="s">
        <v>376</v>
      </c>
      <c r="C221" s="2" t="s">
        <v>377</v>
      </c>
      <c r="D221" s="32">
        <f>MATCH(Xtradata!C221,Xtradata!C$2:C619,0)</f>
        <v>220</v>
      </c>
      <c r="E221" s="33">
        <f>INDEX(Xtradata!G$2:G$397,$D221)</f>
        <v>44321</v>
      </c>
      <c r="F221" s="33">
        <f>INDEX(Xtradata!H$2:H$397,$D221)</f>
        <v>44379</v>
      </c>
      <c r="G221" s="2">
        <v>100</v>
      </c>
      <c r="H221" s="2">
        <v>1</v>
      </c>
      <c r="I221" s="2">
        <v>0</v>
      </c>
      <c r="J221" s="33" t="str">
        <f>INDEX(Xtradata!J$2:J$397,$D221)</f>
        <v>TZ</v>
      </c>
      <c r="K221" s="34">
        <f>IF(J221="TZ",INDEX(Xtradata!P$2:P$397,$D221),IF(J221="clip",INDEX(Xtradata!K$2:K$397,$D221),""))</f>
        <v>99</v>
      </c>
      <c r="L221" s="34">
        <f>IF($J221="TZ",INDEX(Xtradata!Q$2:Q$397,$D221),IF($J221="clip",INDEX(Xtradata!L$2:L$397,$D221),""))</f>
        <v>77</v>
      </c>
      <c r="M221" s="34">
        <f>IF($J221="TZ",INDEX(Xtradata!R$2:R$397,$D221),IF($J221="clip",INDEX(Xtradata!M$2:M$397,$D221),""))</f>
        <v>22</v>
      </c>
      <c r="N221" s="2">
        <v>0</v>
      </c>
      <c r="O221" s="34">
        <f>INDEX(Xtradata!T$2:T$397,$D221)</f>
        <v>0</v>
      </c>
      <c r="P221" s="38">
        <f t="shared" si="27"/>
        <v>0</v>
      </c>
      <c r="Q221" s="48">
        <f t="shared" si="28"/>
        <v>0.01</v>
      </c>
      <c r="R221" s="48">
        <f t="shared" si="29"/>
        <v>0.01</v>
      </c>
      <c r="S221" s="48">
        <f t="shared" si="34"/>
        <v>0.77</v>
      </c>
      <c r="T221" s="48">
        <f t="shared" si="30"/>
        <v>0.78</v>
      </c>
      <c r="U221" s="48">
        <f t="shared" si="31"/>
        <v>0</v>
      </c>
      <c r="V221" s="48">
        <f t="shared" si="32"/>
        <v>0.21999999999999997</v>
      </c>
      <c r="W221" s="48">
        <f t="shared" si="33"/>
        <v>1</v>
      </c>
      <c r="X221" s="14">
        <f>MATCH(C221,'Weights and Seed Amounts'!C$2:C$400,0)</f>
        <v>220</v>
      </c>
      <c r="Y221" s="58">
        <f>INDEX('Weights and Seed Amounts'!D$2:D$400,$X221)</f>
        <v>1.3389</v>
      </c>
      <c r="Z221" s="34">
        <f>INDEX(Xtradata!U$2:U$397,$D221)</f>
        <v>0</v>
      </c>
    </row>
    <row r="222" spans="1:26" x14ac:dyDescent="0.25">
      <c r="A222" s="2" t="s">
        <v>375</v>
      </c>
      <c r="B222" s="2" t="s">
        <v>378</v>
      </c>
      <c r="C222" s="2" t="s">
        <v>379</v>
      </c>
      <c r="D222" s="32">
        <f>MATCH(Xtradata!C222,Xtradata!C$2:C620,0)</f>
        <v>221</v>
      </c>
      <c r="E222" s="33">
        <f>INDEX(Xtradata!G$2:G$397,$D222)</f>
        <v>44321</v>
      </c>
      <c r="F222" s="33">
        <f>INDEX(Xtradata!H$2:H$397,$D222)</f>
        <v>44379</v>
      </c>
      <c r="G222" s="2">
        <v>100</v>
      </c>
      <c r="H222" s="2">
        <v>13</v>
      </c>
      <c r="I222" s="2">
        <v>0</v>
      </c>
      <c r="J222" s="33" t="str">
        <f>INDEX(Xtradata!J$2:J$397,$D222)</f>
        <v>TZ</v>
      </c>
      <c r="K222" s="34">
        <f>IF(J222="TZ",INDEX(Xtradata!P$2:P$397,$D222),IF(J222="clip",INDEX(Xtradata!K$2:K$397,$D222),""))</f>
        <v>87</v>
      </c>
      <c r="L222" s="34">
        <f>IF($J222="TZ",INDEX(Xtradata!Q$2:Q$397,$D222),IF($J222="clip",INDEX(Xtradata!L$2:L$397,$D222),""))</f>
        <v>79</v>
      </c>
      <c r="M222" s="34">
        <f>IF($J222="TZ",INDEX(Xtradata!R$2:R$397,$D222),IF($J222="clip",INDEX(Xtradata!M$2:M$397,$D222),""))</f>
        <v>8</v>
      </c>
      <c r="N222" s="2">
        <v>0</v>
      </c>
      <c r="O222" s="34">
        <f>INDEX(Xtradata!T$2:T$397,$D222)</f>
        <v>0</v>
      </c>
      <c r="P222" s="38">
        <f t="shared" si="27"/>
        <v>0</v>
      </c>
      <c r="Q222" s="48">
        <f t="shared" si="28"/>
        <v>0.13</v>
      </c>
      <c r="R222" s="48">
        <f t="shared" si="29"/>
        <v>0.13</v>
      </c>
      <c r="S222" s="48">
        <f t="shared" si="34"/>
        <v>0.79</v>
      </c>
      <c r="T222" s="48">
        <f t="shared" si="30"/>
        <v>0.92</v>
      </c>
      <c r="U222" s="48">
        <f t="shared" si="31"/>
        <v>0</v>
      </c>
      <c r="V222" s="48">
        <f t="shared" si="32"/>
        <v>7.999999999999996E-2</v>
      </c>
      <c r="W222" s="48">
        <f t="shared" si="33"/>
        <v>1</v>
      </c>
      <c r="X222" s="14">
        <f>MATCH(C222,'Weights and Seed Amounts'!C$2:C$400,0)</f>
        <v>221</v>
      </c>
      <c r="Y222" s="58">
        <f>INDEX('Weights and Seed Amounts'!D$2:D$400,$X222)</f>
        <v>0.81599999999999995</v>
      </c>
      <c r="Z222" s="34">
        <f>INDEX(Xtradata!U$2:U$397,$D222)</f>
        <v>0</v>
      </c>
    </row>
    <row r="223" spans="1:26" x14ac:dyDescent="0.25">
      <c r="A223" s="2" t="s">
        <v>375</v>
      </c>
      <c r="B223" s="2" t="s">
        <v>378</v>
      </c>
      <c r="C223" s="2" t="s">
        <v>380</v>
      </c>
      <c r="D223" s="32">
        <f>MATCH(Xtradata!C223,Xtradata!C$2:C621,0)</f>
        <v>222</v>
      </c>
      <c r="E223" s="33">
        <f>INDEX(Xtradata!G$2:G$397,$D223)</f>
        <v>44321</v>
      </c>
      <c r="F223" s="33">
        <f>INDEX(Xtradata!H$2:H$397,$D223)</f>
        <v>44379</v>
      </c>
      <c r="G223" s="2">
        <v>100</v>
      </c>
      <c r="H223" s="2">
        <v>20</v>
      </c>
      <c r="I223" s="2">
        <v>0</v>
      </c>
      <c r="J223" s="33" t="str">
        <f>INDEX(Xtradata!J$2:J$397,$D223)</f>
        <v>TZ</v>
      </c>
      <c r="K223" s="34">
        <f>IF(J223="TZ",INDEX(Xtradata!P$2:P$397,$D223),IF(J223="clip",INDEX(Xtradata!K$2:K$397,$D223),""))</f>
        <v>80</v>
      </c>
      <c r="L223" s="34">
        <f>IF($J223="TZ",INDEX(Xtradata!Q$2:Q$397,$D223),IF($J223="clip",INDEX(Xtradata!L$2:L$397,$D223),""))</f>
        <v>68</v>
      </c>
      <c r="M223" s="34">
        <f>IF($J223="TZ",INDEX(Xtradata!R$2:R$397,$D223),IF($J223="clip",INDEX(Xtradata!M$2:M$397,$D223),""))</f>
        <v>12</v>
      </c>
      <c r="N223" s="2">
        <v>0</v>
      </c>
      <c r="O223" s="34">
        <f>INDEX(Xtradata!T$2:T$397,$D223)</f>
        <v>0</v>
      </c>
      <c r="P223" s="38">
        <f t="shared" si="27"/>
        <v>0</v>
      </c>
      <c r="Q223" s="48">
        <f t="shared" si="28"/>
        <v>0.2</v>
      </c>
      <c r="R223" s="48">
        <f t="shared" si="29"/>
        <v>0.2</v>
      </c>
      <c r="S223" s="48">
        <f t="shared" si="34"/>
        <v>0.68</v>
      </c>
      <c r="T223" s="48">
        <f t="shared" si="30"/>
        <v>0.88</v>
      </c>
      <c r="U223" s="48">
        <f t="shared" si="31"/>
        <v>0</v>
      </c>
      <c r="V223" s="48">
        <f t="shared" si="32"/>
        <v>0.12</v>
      </c>
      <c r="W223" s="48">
        <f t="shared" si="33"/>
        <v>1</v>
      </c>
      <c r="X223" s="14">
        <f>MATCH(C223,'Weights and Seed Amounts'!C$2:C$400,0)</f>
        <v>222</v>
      </c>
      <c r="Y223" s="58">
        <f>INDEX('Weights and Seed Amounts'!D$2:D$400,$X223)</f>
        <v>0.74780000000000002</v>
      </c>
      <c r="Z223" s="34">
        <f>INDEX(Xtradata!U$2:U$397,$D223)</f>
        <v>0</v>
      </c>
    </row>
    <row r="224" spans="1:26" x14ac:dyDescent="0.25">
      <c r="A224" s="2" t="s">
        <v>375</v>
      </c>
      <c r="B224" s="2" t="s">
        <v>378</v>
      </c>
      <c r="C224" s="2" t="s">
        <v>381</v>
      </c>
      <c r="D224" s="32">
        <f>MATCH(Xtradata!C224,Xtradata!C$2:C622,0)</f>
        <v>223</v>
      </c>
      <c r="E224" s="33">
        <f>INDEX(Xtradata!G$2:G$397,$D224)</f>
        <v>44321</v>
      </c>
      <c r="F224" s="33">
        <f>INDEX(Xtradata!H$2:H$397,$D224)</f>
        <v>44379</v>
      </c>
      <c r="G224" s="2">
        <v>100</v>
      </c>
      <c r="H224" s="2">
        <v>35</v>
      </c>
      <c r="I224" s="2">
        <v>0</v>
      </c>
      <c r="J224" s="33" t="str">
        <f>INDEX(Xtradata!J$2:J$397,$D224)</f>
        <v>TZ</v>
      </c>
      <c r="K224" s="34">
        <f>IF(J224="TZ",INDEX(Xtradata!P$2:P$397,$D224),IF(J224="clip",INDEX(Xtradata!K$2:K$397,$D224),""))</f>
        <v>65</v>
      </c>
      <c r="L224" s="34">
        <f>IF($J224="TZ",INDEX(Xtradata!Q$2:Q$397,$D224),IF($J224="clip",INDEX(Xtradata!L$2:L$397,$D224),""))</f>
        <v>50</v>
      </c>
      <c r="M224" s="34">
        <f>IF($J224="TZ",INDEX(Xtradata!R$2:R$397,$D224),IF($J224="clip",INDEX(Xtradata!M$2:M$397,$D224),""))</f>
        <v>15</v>
      </c>
      <c r="N224" s="2">
        <v>0</v>
      </c>
      <c r="O224" s="34">
        <f>INDEX(Xtradata!T$2:T$397,$D224)</f>
        <v>0</v>
      </c>
      <c r="P224" s="38">
        <f t="shared" si="27"/>
        <v>0</v>
      </c>
      <c r="Q224" s="48">
        <f t="shared" si="28"/>
        <v>0.35</v>
      </c>
      <c r="R224" s="48">
        <f t="shared" si="29"/>
        <v>0.35</v>
      </c>
      <c r="S224" s="48">
        <f t="shared" si="34"/>
        <v>0.5</v>
      </c>
      <c r="T224" s="48">
        <f t="shared" si="30"/>
        <v>0.85</v>
      </c>
      <c r="U224" s="48">
        <f t="shared" si="31"/>
        <v>0</v>
      </c>
      <c r="V224" s="48">
        <f t="shared" si="32"/>
        <v>0.15000000000000002</v>
      </c>
      <c r="W224" s="48">
        <f t="shared" si="33"/>
        <v>1</v>
      </c>
      <c r="X224" s="14">
        <f>MATCH(C224,'Weights and Seed Amounts'!C$2:C$400,0)</f>
        <v>223</v>
      </c>
      <c r="Y224" s="58">
        <f>INDEX('Weights and Seed Amounts'!D$2:D$400,$X224)</f>
        <v>0.95830000000000004</v>
      </c>
      <c r="Z224" s="34">
        <f>INDEX(Xtradata!U$2:U$397,$D224)</f>
        <v>0</v>
      </c>
    </row>
    <row r="225" spans="1:26" x14ac:dyDescent="0.25">
      <c r="A225" s="2" t="s">
        <v>375</v>
      </c>
      <c r="B225" s="2" t="s">
        <v>382</v>
      </c>
      <c r="C225" s="2" t="s">
        <v>383</v>
      </c>
      <c r="D225" s="32">
        <f>MATCH(Xtradata!C225,Xtradata!C$2:C623,0)</f>
        <v>224</v>
      </c>
      <c r="E225" s="33">
        <f>INDEX(Xtradata!G$2:G$397,$D225)</f>
        <v>44321</v>
      </c>
      <c r="F225" s="33">
        <f>INDEX(Xtradata!H$2:H$397,$D225)</f>
        <v>44379</v>
      </c>
      <c r="G225" s="2">
        <v>100</v>
      </c>
      <c r="H225" s="2">
        <v>20</v>
      </c>
      <c r="I225" s="2">
        <v>0</v>
      </c>
      <c r="J225" s="33" t="str">
        <f>INDEX(Xtradata!J$2:J$397,$D225)</f>
        <v>TZ</v>
      </c>
      <c r="K225" s="34">
        <f>IF(J225="TZ",INDEX(Xtradata!P$2:P$397,$D225),IF(J225="clip",INDEX(Xtradata!K$2:K$397,$D225),""))</f>
        <v>80</v>
      </c>
      <c r="L225" s="34">
        <f>IF($J225="TZ",INDEX(Xtradata!Q$2:Q$397,$D225),IF($J225="clip",INDEX(Xtradata!L$2:L$397,$D225),""))</f>
        <v>73</v>
      </c>
      <c r="M225" s="34">
        <f>IF($J225="TZ",INDEX(Xtradata!R$2:R$397,$D225),IF($J225="clip",INDEX(Xtradata!M$2:M$397,$D225),""))</f>
        <v>7</v>
      </c>
      <c r="N225" s="2">
        <v>0</v>
      </c>
      <c r="O225" s="34">
        <f>INDEX(Xtradata!T$2:T$397,$D225)</f>
        <v>0</v>
      </c>
      <c r="P225" s="38">
        <f t="shared" si="27"/>
        <v>0</v>
      </c>
      <c r="Q225" s="48">
        <f t="shared" si="28"/>
        <v>0.2</v>
      </c>
      <c r="R225" s="48">
        <f t="shared" si="29"/>
        <v>0.2</v>
      </c>
      <c r="S225" s="48">
        <f t="shared" si="34"/>
        <v>0.73</v>
      </c>
      <c r="T225" s="48">
        <f t="shared" si="30"/>
        <v>0.93</v>
      </c>
      <c r="U225" s="48">
        <f t="shared" si="31"/>
        <v>0</v>
      </c>
      <c r="V225" s="48">
        <f t="shared" si="32"/>
        <v>6.9999999999999951E-2</v>
      </c>
      <c r="W225" s="48">
        <f t="shared" si="33"/>
        <v>0.99999999999999989</v>
      </c>
      <c r="X225" s="14">
        <f>MATCH(C225,'Weights and Seed Amounts'!C$2:C$400,0)</f>
        <v>224</v>
      </c>
      <c r="Y225" s="58">
        <f>INDEX('Weights and Seed Amounts'!D$2:D$400,$X225)</f>
        <v>1.3807</v>
      </c>
      <c r="Z225" s="34">
        <f>INDEX(Xtradata!U$2:U$397,$D225)</f>
        <v>0</v>
      </c>
    </row>
    <row r="226" spans="1:26" x14ac:dyDescent="0.25">
      <c r="A226" s="2" t="s">
        <v>384</v>
      </c>
      <c r="B226" s="2" t="s">
        <v>385</v>
      </c>
      <c r="C226" s="2" t="s">
        <v>386</v>
      </c>
      <c r="D226" s="32">
        <f>MATCH(Xtradata!C226,Xtradata!C$2:C624,0)</f>
        <v>225</v>
      </c>
      <c r="E226" s="33">
        <f>INDEX(Xtradata!G$2:G$397,$D226)</f>
        <v>44313</v>
      </c>
      <c r="F226" s="33">
        <f>INDEX(Xtradata!H$2:H$397,$D226)</f>
        <v>44375</v>
      </c>
      <c r="G226" s="2">
        <v>100</v>
      </c>
      <c r="H226" s="2">
        <v>43</v>
      </c>
      <c r="I226" s="2">
        <v>0</v>
      </c>
      <c r="J226" s="33" t="str">
        <f>INDEX(Xtradata!J$2:J$397,$D226)</f>
        <v>TZ</v>
      </c>
      <c r="K226" s="34">
        <f>IF(J226="TZ",INDEX(Xtradata!P$2:P$397,$D226),IF(J226="clip",INDEX(Xtradata!K$2:K$397,$D226),""))</f>
        <v>57</v>
      </c>
      <c r="L226" s="34">
        <f>IF($J226="TZ",INDEX(Xtradata!Q$2:Q$397,$D226),IF($J226="clip",INDEX(Xtradata!L$2:L$397,$D226),""))</f>
        <v>34</v>
      </c>
      <c r="M226" s="34">
        <f>IF($J226="TZ",INDEX(Xtradata!R$2:R$397,$D226),IF($J226="clip",INDEX(Xtradata!M$2:M$397,$D226),""))</f>
        <v>23</v>
      </c>
      <c r="N226" s="2">
        <v>0</v>
      </c>
      <c r="O226" s="34">
        <f>INDEX(Xtradata!T$2:T$397,$D226)</f>
        <v>0</v>
      </c>
      <c r="P226" s="38">
        <f t="shared" si="27"/>
        <v>0</v>
      </c>
      <c r="Q226" s="48">
        <f t="shared" si="28"/>
        <v>0.43</v>
      </c>
      <c r="R226" s="48">
        <f t="shared" si="29"/>
        <v>0.43</v>
      </c>
      <c r="S226" s="48">
        <f t="shared" si="34"/>
        <v>0.34</v>
      </c>
      <c r="T226" s="48">
        <f t="shared" si="30"/>
        <v>0.77</v>
      </c>
      <c r="U226" s="48">
        <f t="shared" si="31"/>
        <v>0</v>
      </c>
      <c r="V226" s="48">
        <f t="shared" si="32"/>
        <v>0.22999999999999998</v>
      </c>
      <c r="W226" s="48">
        <f t="shared" si="33"/>
        <v>1</v>
      </c>
      <c r="X226" s="14">
        <f>MATCH(C226,'Weights and Seed Amounts'!C$2:C$400,0)</f>
        <v>225</v>
      </c>
      <c r="Y226" s="58">
        <f>INDEX('Weights and Seed Amounts'!D$2:D$400,$X226)</f>
        <v>5.57E-2</v>
      </c>
      <c r="Z226" s="34">
        <f>INDEX(Xtradata!U$2:U$397,$D226)</f>
        <v>0</v>
      </c>
    </row>
    <row r="227" spans="1:26" x14ac:dyDescent="0.25">
      <c r="A227" s="2" t="s">
        <v>384</v>
      </c>
      <c r="B227" s="63" t="s">
        <v>722</v>
      </c>
      <c r="C227" s="2" t="s">
        <v>387</v>
      </c>
      <c r="D227" s="32">
        <f>MATCH(Xtradata!C227,Xtradata!C$2:C625,0)</f>
        <v>226</v>
      </c>
      <c r="E227" s="33">
        <f>INDEX(Xtradata!G$2:G$397,$D227)</f>
        <v>44291</v>
      </c>
      <c r="F227" s="33">
        <f>INDEX(Xtradata!H$2:H$397,$D227)</f>
        <v>44356</v>
      </c>
      <c r="G227" s="41">
        <f>98+2</f>
        <v>100</v>
      </c>
      <c r="H227" s="2">
        <v>74</v>
      </c>
      <c r="I227" s="2">
        <v>0</v>
      </c>
      <c r="J227" s="33" t="str">
        <f>INDEX(Xtradata!J$2:J$397,$D227)</f>
        <v>TZ</v>
      </c>
      <c r="K227" s="34">
        <f>IF(J227="TZ",INDEX(Xtradata!P$2:P$397,$D227),IF(J227="clip",INDEX(Xtradata!K$2:K$397,$D227),""))</f>
        <v>24</v>
      </c>
      <c r="L227" s="34">
        <f>IF($J227="TZ",INDEX(Xtradata!Q$2:Q$397,$D227),IF($J227="clip",INDEX(Xtradata!L$2:L$397,$D227),""))</f>
        <v>12</v>
      </c>
      <c r="M227" s="34">
        <f>IF($J227="TZ",INDEX(Xtradata!R$2:R$397,$D227),IF($J227="clip",INDEX(Xtradata!M$2:M$397,$D227),""))</f>
        <v>12</v>
      </c>
      <c r="N227" s="2">
        <v>2</v>
      </c>
      <c r="O227" s="34">
        <f>INDEX(Xtradata!T$2:T$397,$D227)</f>
        <v>0</v>
      </c>
      <c r="P227" s="38">
        <f t="shared" si="27"/>
        <v>0</v>
      </c>
      <c r="Q227" s="48">
        <f t="shared" si="28"/>
        <v>0.74</v>
      </c>
      <c r="R227" s="48">
        <f t="shared" si="29"/>
        <v>0.74</v>
      </c>
      <c r="S227" s="48">
        <f t="shared" si="34"/>
        <v>0.12</v>
      </c>
      <c r="T227" s="48">
        <f t="shared" si="30"/>
        <v>0.86</v>
      </c>
      <c r="U227" s="48">
        <f t="shared" si="31"/>
        <v>0.02</v>
      </c>
      <c r="V227" s="48">
        <f t="shared" si="32"/>
        <v>0.12000000000000001</v>
      </c>
      <c r="W227" s="48">
        <f t="shared" si="33"/>
        <v>1</v>
      </c>
      <c r="X227" s="14">
        <f>MATCH(C227,'Weights and Seed Amounts'!C$2:C$400,0)</f>
        <v>226</v>
      </c>
      <c r="Y227" s="58">
        <f>INDEX('Weights and Seed Amounts'!D$2:D$400,$X227)</f>
        <v>2.5899999999999999E-2</v>
      </c>
      <c r="Z227" s="34">
        <f>INDEX(Xtradata!U$2:U$397,$D227)</f>
        <v>0</v>
      </c>
    </row>
    <row r="228" spans="1:26" x14ac:dyDescent="0.25">
      <c r="A228" s="2" t="s">
        <v>384</v>
      </c>
      <c r="B228" s="2" t="s">
        <v>388</v>
      </c>
      <c r="C228" s="2" t="s">
        <v>389</v>
      </c>
      <c r="D228" s="32">
        <f>MATCH(Xtradata!C228,Xtradata!C$2:C626,0)</f>
        <v>227</v>
      </c>
      <c r="E228" s="33">
        <f>INDEX(Xtradata!G$2:G$397,$D228)</f>
        <v>44329</v>
      </c>
      <c r="F228" s="33">
        <f>INDEX(Xtradata!H$2:H$397,$D228)</f>
        <v>44375</v>
      </c>
      <c r="G228" s="2">
        <v>100</v>
      </c>
      <c r="H228" s="2">
        <v>2</v>
      </c>
      <c r="I228" s="2">
        <v>0</v>
      </c>
      <c r="J228" s="33" t="str">
        <f>INDEX(Xtradata!J$2:J$397,$D228)</f>
        <v>TZ</v>
      </c>
      <c r="K228" s="34">
        <f>IF(J228="TZ",INDEX(Xtradata!P$2:P$397,$D228),IF(J228="clip",INDEX(Xtradata!K$2:K$397,$D228),""))</f>
        <v>98</v>
      </c>
      <c r="L228" s="34">
        <f>IF($J228="TZ",INDEX(Xtradata!Q$2:Q$397,$D228),IF($J228="clip",INDEX(Xtradata!L$2:L$397,$D228),""))</f>
        <v>29</v>
      </c>
      <c r="M228" s="34">
        <f>IF($J228="TZ",INDEX(Xtradata!R$2:R$397,$D228),IF($J228="clip",INDEX(Xtradata!M$2:M$397,$D228),""))</f>
        <v>69</v>
      </c>
      <c r="N228" s="2">
        <v>0</v>
      </c>
      <c r="O228" s="34">
        <f>INDEX(Xtradata!T$2:T$397,$D228)</f>
        <v>0</v>
      </c>
      <c r="P228" s="38">
        <f t="shared" si="27"/>
        <v>0</v>
      </c>
      <c r="Q228" s="48">
        <f t="shared" si="28"/>
        <v>0.02</v>
      </c>
      <c r="R228" s="48">
        <f t="shared" si="29"/>
        <v>0.02</v>
      </c>
      <c r="S228" s="48">
        <f t="shared" si="34"/>
        <v>0.28999999999999998</v>
      </c>
      <c r="T228" s="48">
        <f t="shared" si="30"/>
        <v>0.31</v>
      </c>
      <c r="U228" s="48">
        <f t="shared" si="31"/>
        <v>0</v>
      </c>
      <c r="V228" s="48">
        <f t="shared" si="32"/>
        <v>0.69</v>
      </c>
      <c r="W228" s="48">
        <f t="shared" si="33"/>
        <v>1</v>
      </c>
      <c r="X228" s="14">
        <f>MATCH(C228,'Weights and Seed Amounts'!C$2:C$400,0)</f>
        <v>227</v>
      </c>
      <c r="Y228" s="58">
        <f>INDEX('Weights and Seed Amounts'!D$2:D$400,$X228)</f>
        <v>2.4299999999999999E-2</v>
      </c>
      <c r="Z228" s="34">
        <f>INDEX(Xtradata!U$2:U$397,$D228)</f>
        <v>0</v>
      </c>
    </row>
    <row r="229" spans="1:26" x14ac:dyDescent="0.25">
      <c r="A229" s="2" t="s">
        <v>384</v>
      </c>
      <c r="B229" s="2" t="s">
        <v>388</v>
      </c>
      <c r="C229" s="2" t="s">
        <v>390</v>
      </c>
      <c r="D229" s="32">
        <f>MATCH(Xtradata!C229,Xtradata!C$2:C627,0)</f>
        <v>228</v>
      </c>
      <c r="E229" s="33">
        <f>INDEX(Xtradata!G$2:G$397,$D229)</f>
        <v>44329</v>
      </c>
      <c r="F229" s="33">
        <f>INDEX(Xtradata!H$2:H$397,$D229)</f>
        <v>44375</v>
      </c>
      <c r="G229" s="2">
        <v>100</v>
      </c>
      <c r="H229" s="2">
        <v>5</v>
      </c>
      <c r="I229" s="2">
        <v>0</v>
      </c>
      <c r="J229" s="33" t="str">
        <f>INDEX(Xtradata!J$2:J$397,$D229)</f>
        <v>TZ</v>
      </c>
      <c r="K229" s="34">
        <f>IF(J229="TZ",INDEX(Xtradata!P$2:P$397,$D229),IF(J229="clip",INDEX(Xtradata!K$2:K$397,$D229),""))</f>
        <v>95</v>
      </c>
      <c r="L229" s="34">
        <f>IF($J229="TZ",INDEX(Xtradata!Q$2:Q$397,$D229),IF($J229="clip",INDEX(Xtradata!L$2:L$397,$D229),""))</f>
        <v>33</v>
      </c>
      <c r="M229" s="34">
        <f>IF($J229="TZ",INDEX(Xtradata!R$2:R$397,$D229),IF($J229="clip",INDEX(Xtradata!M$2:M$397,$D229),""))</f>
        <v>62</v>
      </c>
      <c r="N229" s="2">
        <v>0</v>
      </c>
      <c r="O229" s="34">
        <f>INDEX(Xtradata!T$2:T$397,$D229)</f>
        <v>0</v>
      </c>
      <c r="P229" s="38">
        <f t="shared" si="27"/>
        <v>0</v>
      </c>
      <c r="Q229" s="48">
        <f t="shared" si="28"/>
        <v>0.05</v>
      </c>
      <c r="R229" s="48">
        <f t="shared" si="29"/>
        <v>0.05</v>
      </c>
      <c r="S229" s="48">
        <f t="shared" si="34"/>
        <v>0.33</v>
      </c>
      <c r="T229" s="48">
        <f t="shared" si="30"/>
        <v>0.38</v>
      </c>
      <c r="U229" s="48">
        <f t="shared" si="31"/>
        <v>0</v>
      </c>
      <c r="V229" s="48">
        <f t="shared" si="32"/>
        <v>0.62</v>
      </c>
      <c r="W229" s="48">
        <f t="shared" si="33"/>
        <v>1</v>
      </c>
      <c r="X229" s="14">
        <f>MATCH(C229,'Weights and Seed Amounts'!C$2:C$400,0)</f>
        <v>228</v>
      </c>
      <c r="Y229" s="58">
        <f>INDEX('Weights and Seed Amounts'!D$2:D$400,$X229)</f>
        <v>2.46E-2</v>
      </c>
      <c r="Z229" s="34">
        <f>INDEX(Xtradata!U$2:U$397,$D229)</f>
        <v>0</v>
      </c>
    </row>
    <row r="230" spans="1:26" x14ac:dyDescent="0.25">
      <c r="A230" s="2" t="s">
        <v>391</v>
      </c>
      <c r="B230" s="2" t="s">
        <v>392</v>
      </c>
      <c r="C230" s="2" t="s">
        <v>393</v>
      </c>
      <c r="D230" s="32">
        <f>MATCH(Xtradata!C230,Xtradata!C$2:C628,0)</f>
        <v>229</v>
      </c>
      <c r="E230" s="33">
        <f>INDEX(Xtradata!G$2:G$397,$D230)</f>
        <v>44343</v>
      </c>
      <c r="F230" s="33">
        <f>INDEX(Xtradata!H$2:H$397,$D230)</f>
        <v>44375</v>
      </c>
      <c r="G230" s="2">
        <v>100</v>
      </c>
      <c r="H230" s="2">
        <v>1</v>
      </c>
      <c r="I230" s="2">
        <v>6</v>
      </c>
      <c r="J230" s="33" t="str">
        <f>INDEX(Xtradata!J$2:J$397,$D230)</f>
        <v>TZ</v>
      </c>
      <c r="K230" s="34">
        <f>IF(J230="TZ",INDEX(Xtradata!P$2:P$397,$D230),IF(J230="clip",INDEX(Xtradata!K$2:K$397,$D230),""))</f>
        <v>93</v>
      </c>
      <c r="L230" s="34">
        <f>IF($J230="TZ",INDEX(Xtradata!Q$2:Q$397,$D230),IF($J230="clip",INDEX(Xtradata!L$2:L$397,$D230),""))</f>
        <v>92</v>
      </c>
      <c r="M230" s="34">
        <f>IF($J230="TZ",INDEX(Xtradata!R$2:R$397,$D230),IF($J230="clip",INDEX(Xtradata!M$2:M$397,$D230),""))</f>
        <v>1</v>
      </c>
      <c r="N230" s="2">
        <v>0</v>
      </c>
      <c r="O230" s="34">
        <f>INDEX(Xtradata!T$2:T$397,$D230)</f>
        <v>0</v>
      </c>
      <c r="P230" s="38">
        <f t="shared" si="27"/>
        <v>0</v>
      </c>
      <c r="Q230" s="48">
        <f t="shared" si="28"/>
        <v>0.01</v>
      </c>
      <c r="R230" s="48">
        <f t="shared" si="29"/>
        <v>7.0000000000000007E-2</v>
      </c>
      <c r="S230" s="48">
        <f t="shared" si="34"/>
        <v>0.92</v>
      </c>
      <c r="T230" s="48">
        <f t="shared" si="30"/>
        <v>0.99</v>
      </c>
      <c r="U230" s="48">
        <f t="shared" si="31"/>
        <v>0</v>
      </c>
      <c r="V230" s="48">
        <f t="shared" si="32"/>
        <v>1.0000000000000009E-2</v>
      </c>
      <c r="W230" s="48">
        <f t="shared" si="33"/>
        <v>1</v>
      </c>
      <c r="X230" s="14">
        <f>MATCH(C230,'Weights and Seed Amounts'!C$2:C$400,0)</f>
        <v>229</v>
      </c>
      <c r="Y230" s="58">
        <f>INDEX('Weights and Seed Amounts'!D$2:D$400,$X230)</f>
        <v>8.3000000000000004E-2</v>
      </c>
      <c r="Z230" s="34">
        <f>INDEX(Xtradata!U$2:U$397,$D230)</f>
        <v>0</v>
      </c>
    </row>
    <row r="231" spans="1:26" x14ac:dyDescent="0.25">
      <c r="A231" s="2" t="s">
        <v>394</v>
      </c>
      <c r="B231" s="2" t="s">
        <v>395</v>
      </c>
      <c r="C231" s="2" t="s">
        <v>396</v>
      </c>
      <c r="D231" s="32">
        <f>MATCH(Xtradata!C231,Xtradata!C$2:C629,0)</f>
        <v>230</v>
      </c>
      <c r="E231" s="33">
        <f>INDEX(Xtradata!G$2:G$397,$D231)</f>
        <v>44301</v>
      </c>
      <c r="F231" s="33">
        <f>INDEX(Xtradata!H$2:H$397,$D231)</f>
        <v>44349</v>
      </c>
      <c r="G231" s="2">
        <v>104</v>
      </c>
      <c r="H231" s="2">
        <v>40</v>
      </c>
      <c r="I231" s="2">
        <v>5</v>
      </c>
      <c r="J231" s="33" t="str">
        <f>INDEX(Xtradata!J$2:J$397,$D231)</f>
        <v>TZ</v>
      </c>
      <c r="K231" s="34">
        <f>IF(J231="TZ",INDEX(Xtradata!P$2:P$397,$D231),IF(J231="clip",INDEX(Xtradata!K$2:K$397,$D231),""))</f>
        <v>55</v>
      </c>
      <c r="L231" s="34">
        <f>IF($J231="TZ",INDEX(Xtradata!Q$2:Q$397,$D231),IF($J231="clip",INDEX(Xtradata!L$2:L$397,$D231),""))</f>
        <v>31</v>
      </c>
      <c r="M231" s="34">
        <f>IF($J231="TZ",INDEX(Xtradata!R$2:R$397,$D231),IF($J231="clip",INDEX(Xtradata!M$2:M$397,$D231),""))</f>
        <v>24</v>
      </c>
      <c r="N231" s="2">
        <v>0</v>
      </c>
      <c r="O231" s="34">
        <f>INDEX(Xtradata!T$2:T$397,$D231)</f>
        <v>4</v>
      </c>
      <c r="P231" s="38">
        <f t="shared" si="27"/>
        <v>0</v>
      </c>
      <c r="Q231" s="48">
        <f t="shared" si="28"/>
        <v>0.38461538461538464</v>
      </c>
      <c r="R231" s="48">
        <f t="shared" si="29"/>
        <v>0.43269230769230771</v>
      </c>
      <c r="S231" s="48">
        <f t="shared" si="34"/>
        <v>0.29807692307692307</v>
      </c>
      <c r="T231" s="48">
        <f t="shared" si="30"/>
        <v>0.73076923076923073</v>
      </c>
      <c r="U231" s="48">
        <f t="shared" si="31"/>
        <v>0</v>
      </c>
      <c r="V231" s="48">
        <f t="shared" si="32"/>
        <v>0.26923076923076927</v>
      </c>
      <c r="W231" s="48">
        <f t="shared" si="33"/>
        <v>1</v>
      </c>
      <c r="X231" s="14">
        <f>MATCH(C231,'Weights and Seed Amounts'!C$2:C$400,0)</f>
        <v>230</v>
      </c>
      <c r="Y231" s="58">
        <f>INDEX('Weights and Seed Amounts'!D$2:D$400,$X231)</f>
        <v>5.5100000000000003E-2</v>
      </c>
      <c r="Z231" s="34">
        <f>INDEX(Xtradata!U$2:U$397,$D231)</f>
        <v>0</v>
      </c>
    </row>
    <row r="232" spans="1:26" x14ac:dyDescent="0.25">
      <c r="A232" s="2" t="s">
        <v>394</v>
      </c>
      <c r="B232" s="2" t="s">
        <v>395</v>
      </c>
      <c r="C232" s="2" t="s">
        <v>397</v>
      </c>
      <c r="D232" s="32">
        <f>MATCH(Xtradata!C232,Xtradata!C$2:C630,0)</f>
        <v>231</v>
      </c>
      <c r="E232" s="33">
        <f>INDEX(Xtradata!G$2:G$397,$D232)</f>
        <v>44301</v>
      </c>
      <c r="F232" s="33">
        <f>INDEX(Xtradata!H$2:H$397,$D232)</f>
        <v>44349</v>
      </c>
      <c r="G232" s="2">
        <v>108</v>
      </c>
      <c r="H232" s="2">
        <v>25</v>
      </c>
      <c r="I232" s="2">
        <v>8</v>
      </c>
      <c r="J232" s="33" t="str">
        <f>INDEX(Xtradata!J$2:J$397,$D232)</f>
        <v>TZ</v>
      </c>
      <c r="K232" s="34">
        <f>IF(J232="TZ",INDEX(Xtradata!P$2:P$397,$D232),IF(J232="clip",INDEX(Xtradata!K$2:K$397,$D232),""))</f>
        <v>67</v>
      </c>
      <c r="L232" s="34">
        <f>IF($J232="TZ",INDEX(Xtradata!Q$2:Q$397,$D232),IF($J232="clip",INDEX(Xtradata!L$2:L$397,$D232),""))</f>
        <v>4</v>
      </c>
      <c r="M232" s="34">
        <f>IF($J232="TZ",INDEX(Xtradata!R$2:R$397,$D232),IF($J232="clip",INDEX(Xtradata!M$2:M$397,$D232),""))</f>
        <v>63</v>
      </c>
      <c r="N232" s="2">
        <v>0</v>
      </c>
      <c r="O232" s="34">
        <f>INDEX(Xtradata!T$2:T$397,$D232)</f>
        <v>8</v>
      </c>
      <c r="P232" s="38">
        <f t="shared" si="27"/>
        <v>0</v>
      </c>
      <c r="Q232" s="48">
        <f t="shared" si="28"/>
        <v>0.23148148148148148</v>
      </c>
      <c r="R232" s="48">
        <f t="shared" si="29"/>
        <v>0.30555555555555558</v>
      </c>
      <c r="S232" s="48">
        <f t="shared" si="34"/>
        <v>3.7037037037037035E-2</v>
      </c>
      <c r="T232" s="48">
        <f t="shared" si="30"/>
        <v>0.34259259259259262</v>
      </c>
      <c r="U232" s="48">
        <f t="shared" si="31"/>
        <v>0</v>
      </c>
      <c r="V232" s="48">
        <f t="shared" si="32"/>
        <v>0.65740740740740744</v>
      </c>
      <c r="W232" s="48">
        <f t="shared" si="33"/>
        <v>1</v>
      </c>
      <c r="X232" s="14">
        <f>MATCH(C232,'Weights and Seed Amounts'!C$2:C$400,0)</f>
        <v>231</v>
      </c>
      <c r="Y232" s="58">
        <f>INDEX('Weights and Seed Amounts'!D$2:D$400,$X232)</f>
        <v>7.1999999999999995E-2</v>
      </c>
      <c r="Z232" s="34">
        <f>INDEX(Xtradata!U$2:U$397,$D232)</f>
        <v>0</v>
      </c>
    </row>
    <row r="233" spans="1:26" x14ac:dyDescent="0.25">
      <c r="A233" s="2" t="s">
        <v>398</v>
      </c>
      <c r="B233" s="2" t="s">
        <v>399</v>
      </c>
      <c r="C233" s="2" t="s">
        <v>400</v>
      </c>
      <c r="D233" s="32">
        <f>MATCH(Xtradata!C233,Xtradata!C$2:C631,0)</f>
        <v>232</v>
      </c>
      <c r="E233" s="33">
        <f>INDEX(Xtradata!G$2:G$397,$D233)</f>
        <v>44301</v>
      </c>
      <c r="F233" s="33">
        <f>INDEX(Xtradata!H$2:H$397,$D233)</f>
        <v>44344</v>
      </c>
      <c r="G233" s="2">
        <v>100</v>
      </c>
      <c r="H233" s="2">
        <v>49</v>
      </c>
      <c r="I233" s="2">
        <v>7</v>
      </c>
      <c r="J233" s="33" t="str">
        <f>INDEX(Xtradata!J$2:J$397,$D233)</f>
        <v>N/A</v>
      </c>
      <c r="K233" s="34" t="str">
        <f>IF(J233="TZ",INDEX(Xtradata!P$2:P$397,$D233),IF(J233="clip",INDEX(Xtradata!K$2:K$397,$D233),""))</f>
        <v/>
      </c>
      <c r="L233" s="34" t="str">
        <f>IF($J233="TZ",INDEX(Xtradata!Q$2:Q$397,$D233),IF($J233="clip",INDEX(Xtradata!L$2:L$397,$D233),""))</f>
        <v/>
      </c>
      <c r="M233" s="34" t="str">
        <f>IF($J233="TZ",INDEX(Xtradata!R$2:R$397,$D233),IF($J233="clip",INDEX(Xtradata!M$2:M$397,$D233),""))</f>
        <v/>
      </c>
      <c r="N233" s="2">
        <v>44</v>
      </c>
      <c r="O233" s="34">
        <f>INDEX(Xtradata!T$2:T$397,$D233)</f>
        <v>0</v>
      </c>
      <c r="P233" s="38">
        <f t="shared" si="27"/>
        <v>0</v>
      </c>
      <c r="Q233" s="48">
        <f t="shared" si="28"/>
        <v>0.49</v>
      </c>
      <c r="R233" s="48">
        <f t="shared" si="29"/>
        <v>0.56000000000000005</v>
      </c>
      <c r="S233" s="48">
        <f t="shared" si="34"/>
        <v>0</v>
      </c>
      <c r="T233" s="48">
        <f t="shared" si="30"/>
        <v>0.56000000000000005</v>
      </c>
      <c r="U233" s="48">
        <f t="shared" si="31"/>
        <v>0.44</v>
      </c>
      <c r="V233" s="48">
        <f t="shared" si="32"/>
        <v>-5.5511151231257827E-17</v>
      </c>
      <c r="W233" s="48">
        <f t="shared" si="33"/>
        <v>1</v>
      </c>
      <c r="X233" s="14">
        <f>MATCH(C233,'Weights and Seed Amounts'!C$2:C$400,0)</f>
        <v>232</v>
      </c>
      <c r="Y233" s="58">
        <f>INDEX('Weights and Seed Amounts'!D$2:D$400,$X233)</f>
        <v>0.14829999999999999</v>
      </c>
      <c r="Z233" s="34">
        <f>INDEX(Xtradata!U$2:U$397,$D233)</f>
        <v>0</v>
      </c>
    </row>
    <row r="234" spans="1:26" x14ac:dyDescent="0.25">
      <c r="A234" s="2" t="s">
        <v>401</v>
      </c>
      <c r="B234" s="2" t="s">
        <v>402</v>
      </c>
      <c r="C234" s="2" t="s">
        <v>403</v>
      </c>
      <c r="D234" s="32">
        <f>MATCH(Xtradata!C234,Xtradata!C$2:C632,0)</f>
        <v>233</v>
      </c>
      <c r="E234" s="33">
        <f>INDEX(Xtradata!G$2:G$397,$D234)</f>
        <v>44372</v>
      </c>
      <c r="F234" s="33">
        <f>INDEX(Xtradata!H$2:H$397,$D234)</f>
        <v>44403</v>
      </c>
      <c r="G234" s="2">
        <v>100</v>
      </c>
      <c r="H234" s="2">
        <v>25</v>
      </c>
      <c r="I234" s="2">
        <v>0</v>
      </c>
      <c r="J234" s="33" t="str">
        <f>INDEX(Xtradata!J$2:J$397,$D234)</f>
        <v>TZ</v>
      </c>
      <c r="K234" s="34">
        <f>IF(J234="TZ",INDEX(Xtradata!P$2:P$397,$D234),IF(J234="clip",INDEX(Xtradata!K$2:K$397,$D234),""))</f>
        <v>27</v>
      </c>
      <c r="L234" s="34">
        <f>IF($J234="TZ",INDEX(Xtradata!Q$2:Q$397,$D234),IF($J234="clip",INDEX(Xtradata!L$2:L$397,$D234),""))</f>
        <v>26</v>
      </c>
      <c r="M234" s="34">
        <f>IF($J234="TZ",INDEX(Xtradata!R$2:R$397,$D234),IF($J234="clip",INDEX(Xtradata!M$2:M$397,$D234),""))</f>
        <v>1</v>
      </c>
      <c r="N234" s="2">
        <v>48</v>
      </c>
      <c r="O234" s="34">
        <f>INDEX(Xtradata!T$2:T$397,$D234)</f>
        <v>0</v>
      </c>
      <c r="P234" s="38">
        <f t="shared" si="27"/>
        <v>0</v>
      </c>
      <c r="Q234" s="48">
        <f t="shared" si="28"/>
        <v>0.25</v>
      </c>
      <c r="R234" s="48">
        <f t="shared" si="29"/>
        <v>0.25</v>
      </c>
      <c r="S234" s="48">
        <f t="shared" si="34"/>
        <v>0.26</v>
      </c>
      <c r="T234" s="48">
        <f t="shared" si="30"/>
        <v>0.51</v>
      </c>
      <c r="U234" s="48">
        <f t="shared" si="31"/>
        <v>0.48</v>
      </c>
      <c r="V234" s="48">
        <f t="shared" si="32"/>
        <v>1.0000000000000009E-2</v>
      </c>
      <c r="W234" s="48">
        <f t="shared" si="33"/>
        <v>1</v>
      </c>
      <c r="X234" s="14">
        <f>MATCH(C234,'Weights and Seed Amounts'!C$2:C$400,0)</f>
        <v>233</v>
      </c>
      <c r="Y234" s="58">
        <f>INDEX('Weights and Seed Amounts'!D$2:D$400,$X234)</f>
        <v>0.1681</v>
      </c>
      <c r="Z234" s="34">
        <f>INDEX(Xtradata!U$2:U$397,$D234)</f>
        <v>0</v>
      </c>
    </row>
    <row r="235" spans="1:26" x14ac:dyDescent="0.25">
      <c r="A235" s="2" t="s">
        <v>401</v>
      </c>
      <c r="B235" s="2" t="s">
        <v>404</v>
      </c>
      <c r="C235" s="2" t="s">
        <v>405</v>
      </c>
      <c r="D235" s="32">
        <f>MATCH(Xtradata!C235,Xtradata!C$2:C633,0)</f>
        <v>234</v>
      </c>
      <c r="E235" s="33">
        <f>INDEX(Xtradata!G$2:G$397,$D235)</f>
        <v>44372</v>
      </c>
      <c r="F235" s="33">
        <f>INDEX(Xtradata!H$2:H$397,$D235)</f>
        <v>44403</v>
      </c>
      <c r="G235" s="2">
        <v>100</v>
      </c>
      <c r="H235" s="2">
        <v>10</v>
      </c>
      <c r="I235" s="2">
        <v>0</v>
      </c>
      <c r="J235" s="33" t="str">
        <f>INDEX(Xtradata!J$2:J$397,$D235)</f>
        <v>N/A</v>
      </c>
      <c r="K235" s="34" t="str">
        <f>IF(J235="TZ",INDEX(Xtradata!P$2:P$397,$D235),IF(J235="clip",INDEX(Xtradata!K$2:K$397,$D235),""))</f>
        <v/>
      </c>
      <c r="L235" s="34" t="str">
        <f>IF($J235="TZ",INDEX(Xtradata!Q$2:Q$397,$D235),IF($J235="clip",INDEX(Xtradata!L$2:L$397,$D235),""))</f>
        <v/>
      </c>
      <c r="M235" s="34" t="str">
        <f>IF($J235="TZ",INDEX(Xtradata!R$2:R$397,$D235),IF($J235="clip",INDEX(Xtradata!M$2:M$397,$D235),""))</f>
        <v/>
      </c>
      <c r="N235" s="2">
        <v>90</v>
      </c>
      <c r="O235" s="34">
        <f>INDEX(Xtradata!T$2:T$397,$D235)</f>
        <v>0</v>
      </c>
      <c r="P235" s="38">
        <f t="shared" si="27"/>
        <v>0</v>
      </c>
      <c r="Q235" s="48">
        <f t="shared" si="28"/>
        <v>0.1</v>
      </c>
      <c r="R235" s="48">
        <f t="shared" si="29"/>
        <v>0.1</v>
      </c>
      <c r="S235" s="48">
        <f t="shared" si="34"/>
        <v>0</v>
      </c>
      <c r="T235" s="48">
        <f t="shared" si="30"/>
        <v>0.1</v>
      </c>
      <c r="U235" s="48">
        <f t="shared" si="31"/>
        <v>0.9</v>
      </c>
      <c r="V235" s="48">
        <f t="shared" si="32"/>
        <v>0</v>
      </c>
      <c r="W235" s="48">
        <f t="shared" si="33"/>
        <v>1</v>
      </c>
      <c r="X235" s="14">
        <f>MATCH(C235,'Weights and Seed Amounts'!C$2:C$400,0)</f>
        <v>234</v>
      </c>
      <c r="Y235" s="58">
        <f>INDEX('Weights and Seed Amounts'!D$2:D$400,$X235)</f>
        <v>0.1249</v>
      </c>
      <c r="Z235" s="34">
        <f>INDEX(Xtradata!U$2:U$397,$D235)</f>
        <v>0</v>
      </c>
    </row>
    <row r="236" spans="1:26" x14ac:dyDescent="0.25">
      <c r="A236" s="2" t="s">
        <v>401</v>
      </c>
      <c r="B236" s="2" t="s">
        <v>404</v>
      </c>
      <c r="C236" s="2" t="s">
        <v>406</v>
      </c>
      <c r="D236" s="32">
        <f>MATCH(Xtradata!C236,Xtradata!C$2:C634,0)</f>
        <v>235</v>
      </c>
      <c r="E236" s="33">
        <f>INDEX(Xtradata!G$2:G$397,$D236)</f>
        <v>44372</v>
      </c>
      <c r="F236" s="33">
        <f>INDEX(Xtradata!H$2:H$397,$D236)</f>
        <v>44403</v>
      </c>
      <c r="G236" s="2">
        <v>100</v>
      </c>
      <c r="H236" s="2">
        <v>4</v>
      </c>
      <c r="I236" s="2">
        <v>0</v>
      </c>
      <c r="J236" s="33" t="str">
        <f>INDEX(Xtradata!J$2:J$397,$D236)</f>
        <v>N/A</v>
      </c>
      <c r="K236" s="34" t="str">
        <f>IF(J236="TZ",INDEX(Xtradata!P$2:P$397,$D236),IF(J236="clip",INDEX(Xtradata!K$2:K$397,$D236),""))</f>
        <v/>
      </c>
      <c r="L236" s="34" t="str">
        <f>IF($J236="TZ",INDEX(Xtradata!Q$2:Q$397,$D236),IF($J236="clip",INDEX(Xtradata!L$2:L$397,$D236),""))</f>
        <v/>
      </c>
      <c r="M236" s="34" t="str">
        <f>IF($J236="TZ",INDEX(Xtradata!R$2:R$397,$D236),IF($J236="clip",INDEX(Xtradata!M$2:M$397,$D236),""))</f>
        <v/>
      </c>
      <c r="N236" s="2">
        <v>96</v>
      </c>
      <c r="O236" s="34">
        <f>INDEX(Xtradata!T$2:T$397,$D236)</f>
        <v>0</v>
      </c>
      <c r="P236" s="38">
        <f t="shared" si="27"/>
        <v>0</v>
      </c>
      <c r="Q236" s="48">
        <f t="shared" si="28"/>
        <v>0.04</v>
      </c>
      <c r="R236" s="48">
        <f t="shared" si="29"/>
        <v>0.04</v>
      </c>
      <c r="S236" s="48">
        <f t="shared" si="34"/>
        <v>0</v>
      </c>
      <c r="T236" s="48">
        <f t="shared" si="30"/>
        <v>0.04</v>
      </c>
      <c r="U236" s="48">
        <f t="shared" si="31"/>
        <v>0.96</v>
      </c>
      <c r="V236" s="48">
        <f t="shared" si="32"/>
        <v>0</v>
      </c>
      <c r="W236" s="48">
        <f t="shared" si="33"/>
        <v>1</v>
      </c>
      <c r="X236" s="14">
        <f>MATCH(C236,'Weights and Seed Amounts'!C$2:C$400,0)</f>
        <v>235</v>
      </c>
      <c r="Y236" s="58">
        <f>INDEX('Weights and Seed Amounts'!D$2:D$400,$X236)</f>
        <v>0.10979999999999999</v>
      </c>
      <c r="Z236" s="34">
        <f>INDEX(Xtradata!U$2:U$397,$D236)</f>
        <v>0</v>
      </c>
    </row>
    <row r="237" spans="1:26" x14ac:dyDescent="0.25">
      <c r="A237" s="2" t="s">
        <v>401</v>
      </c>
      <c r="B237" s="2" t="s">
        <v>404</v>
      </c>
      <c r="C237" s="2" t="s">
        <v>407</v>
      </c>
      <c r="D237" s="32">
        <f>MATCH(Xtradata!C237,Xtradata!C$2:C635,0)</f>
        <v>236</v>
      </c>
      <c r="E237" s="33">
        <f>INDEX(Xtradata!G$2:G$397,$D237)</f>
        <v>44372</v>
      </c>
      <c r="F237" s="33">
        <f>INDEX(Xtradata!H$2:H$397,$D237)</f>
        <v>44403</v>
      </c>
      <c r="G237" s="2">
        <v>100</v>
      </c>
      <c r="H237" s="2">
        <v>12</v>
      </c>
      <c r="I237" s="2">
        <v>0</v>
      </c>
      <c r="J237" s="33" t="str">
        <f>INDEX(Xtradata!J$2:J$397,$D237)</f>
        <v>TZ</v>
      </c>
      <c r="K237" s="34">
        <f>IF(J237="TZ",INDEX(Xtradata!P$2:P$397,$D237),IF(J237="clip",INDEX(Xtradata!K$2:K$397,$D237),""))</f>
        <v>16</v>
      </c>
      <c r="L237" s="34">
        <f>IF($J237="TZ",INDEX(Xtradata!Q$2:Q$397,$D237),IF($J237="clip",INDEX(Xtradata!L$2:L$397,$D237),""))</f>
        <v>11</v>
      </c>
      <c r="M237" s="34">
        <f>IF($J237="TZ",INDEX(Xtradata!R$2:R$397,$D237),IF($J237="clip",INDEX(Xtradata!M$2:M$397,$D237),""))</f>
        <v>5</v>
      </c>
      <c r="N237" s="2">
        <v>70</v>
      </c>
      <c r="O237" s="34">
        <f>INDEX(Xtradata!T$2:T$397,$D237)</f>
        <v>2</v>
      </c>
      <c r="P237" s="38">
        <f t="shared" si="27"/>
        <v>0</v>
      </c>
      <c r="Q237" s="48">
        <f t="shared" si="28"/>
        <v>0.12</v>
      </c>
      <c r="R237" s="48">
        <f t="shared" si="29"/>
        <v>0.12</v>
      </c>
      <c r="S237" s="48">
        <f t="shared" si="34"/>
        <v>0.11</v>
      </c>
      <c r="T237" s="48">
        <f t="shared" si="30"/>
        <v>0.23</v>
      </c>
      <c r="U237" s="48">
        <f t="shared" si="31"/>
        <v>0.7</v>
      </c>
      <c r="V237" s="48">
        <f t="shared" si="32"/>
        <v>7.0000000000000062E-2</v>
      </c>
      <c r="W237" s="48">
        <f t="shared" si="33"/>
        <v>1</v>
      </c>
      <c r="X237" s="14">
        <f>MATCH(C237,'Weights and Seed Amounts'!C$2:C$400,0)</f>
        <v>236</v>
      </c>
      <c r="Y237" s="58">
        <f>INDEX('Weights and Seed Amounts'!D$2:D$400,$X237)</f>
        <v>0.18540000000000001</v>
      </c>
      <c r="Z237" s="34">
        <f>INDEX(Xtradata!U$2:U$397,$D237)</f>
        <v>0</v>
      </c>
    </row>
    <row r="238" spans="1:26" x14ac:dyDescent="0.25">
      <c r="A238" s="2" t="s">
        <v>401</v>
      </c>
      <c r="B238" s="2" t="s">
        <v>404</v>
      </c>
      <c r="C238" s="2" t="s">
        <v>408</v>
      </c>
      <c r="D238" s="32">
        <f>MATCH(Xtradata!C238,Xtradata!C$2:C636,0)</f>
        <v>237</v>
      </c>
      <c r="E238" s="33">
        <f>INDEX(Xtradata!G$2:G$397,$D238)</f>
        <v>44291</v>
      </c>
      <c r="F238" s="33">
        <f>INDEX(Xtradata!H$2:H$397,$D238)</f>
        <v>44327</v>
      </c>
      <c r="G238" s="2">
        <v>100</v>
      </c>
      <c r="H238" s="2">
        <v>54</v>
      </c>
      <c r="I238" s="2">
        <v>11</v>
      </c>
      <c r="J238" s="33" t="str">
        <f>INDEX(Xtradata!J$2:J$397,$D238)</f>
        <v>TZ</v>
      </c>
      <c r="K238" s="34">
        <f>IF(J238="TZ",INDEX(Xtradata!P$2:P$397,$D238),IF(J238="clip",INDEX(Xtradata!K$2:K$397,$D238),""))</f>
        <v>13</v>
      </c>
      <c r="L238" s="34">
        <f>IF($J238="TZ",INDEX(Xtradata!Q$2:Q$397,$D238),IF($J238="clip",INDEX(Xtradata!L$2:L$397,$D238),""))</f>
        <v>8</v>
      </c>
      <c r="M238" s="34">
        <f>IF($J238="TZ",INDEX(Xtradata!R$2:R$397,$D238),IF($J238="clip",INDEX(Xtradata!M$2:M$397,$D238),""))</f>
        <v>5</v>
      </c>
      <c r="N238" s="2">
        <v>0</v>
      </c>
      <c r="O238" s="34">
        <f>INDEX(Xtradata!T$2:T$397,$D238)</f>
        <v>22</v>
      </c>
      <c r="P238" s="38">
        <f t="shared" si="27"/>
        <v>0</v>
      </c>
      <c r="Q238" s="48">
        <f t="shared" si="28"/>
        <v>0.54</v>
      </c>
      <c r="R238" s="48">
        <f t="shared" si="29"/>
        <v>0.65</v>
      </c>
      <c r="S238" s="48">
        <f t="shared" si="34"/>
        <v>0.08</v>
      </c>
      <c r="T238" s="48">
        <f t="shared" si="30"/>
        <v>0.73</v>
      </c>
      <c r="U238" s="48">
        <f t="shared" si="31"/>
        <v>0</v>
      </c>
      <c r="V238" s="48">
        <f t="shared" si="32"/>
        <v>0.27</v>
      </c>
      <c r="W238" s="48">
        <f t="shared" si="33"/>
        <v>1</v>
      </c>
      <c r="X238" s="14">
        <f>MATCH(C238,'Weights and Seed Amounts'!C$2:C$400,0)</f>
        <v>237</v>
      </c>
      <c r="Y238" s="58">
        <f>INDEX('Weights and Seed Amounts'!D$2:D$400,$X238)</f>
        <v>9.7600000000000006E-2</v>
      </c>
      <c r="Z238" s="34">
        <f>INDEX(Xtradata!U$2:U$397,$D238)</f>
        <v>0</v>
      </c>
    </row>
    <row r="239" spans="1:26" x14ac:dyDescent="0.25">
      <c r="A239" s="2" t="s">
        <v>401</v>
      </c>
      <c r="B239" s="2" t="s">
        <v>404</v>
      </c>
      <c r="C239" s="2" t="s">
        <v>409</v>
      </c>
      <c r="D239" s="32">
        <f>MATCH(Xtradata!C239,Xtradata!C$2:C637,0)</f>
        <v>238</v>
      </c>
      <c r="E239" s="33">
        <f>INDEX(Xtradata!G$2:G$397,$D239)</f>
        <v>44372</v>
      </c>
      <c r="F239" s="33">
        <f>INDEX(Xtradata!H$2:H$397,$D239)</f>
        <v>44403</v>
      </c>
      <c r="G239" s="2">
        <v>100</v>
      </c>
      <c r="H239" s="2">
        <v>3</v>
      </c>
      <c r="I239" s="2">
        <v>0</v>
      </c>
      <c r="J239" s="33" t="str">
        <f>INDEX(Xtradata!J$2:J$397,$D239)</f>
        <v>TZ</v>
      </c>
      <c r="K239" s="34">
        <f>IF(J239="TZ",INDEX(Xtradata!P$2:P$397,$D239),IF(J239="clip",INDEX(Xtradata!K$2:K$397,$D239),""))</f>
        <v>12</v>
      </c>
      <c r="L239" s="34">
        <f>IF($J239="TZ",INDEX(Xtradata!Q$2:Q$397,$D239),IF($J239="clip",INDEX(Xtradata!L$2:L$397,$D239),""))</f>
        <v>11</v>
      </c>
      <c r="M239" s="34">
        <f>IF($J239="TZ",INDEX(Xtradata!R$2:R$397,$D239),IF($J239="clip",INDEX(Xtradata!M$2:M$397,$D239),""))</f>
        <v>1</v>
      </c>
      <c r="N239" s="2">
        <v>85</v>
      </c>
      <c r="O239" s="34">
        <f>INDEX(Xtradata!T$2:T$397,$D239)</f>
        <v>0</v>
      </c>
      <c r="P239" s="38">
        <f t="shared" si="27"/>
        <v>0</v>
      </c>
      <c r="Q239" s="48">
        <f t="shared" si="28"/>
        <v>0.03</v>
      </c>
      <c r="R239" s="48">
        <f t="shared" si="29"/>
        <v>0.03</v>
      </c>
      <c r="S239" s="48">
        <f t="shared" si="34"/>
        <v>0.11</v>
      </c>
      <c r="T239" s="48">
        <f t="shared" si="30"/>
        <v>0.14000000000000001</v>
      </c>
      <c r="U239" s="48">
        <f t="shared" si="31"/>
        <v>0.85</v>
      </c>
      <c r="V239" s="48">
        <f t="shared" si="32"/>
        <v>1.0000000000000009E-2</v>
      </c>
      <c r="W239" s="48">
        <f t="shared" si="33"/>
        <v>1</v>
      </c>
      <c r="X239" s="14">
        <f>MATCH(C239,'Weights and Seed Amounts'!C$2:C$400,0)</f>
        <v>238</v>
      </c>
      <c r="Y239" s="58">
        <f>INDEX('Weights and Seed Amounts'!D$2:D$400,$X239)</f>
        <v>0.1179</v>
      </c>
      <c r="Z239" s="34">
        <f>INDEX(Xtradata!U$2:U$397,$D239)</f>
        <v>0</v>
      </c>
    </row>
    <row r="240" spans="1:26" x14ac:dyDescent="0.25">
      <c r="A240" s="2" t="s">
        <v>401</v>
      </c>
      <c r="B240" s="2" t="s">
        <v>404</v>
      </c>
      <c r="C240" s="2" t="s">
        <v>410</v>
      </c>
      <c r="D240" s="32">
        <f>MATCH(Xtradata!C240,Xtradata!C$2:C638,0)</f>
        <v>239</v>
      </c>
      <c r="E240" s="33">
        <f>INDEX(Xtradata!G$2:G$397,$D240)</f>
        <v>44372</v>
      </c>
      <c r="F240" s="33">
        <f>INDEX(Xtradata!H$2:H$397,$D240)</f>
        <v>44403</v>
      </c>
      <c r="G240" s="2">
        <v>100</v>
      </c>
      <c r="H240" s="2">
        <v>5</v>
      </c>
      <c r="I240" s="2">
        <v>0</v>
      </c>
      <c r="J240" s="33" t="str">
        <f>INDEX(Xtradata!J$2:J$397,$D240)</f>
        <v>N/A</v>
      </c>
      <c r="K240" s="34" t="str">
        <f>IF(J240="TZ",INDEX(Xtradata!P$2:P$397,$D240),IF(J240="clip",INDEX(Xtradata!K$2:K$397,$D240),""))</f>
        <v/>
      </c>
      <c r="L240" s="34" t="str">
        <f>IF($J240="TZ",INDEX(Xtradata!Q$2:Q$397,$D240),IF($J240="clip",INDEX(Xtradata!L$2:L$397,$D240),""))</f>
        <v/>
      </c>
      <c r="M240" s="34" t="str">
        <f>IF($J240="TZ",INDEX(Xtradata!R$2:R$397,$D240),IF($J240="clip",INDEX(Xtradata!M$2:M$397,$D240),""))</f>
        <v/>
      </c>
      <c r="N240" s="2">
        <v>95</v>
      </c>
      <c r="O240" s="34">
        <f>INDEX(Xtradata!T$2:T$397,$D240)</f>
        <v>0</v>
      </c>
      <c r="P240" s="38">
        <f t="shared" si="27"/>
        <v>0</v>
      </c>
      <c r="Q240" s="48">
        <f t="shared" si="28"/>
        <v>0.05</v>
      </c>
      <c r="R240" s="48">
        <f t="shared" si="29"/>
        <v>0.05</v>
      </c>
      <c r="S240" s="48">
        <f t="shared" si="34"/>
        <v>0</v>
      </c>
      <c r="T240" s="48">
        <f t="shared" si="30"/>
        <v>0.05</v>
      </c>
      <c r="U240" s="48">
        <f t="shared" si="31"/>
        <v>0.95</v>
      </c>
      <c r="V240" s="48">
        <f t="shared" si="32"/>
        <v>0</v>
      </c>
      <c r="W240" s="48">
        <f t="shared" si="33"/>
        <v>1</v>
      </c>
      <c r="X240" s="14">
        <f>MATCH(C240,'Weights and Seed Amounts'!C$2:C$400,0)</f>
        <v>239</v>
      </c>
      <c r="Y240" s="58">
        <f>INDEX('Weights and Seed Amounts'!D$2:D$400,$X240)</f>
        <v>7.8600000000000003E-2</v>
      </c>
      <c r="Z240" s="34">
        <f>INDEX(Xtradata!U$2:U$397,$D240)</f>
        <v>0</v>
      </c>
    </row>
    <row r="241" spans="1:26" x14ac:dyDescent="0.25">
      <c r="A241" s="2" t="s">
        <v>401</v>
      </c>
      <c r="B241" s="2" t="s">
        <v>404</v>
      </c>
      <c r="C241" s="2" t="s">
        <v>411</v>
      </c>
      <c r="D241" s="32">
        <f>MATCH(Xtradata!C241,Xtradata!C$2:C639,0)</f>
        <v>240</v>
      </c>
      <c r="E241" s="33">
        <f>INDEX(Xtradata!G$2:G$397,$D241)</f>
        <v>44291</v>
      </c>
      <c r="F241" s="33">
        <f>INDEX(Xtradata!H$2:H$397,$D241)</f>
        <v>44327</v>
      </c>
      <c r="G241" s="2">
        <v>99</v>
      </c>
      <c r="H241" s="2">
        <v>35</v>
      </c>
      <c r="I241" s="2">
        <v>10</v>
      </c>
      <c r="J241" s="33" t="str">
        <f>INDEX(Xtradata!J$2:J$397,$D241)</f>
        <v>TZ</v>
      </c>
      <c r="K241" s="34">
        <f>IF(J241="TZ",INDEX(Xtradata!P$2:P$397,$D241),IF(J241="clip",INDEX(Xtradata!K$2:K$397,$D241),""))</f>
        <v>28</v>
      </c>
      <c r="L241" s="34">
        <f>IF($J241="TZ",INDEX(Xtradata!Q$2:Q$397,$D241),IF($J241="clip",INDEX(Xtradata!L$2:L$397,$D241),""))</f>
        <v>17</v>
      </c>
      <c r="M241" s="34">
        <f>IF($J241="TZ",INDEX(Xtradata!R$2:R$397,$D241),IF($J241="clip",INDEX(Xtradata!M$2:M$397,$D241),""))</f>
        <v>11</v>
      </c>
      <c r="N241" s="2">
        <v>0</v>
      </c>
      <c r="O241" s="34">
        <f>INDEX(Xtradata!T$2:T$397,$D241)</f>
        <v>26</v>
      </c>
      <c r="P241" s="38">
        <f t="shared" si="27"/>
        <v>0</v>
      </c>
      <c r="Q241" s="48">
        <f t="shared" si="28"/>
        <v>0.35353535353535354</v>
      </c>
      <c r="R241" s="48">
        <f t="shared" si="29"/>
        <v>0.45454545454545453</v>
      </c>
      <c r="S241" s="48">
        <f t="shared" si="34"/>
        <v>0.17171717171717171</v>
      </c>
      <c r="T241" s="48">
        <f t="shared" si="30"/>
        <v>0.6262626262626263</v>
      </c>
      <c r="U241" s="48">
        <f t="shared" si="31"/>
        <v>0</v>
      </c>
      <c r="V241" s="48">
        <f t="shared" si="32"/>
        <v>0.3737373737373737</v>
      </c>
      <c r="W241" s="48">
        <f t="shared" si="33"/>
        <v>1</v>
      </c>
      <c r="X241" s="14">
        <f>MATCH(C241,'Weights and Seed Amounts'!C$2:C$400,0)</f>
        <v>240</v>
      </c>
      <c r="Y241" s="58">
        <f>INDEX('Weights and Seed Amounts'!D$2:D$400,$X241)</f>
        <v>8.9300000000000004E-2</v>
      </c>
      <c r="Z241" s="34">
        <f>INDEX(Xtradata!U$2:U$397,$D241)</f>
        <v>0</v>
      </c>
    </row>
    <row r="242" spans="1:26" x14ac:dyDescent="0.25">
      <c r="A242" s="2" t="s">
        <v>401</v>
      </c>
      <c r="B242" s="2" t="s">
        <v>404</v>
      </c>
      <c r="C242" s="2" t="s">
        <v>412</v>
      </c>
      <c r="D242" s="32">
        <f>MATCH(Xtradata!C242,Xtradata!C$2:C640,0)</f>
        <v>241</v>
      </c>
      <c r="E242" s="33">
        <f>INDEX(Xtradata!G$2:G$397,$D242)</f>
        <v>44372</v>
      </c>
      <c r="F242" s="33">
        <f>INDEX(Xtradata!H$2:H$397,$D242)</f>
        <v>44403</v>
      </c>
      <c r="G242" s="2">
        <v>100</v>
      </c>
      <c r="H242" s="2">
        <v>4</v>
      </c>
      <c r="I242" s="2">
        <v>0</v>
      </c>
      <c r="J242" s="33" t="str">
        <f>INDEX(Xtradata!J$2:J$397,$D242)</f>
        <v>TZ</v>
      </c>
      <c r="K242" s="34">
        <f>IF(J242="TZ",INDEX(Xtradata!P$2:P$397,$D242),IF(J242="clip",INDEX(Xtradata!K$2:K$397,$D242),""))</f>
        <v>24</v>
      </c>
      <c r="L242" s="34">
        <f>IF($J242="TZ",INDEX(Xtradata!Q$2:Q$397,$D242),IF($J242="clip",INDEX(Xtradata!L$2:L$397,$D242),""))</f>
        <v>20</v>
      </c>
      <c r="M242" s="34">
        <f>IF($J242="TZ",INDEX(Xtradata!R$2:R$397,$D242),IF($J242="clip",INDEX(Xtradata!M$2:M$397,$D242),""))</f>
        <v>4</v>
      </c>
      <c r="N242" s="2">
        <v>72</v>
      </c>
      <c r="O242" s="34">
        <f>INDEX(Xtradata!T$2:T$397,$D242)</f>
        <v>0</v>
      </c>
      <c r="P242" s="38">
        <f t="shared" si="27"/>
        <v>0</v>
      </c>
      <c r="Q242" s="48">
        <f t="shared" si="28"/>
        <v>0.04</v>
      </c>
      <c r="R242" s="48">
        <f t="shared" si="29"/>
        <v>0.04</v>
      </c>
      <c r="S242" s="48">
        <f t="shared" si="34"/>
        <v>0.2</v>
      </c>
      <c r="T242" s="48">
        <f t="shared" si="30"/>
        <v>0.24</v>
      </c>
      <c r="U242" s="48">
        <f t="shared" si="31"/>
        <v>0.72</v>
      </c>
      <c r="V242" s="48">
        <f t="shared" si="32"/>
        <v>4.0000000000000036E-2</v>
      </c>
      <c r="W242" s="48">
        <f t="shared" si="33"/>
        <v>1</v>
      </c>
      <c r="X242" s="14">
        <f>MATCH(C242,'Weights and Seed Amounts'!C$2:C$400,0)</f>
        <v>241</v>
      </c>
      <c r="Y242" s="58">
        <f>INDEX('Weights and Seed Amounts'!D$2:D$400,$X242)</f>
        <v>0.1028</v>
      </c>
      <c r="Z242" s="34">
        <f>INDEX(Xtradata!U$2:U$397,$D242)</f>
        <v>0</v>
      </c>
    </row>
    <row r="243" spans="1:26" x14ac:dyDescent="0.25">
      <c r="A243" s="2" t="s">
        <v>401</v>
      </c>
      <c r="B243" s="2" t="s">
        <v>404</v>
      </c>
      <c r="C243" s="2" t="s">
        <v>413</v>
      </c>
      <c r="D243" s="32">
        <f>MATCH(Xtradata!C243,Xtradata!C$2:C641,0)</f>
        <v>242</v>
      </c>
      <c r="E243" s="33">
        <f>INDEX(Xtradata!G$2:G$397,$D243)</f>
        <v>44372</v>
      </c>
      <c r="F243" s="33">
        <f>INDEX(Xtradata!H$2:H$397,$D243)</f>
        <v>44403</v>
      </c>
      <c r="G243" s="2">
        <v>100</v>
      </c>
      <c r="H243" s="2">
        <v>6</v>
      </c>
      <c r="I243" s="2">
        <v>0</v>
      </c>
      <c r="J243" s="33" t="str">
        <f>INDEX(Xtradata!J$2:J$397,$D243)</f>
        <v>TZ</v>
      </c>
      <c r="K243" s="34">
        <f>IF(J243="TZ",INDEX(Xtradata!P$2:P$397,$D243),IF(J243="clip",INDEX(Xtradata!K$2:K$397,$D243),""))</f>
        <v>18</v>
      </c>
      <c r="L243" s="34">
        <f>IF($J243="TZ",INDEX(Xtradata!Q$2:Q$397,$D243),IF($J243="clip",INDEX(Xtradata!L$2:L$397,$D243),""))</f>
        <v>18</v>
      </c>
      <c r="M243" s="34">
        <f>IF($J243="TZ",INDEX(Xtradata!R$2:R$397,$D243),IF($J243="clip",INDEX(Xtradata!M$2:M$397,$D243),""))</f>
        <v>0</v>
      </c>
      <c r="N243" s="2">
        <v>76</v>
      </c>
      <c r="O243" s="34">
        <f>INDEX(Xtradata!T$2:T$397,$D243)</f>
        <v>0</v>
      </c>
      <c r="P243" s="38">
        <f t="shared" si="27"/>
        <v>0</v>
      </c>
      <c r="Q243" s="48">
        <f t="shared" si="28"/>
        <v>0.06</v>
      </c>
      <c r="R243" s="48">
        <f t="shared" si="29"/>
        <v>0.06</v>
      </c>
      <c r="S243" s="48">
        <f t="shared" si="34"/>
        <v>0.18</v>
      </c>
      <c r="T243" s="48">
        <f t="shared" si="30"/>
        <v>0.24</v>
      </c>
      <c r="U243" s="48">
        <f t="shared" si="31"/>
        <v>0.76</v>
      </c>
      <c r="V243" s="48">
        <f t="shared" si="32"/>
        <v>0</v>
      </c>
      <c r="W243" s="48">
        <f t="shared" si="33"/>
        <v>1</v>
      </c>
      <c r="X243" s="14">
        <f>MATCH(C243,'Weights and Seed Amounts'!C$2:C$400,0)</f>
        <v>242</v>
      </c>
      <c r="Y243" s="58">
        <f>INDEX('Weights and Seed Amounts'!D$2:D$400,$X243)</f>
        <v>9.8599999999999993E-2</v>
      </c>
      <c r="Z243" s="34">
        <f>INDEX(Xtradata!U$2:U$397,$D243)</f>
        <v>0</v>
      </c>
    </row>
    <row r="244" spans="1:26" x14ac:dyDescent="0.25">
      <c r="A244" s="2" t="s">
        <v>414</v>
      </c>
      <c r="B244" s="2" t="s">
        <v>311</v>
      </c>
      <c r="C244" s="2" t="s">
        <v>415</v>
      </c>
      <c r="D244" s="32">
        <f>MATCH(Xtradata!C244,Xtradata!C$2:C642,0)</f>
        <v>243</v>
      </c>
      <c r="E244" s="33">
        <f>INDEX(Xtradata!G$2:G$397,$D244)</f>
        <v>44336</v>
      </c>
      <c r="F244" s="33">
        <f>INDEX(Xtradata!H$2:H$397,$D244)</f>
        <v>44385</v>
      </c>
      <c r="G244" s="2">
        <v>100</v>
      </c>
      <c r="H244" s="2">
        <v>2</v>
      </c>
      <c r="I244" s="2">
        <v>0</v>
      </c>
      <c r="J244" s="33" t="str">
        <f>INDEX(Xtradata!J$2:J$397,$D244)</f>
        <v>TZ</v>
      </c>
      <c r="K244" s="34">
        <f>IF(J244="TZ",INDEX(Xtradata!P$2:P$397,$D244),IF(J244="clip",INDEX(Xtradata!K$2:K$397,$D244),""))</f>
        <v>69</v>
      </c>
      <c r="L244" s="34">
        <f>IF($J244="TZ",INDEX(Xtradata!Q$2:Q$397,$D244),IF($J244="clip",INDEX(Xtradata!L$2:L$397,$D244),""))</f>
        <v>29</v>
      </c>
      <c r="M244" s="34">
        <f>IF($J244="TZ",INDEX(Xtradata!R$2:R$397,$D244),IF($J244="clip",INDEX(Xtradata!M$2:M$397,$D244),""))</f>
        <v>40</v>
      </c>
      <c r="N244" s="2">
        <v>29</v>
      </c>
      <c r="O244" s="34">
        <f>INDEX(Xtradata!T$2:T$397,$D244)</f>
        <v>0</v>
      </c>
      <c r="P244" s="38">
        <f t="shared" si="27"/>
        <v>0</v>
      </c>
      <c r="Q244" s="48">
        <f t="shared" si="28"/>
        <v>0.02</v>
      </c>
      <c r="R244" s="48">
        <f t="shared" si="29"/>
        <v>0.02</v>
      </c>
      <c r="S244" s="48">
        <f t="shared" si="34"/>
        <v>0.28999999999999998</v>
      </c>
      <c r="T244" s="48">
        <f t="shared" si="30"/>
        <v>0.31</v>
      </c>
      <c r="U244" s="48">
        <f t="shared" si="31"/>
        <v>0.28999999999999998</v>
      </c>
      <c r="V244" s="48">
        <f t="shared" si="32"/>
        <v>0.39999999999999997</v>
      </c>
      <c r="W244" s="48">
        <f t="shared" si="33"/>
        <v>1</v>
      </c>
      <c r="X244" s="14">
        <f>MATCH(C244,'Weights and Seed Amounts'!C$2:C$400,0)</f>
        <v>243</v>
      </c>
      <c r="Y244" s="58">
        <f>INDEX('Weights and Seed Amounts'!D$2:D$400,$X244)</f>
        <v>0.122</v>
      </c>
      <c r="Z244" s="34">
        <f>INDEX(Xtradata!U$2:U$397,$D244)</f>
        <v>0</v>
      </c>
    </row>
    <row r="245" spans="1:26" x14ac:dyDescent="0.25">
      <c r="A245" s="2" t="s">
        <v>414</v>
      </c>
      <c r="B245" s="2" t="s">
        <v>311</v>
      </c>
      <c r="C245" s="2" t="s">
        <v>416</v>
      </c>
      <c r="D245" s="32">
        <f>MATCH(Xtradata!C245,Xtradata!C$2:C643,0)</f>
        <v>244</v>
      </c>
      <c r="E245" s="33">
        <f>INDEX(Xtradata!G$2:G$397,$D245)</f>
        <v>44336</v>
      </c>
      <c r="F245" s="33">
        <f>INDEX(Xtradata!H$2:H$397,$D245)</f>
        <v>44385</v>
      </c>
      <c r="G245" s="2">
        <v>100</v>
      </c>
      <c r="H245" s="2">
        <v>0</v>
      </c>
      <c r="I245" s="2">
        <v>1</v>
      </c>
      <c r="J245" s="33" t="str">
        <f>INDEX(Xtradata!J$2:J$397,$D245)</f>
        <v>TZ</v>
      </c>
      <c r="K245" s="34">
        <f>IF(J245="TZ",INDEX(Xtradata!P$2:P$397,$D245),IF(J245="clip",INDEX(Xtradata!K$2:K$397,$D245),""))</f>
        <v>76</v>
      </c>
      <c r="L245" s="34">
        <f>IF($J245="TZ",INDEX(Xtradata!Q$2:Q$397,$D245),IF($J245="clip",INDEX(Xtradata!L$2:L$397,$D245),""))</f>
        <v>43</v>
      </c>
      <c r="M245" s="34">
        <f>IF($J245="TZ",INDEX(Xtradata!R$2:R$397,$D245),IF($J245="clip",INDEX(Xtradata!M$2:M$397,$D245),""))</f>
        <v>33</v>
      </c>
      <c r="N245" s="2">
        <v>23</v>
      </c>
      <c r="O245" s="34">
        <f>INDEX(Xtradata!T$2:T$397,$D245)</f>
        <v>0</v>
      </c>
      <c r="P245" s="38">
        <f t="shared" si="27"/>
        <v>0</v>
      </c>
      <c r="Q245" s="48">
        <f t="shared" si="28"/>
        <v>0</v>
      </c>
      <c r="R245" s="48">
        <f t="shared" si="29"/>
        <v>0.01</v>
      </c>
      <c r="S245" s="48">
        <f t="shared" si="34"/>
        <v>0.43</v>
      </c>
      <c r="T245" s="48">
        <f t="shared" si="30"/>
        <v>0.44</v>
      </c>
      <c r="U245" s="48">
        <f t="shared" si="31"/>
        <v>0.23</v>
      </c>
      <c r="V245" s="48">
        <f t="shared" si="32"/>
        <v>0.33000000000000007</v>
      </c>
      <c r="W245" s="48">
        <f t="shared" si="33"/>
        <v>1</v>
      </c>
      <c r="X245" s="14">
        <f>MATCH(C245,'Weights and Seed Amounts'!C$2:C$400,0)</f>
        <v>244</v>
      </c>
      <c r="Y245" s="58">
        <f>INDEX('Weights and Seed Amounts'!D$2:D$400,$X245)</f>
        <v>0.17879999999999999</v>
      </c>
      <c r="Z245" s="34">
        <f>INDEX(Xtradata!U$2:U$397,$D245)</f>
        <v>0</v>
      </c>
    </row>
    <row r="246" spans="1:26" x14ac:dyDescent="0.25">
      <c r="A246" s="2" t="s">
        <v>414</v>
      </c>
      <c r="B246" s="2" t="s">
        <v>311</v>
      </c>
      <c r="C246" s="2" t="s">
        <v>417</v>
      </c>
      <c r="D246" s="32">
        <f>MATCH(Xtradata!C246,Xtradata!C$2:C644,0)</f>
        <v>245</v>
      </c>
      <c r="E246" s="33">
        <f>INDEX(Xtradata!G$2:G$397,$D246)</f>
        <v>44336</v>
      </c>
      <c r="F246" s="33">
        <f>INDEX(Xtradata!H$2:H$397,$D246)</f>
        <v>44385</v>
      </c>
      <c r="G246" s="2">
        <v>100</v>
      </c>
      <c r="H246" s="2">
        <v>0</v>
      </c>
      <c r="I246" s="2">
        <v>0</v>
      </c>
      <c r="J246" s="33" t="str">
        <f>INDEX(Xtradata!J$2:J$397,$D246)</f>
        <v>TZ</v>
      </c>
      <c r="K246" s="34">
        <f>IF(J246="TZ",INDEX(Xtradata!P$2:P$397,$D246),IF(J246="clip",INDEX(Xtradata!K$2:K$397,$D246),""))</f>
        <v>97</v>
      </c>
      <c r="L246" s="34">
        <f>IF($J246="TZ",INDEX(Xtradata!Q$2:Q$397,$D246),IF($J246="clip",INDEX(Xtradata!L$2:L$397,$D246),""))</f>
        <v>81</v>
      </c>
      <c r="M246" s="34">
        <f>IF($J246="TZ",INDEX(Xtradata!R$2:R$397,$D246),IF($J246="clip",INDEX(Xtradata!M$2:M$397,$D246),""))</f>
        <v>16</v>
      </c>
      <c r="N246" s="2">
        <v>3</v>
      </c>
      <c r="O246" s="34">
        <f>INDEX(Xtradata!T$2:T$397,$D246)</f>
        <v>0</v>
      </c>
      <c r="P246" s="38">
        <f t="shared" si="27"/>
        <v>0</v>
      </c>
      <c r="Q246" s="48">
        <f t="shared" si="28"/>
        <v>0</v>
      </c>
      <c r="R246" s="48">
        <f t="shared" si="29"/>
        <v>0</v>
      </c>
      <c r="S246" s="48">
        <f t="shared" si="34"/>
        <v>0.81</v>
      </c>
      <c r="T246" s="48">
        <f t="shared" si="30"/>
        <v>0.81</v>
      </c>
      <c r="U246" s="48">
        <f t="shared" si="31"/>
        <v>0.03</v>
      </c>
      <c r="V246" s="48">
        <f t="shared" si="32"/>
        <v>0.15999999999999995</v>
      </c>
      <c r="W246" s="48">
        <f t="shared" si="33"/>
        <v>1</v>
      </c>
      <c r="X246" s="14">
        <f>MATCH(C246,'Weights and Seed Amounts'!C$2:C$400,0)</f>
        <v>245</v>
      </c>
      <c r="Y246" s="58">
        <f>INDEX('Weights and Seed Amounts'!D$2:D$400,$X246)</f>
        <v>0.24329999999999999</v>
      </c>
      <c r="Z246" s="34">
        <f>INDEX(Xtradata!U$2:U$397,$D246)</f>
        <v>0</v>
      </c>
    </row>
    <row r="247" spans="1:26" x14ac:dyDescent="0.25">
      <c r="A247" s="2" t="s">
        <v>414</v>
      </c>
      <c r="B247" s="2" t="s">
        <v>311</v>
      </c>
      <c r="C247" s="2" t="s">
        <v>418</v>
      </c>
      <c r="D247" s="32">
        <f>MATCH(Xtradata!C247,Xtradata!C$2:C645,0)</f>
        <v>246</v>
      </c>
      <c r="E247" s="33">
        <f>INDEX(Xtradata!G$2:G$397,$D247)</f>
        <v>44336</v>
      </c>
      <c r="F247" s="33">
        <f>INDEX(Xtradata!H$2:H$397,$D247)</f>
        <v>44385</v>
      </c>
      <c r="G247" s="41">
        <f>100+2</f>
        <v>102</v>
      </c>
      <c r="H247" s="2">
        <v>2</v>
      </c>
      <c r="I247" s="2">
        <v>0</v>
      </c>
      <c r="J247" s="33" t="str">
        <f>INDEX(Xtradata!J$2:J$397,$D247)</f>
        <v>TZ</v>
      </c>
      <c r="K247" s="34">
        <f>IF(J247="TZ",INDEX(Xtradata!P$2:P$397,$D247),IF(J247="clip",INDEX(Xtradata!K$2:K$397,$D247),""))</f>
        <v>67</v>
      </c>
      <c r="L247" s="34">
        <f>IF($J247="TZ",INDEX(Xtradata!Q$2:Q$397,$D247),IF($J247="clip",INDEX(Xtradata!L$2:L$397,$D247),""))</f>
        <v>28</v>
      </c>
      <c r="M247" s="34">
        <f>IF($J247="TZ",INDEX(Xtradata!R$2:R$397,$D247),IF($J247="clip",INDEX(Xtradata!M$2:M$397,$D247),""))</f>
        <v>39</v>
      </c>
      <c r="N247" s="2">
        <v>33</v>
      </c>
      <c r="O247" s="34">
        <f>INDEX(Xtradata!T$2:T$397,$D247)</f>
        <v>0</v>
      </c>
      <c r="P247" s="38">
        <f t="shared" si="27"/>
        <v>0</v>
      </c>
      <c r="Q247" s="48">
        <f t="shared" si="28"/>
        <v>1.9607843137254902E-2</v>
      </c>
      <c r="R247" s="48">
        <f t="shared" si="29"/>
        <v>1.9607843137254902E-2</v>
      </c>
      <c r="S247" s="48">
        <f t="shared" si="34"/>
        <v>0.27450980392156865</v>
      </c>
      <c r="T247" s="48">
        <f t="shared" si="30"/>
        <v>0.29411764705882354</v>
      </c>
      <c r="U247" s="48">
        <f t="shared" si="31"/>
        <v>0.3235294117647059</v>
      </c>
      <c r="V247" s="48">
        <f t="shared" si="32"/>
        <v>0.38235294117647051</v>
      </c>
      <c r="W247" s="48">
        <f t="shared" si="33"/>
        <v>1</v>
      </c>
      <c r="X247" s="14">
        <f>MATCH(C247,'Weights and Seed Amounts'!C$2:C$400,0)</f>
        <v>246</v>
      </c>
      <c r="Y247" s="58">
        <f>INDEX('Weights and Seed Amounts'!D$2:D$400,$X247)</f>
        <v>0.15310000000000001</v>
      </c>
      <c r="Z247" s="34">
        <f>INDEX(Xtradata!U$2:U$397,$D247)</f>
        <v>0</v>
      </c>
    </row>
    <row r="248" spans="1:26" x14ac:dyDescent="0.25">
      <c r="A248" s="2" t="s">
        <v>414</v>
      </c>
      <c r="B248" s="2" t="s">
        <v>311</v>
      </c>
      <c r="C248" s="2" t="s">
        <v>419</v>
      </c>
      <c r="D248" s="32">
        <f>MATCH(Xtradata!C248,Xtradata!C$2:C646,0)</f>
        <v>247</v>
      </c>
      <c r="E248" s="33">
        <f>INDEX(Xtradata!G$2:G$397,$D248)</f>
        <v>44336</v>
      </c>
      <c r="F248" s="33">
        <f>INDEX(Xtradata!H$2:H$397,$D248)</f>
        <v>44385</v>
      </c>
      <c r="G248" s="2">
        <v>100</v>
      </c>
      <c r="H248" s="2">
        <v>2</v>
      </c>
      <c r="I248" s="2">
        <v>0</v>
      </c>
      <c r="J248" s="33" t="str">
        <f>INDEX(Xtradata!J$2:J$397,$D248)</f>
        <v>TZ</v>
      </c>
      <c r="K248" s="34">
        <f>IF(J248="TZ",INDEX(Xtradata!P$2:P$397,$D248),IF(J248="clip",INDEX(Xtradata!K$2:K$397,$D248),""))</f>
        <v>95</v>
      </c>
      <c r="L248" s="34">
        <f>IF($J248="TZ",INDEX(Xtradata!Q$2:Q$397,$D248),IF($J248="clip",INDEX(Xtradata!L$2:L$397,$D248),""))</f>
        <v>61</v>
      </c>
      <c r="M248" s="34">
        <f>IF($J248="TZ",INDEX(Xtradata!R$2:R$397,$D248),IF($J248="clip",INDEX(Xtradata!M$2:M$397,$D248),""))</f>
        <v>34</v>
      </c>
      <c r="N248" s="2">
        <v>3</v>
      </c>
      <c r="O248" s="34">
        <f>INDEX(Xtradata!T$2:T$397,$D248)</f>
        <v>0</v>
      </c>
      <c r="P248" s="38">
        <f t="shared" si="27"/>
        <v>0</v>
      </c>
      <c r="Q248" s="48">
        <f t="shared" si="28"/>
        <v>0.02</v>
      </c>
      <c r="R248" s="48">
        <f t="shared" si="29"/>
        <v>0.02</v>
      </c>
      <c r="S248" s="48">
        <f t="shared" si="34"/>
        <v>0.61</v>
      </c>
      <c r="T248" s="48">
        <f t="shared" si="30"/>
        <v>0.63</v>
      </c>
      <c r="U248" s="48">
        <f t="shared" si="31"/>
        <v>0.03</v>
      </c>
      <c r="V248" s="48">
        <f t="shared" si="32"/>
        <v>0.33999999999999997</v>
      </c>
      <c r="W248" s="48">
        <f t="shared" si="33"/>
        <v>1</v>
      </c>
      <c r="X248" s="14">
        <f>MATCH(C248,'Weights and Seed Amounts'!C$2:C$400,0)</f>
        <v>247</v>
      </c>
      <c r="Y248" s="58">
        <f>INDEX('Weights and Seed Amounts'!D$2:D$400,$X248)</f>
        <v>0.2291</v>
      </c>
      <c r="Z248" s="34">
        <f>INDEX(Xtradata!U$2:U$397,$D248)</f>
        <v>0</v>
      </c>
    </row>
    <row r="249" spans="1:26" x14ac:dyDescent="0.25">
      <c r="A249" s="2" t="s">
        <v>414</v>
      </c>
      <c r="B249" s="2" t="s">
        <v>311</v>
      </c>
      <c r="C249" s="2" t="s">
        <v>420</v>
      </c>
      <c r="D249" s="32">
        <f>MATCH(Xtradata!C249,Xtradata!C$2:C647,0)</f>
        <v>248</v>
      </c>
      <c r="E249" s="33">
        <f>INDEX(Xtradata!G$2:G$397,$D249)</f>
        <v>44313</v>
      </c>
      <c r="F249" s="33">
        <f>INDEX(Xtradata!H$2:H$397,$D249)</f>
        <v>44385</v>
      </c>
      <c r="G249" s="2">
        <v>100</v>
      </c>
      <c r="H249" s="2">
        <v>5</v>
      </c>
      <c r="I249" s="2">
        <v>0</v>
      </c>
      <c r="J249" s="33" t="str">
        <f>INDEX(Xtradata!J$2:J$397,$D249)</f>
        <v>TZ</v>
      </c>
      <c r="K249" s="34">
        <f>IF(J249="TZ",INDEX(Xtradata!P$2:P$397,$D249),IF(J249="clip",INDEX(Xtradata!K$2:K$397,$D249),""))</f>
        <v>82</v>
      </c>
      <c r="L249" s="34">
        <f>IF($J249="TZ",INDEX(Xtradata!Q$2:Q$397,$D249),IF($J249="clip",INDEX(Xtradata!L$2:L$397,$D249),""))</f>
        <v>60</v>
      </c>
      <c r="M249" s="34">
        <f>IF($J249="TZ",INDEX(Xtradata!R$2:R$397,$D249),IF($J249="clip",INDEX(Xtradata!M$2:M$397,$D249),""))</f>
        <v>22</v>
      </c>
      <c r="N249" s="2">
        <v>13</v>
      </c>
      <c r="O249" s="34">
        <f>INDEX(Xtradata!T$2:T$397,$D249)</f>
        <v>0</v>
      </c>
      <c r="P249" s="38">
        <f t="shared" si="27"/>
        <v>0</v>
      </c>
      <c r="Q249" s="48">
        <f t="shared" si="28"/>
        <v>0.05</v>
      </c>
      <c r="R249" s="48">
        <f t="shared" si="29"/>
        <v>0.05</v>
      </c>
      <c r="S249" s="48">
        <f t="shared" si="34"/>
        <v>0.6</v>
      </c>
      <c r="T249" s="48">
        <f t="shared" si="30"/>
        <v>0.65</v>
      </c>
      <c r="U249" s="48">
        <f t="shared" si="31"/>
        <v>0.13</v>
      </c>
      <c r="V249" s="48">
        <f t="shared" si="32"/>
        <v>0.21999999999999997</v>
      </c>
      <c r="W249" s="48">
        <f t="shared" si="33"/>
        <v>1</v>
      </c>
      <c r="X249" s="14">
        <f>MATCH(C249,'Weights and Seed Amounts'!C$2:C$400,0)</f>
        <v>248</v>
      </c>
      <c r="Y249" s="58">
        <f>INDEX('Weights and Seed Amounts'!D$2:D$400,$X249)</f>
        <v>0.2208</v>
      </c>
      <c r="Z249" s="34">
        <f>INDEX(Xtradata!U$2:U$397,$D249)</f>
        <v>0</v>
      </c>
    </row>
    <row r="250" spans="1:26" x14ac:dyDescent="0.25">
      <c r="A250" s="2" t="s">
        <v>414</v>
      </c>
      <c r="B250" s="2" t="s">
        <v>421</v>
      </c>
      <c r="C250" s="2" t="s">
        <v>422</v>
      </c>
      <c r="D250" s="32">
        <f>MATCH(Xtradata!C250,Xtradata!C$2:C648,0)</f>
        <v>249</v>
      </c>
      <c r="E250" s="33">
        <f>INDEX(Xtradata!G$2:G$397,$D250)</f>
        <v>44336</v>
      </c>
      <c r="F250" s="33">
        <f>INDEX(Xtradata!H$2:H$397,$D250)</f>
        <v>44385</v>
      </c>
      <c r="G250" s="2">
        <v>100</v>
      </c>
      <c r="H250" s="2">
        <v>1</v>
      </c>
      <c r="I250" s="2">
        <v>0</v>
      </c>
      <c r="J250" s="33" t="str">
        <f>INDEX(Xtradata!J$2:J$397,$D250)</f>
        <v>TZ</v>
      </c>
      <c r="K250" s="34">
        <f>IF(J250="TZ",INDEX(Xtradata!P$2:P$397,$D250),IF(J250="clip",INDEX(Xtradata!K$2:K$397,$D250),""))</f>
        <v>99</v>
      </c>
      <c r="L250" s="34">
        <f>IF($J250="TZ",INDEX(Xtradata!Q$2:Q$397,$D250),IF($J250="clip",INDEX(Xtradata!L$2:L$397,$D250),""))</f>
        <v>84</v>
      </c>
      <c r="M250" s="34">
        <f>IF($J250="TZ",INDEX(Xtradata!R$2:R$397,$D250),IF($J250="clip",INDEX(Xtradata!M$2:M$397,$D250),""))</f>
        <v>15</v>
      </c>
      <c r="N250" s="2">
        <v>0</v>
      </c>
      <c r="O250" s="34">
        <f>INDEX(Xtradata!T$2:T$397,$D250)</f>
        <v>0</v>
      </c>
      <c r="P250" s="38">
        <f t="shared" si="27"/>
        <v>0</v>
      </c>
      <c r="Q250" s="48">
        <f t="shared" si="28"/>
        <v>0.01</v>
      </c>
      <c r="R250" s="48">
        <f t="shared" si="29"/>
        <v>0.01</v>
      </c>
      <c r="S250" s="48">
        <f t="shared" si="34"/>
        <v>0.84</v>
      </c>
      <c r="T250" s="48">
        <f t="shared" si="30"/>
        <v>0.85</v>
      </c>
      <c r="U250" s="48">
        <f t="shared" si="31"/>
        <v>0</v>
      </c>
      <c r="V250" s="48">
        <f t="shared" si="32"/>
        <v>0.15000000000000002</v>
      </c>
      <c r="W250" s="48">
        <f t="shared" si="33"/>
        <v>1</v>
      </c>
      <c r="X250" s="14">
        <f>MATCH(C250,'Weights and Seed Amounts'!C$2:C$400,0)</f>
        <v>249</v>
      </c>
      <c r="Y250" s="58">
        <f>INDEX('Weights and Seed Amounts'!D$2:D$400,$X250)</f>
        <v>8.1600000000000006E-3</v>
      </c>
      <c r="Z250" s="34">
        <f>INDEX(Xtradata!U$2:U$397,$D250)</f>
        <v>0</v>
      </c>
    </row>
    <row r="251" spans="1:26" x14ac:dyDescent="0.25">
      <c r="A251" s="2" t="s">
        <v>423</v>
      </c>
      <c r="B251" s="2" t="s">
        <v>424</v>
      </c>
      <c r="C251" s="2" t="s">
        <v>425</v>
      </c>
      <c r="D251" s="32">
        <f>MATCH(Xtradata!C251,Xtradata!C$2:C649,0)</f>
        <v>250</v>
      </c>
      <c r="E251" s="33">
        <f>INDEX(Xtradata!G$2:G$397,$D251)</f>
        <v>44355</v>
      </c>
      <c r="F251" s="33">
        <f>INDEX(Xtradata!H$2:H$397,$D251)</f>
        <v>44432</v>
      </c>
      <c r="G251" s="2">
        <v>100</v>
      </c>
      <c r="H251" s="2">
        <v>0</v>
      </c>
      <c r="I251" s="2">
        <v>0</v>
      </c>
      <c r="J251" s="33" t="str">
        <f>INDEX(Xtradata!J$2:J$397,$D251)</f>
        <v>TZ</v>
      </c>
      <c r="K251" s="34">
        <f>IF(J251="TZ",INDEX(Xtradata!P$2:P$397,$D251),IF(J251="clip",INDEX(Xtradata!K$2:K$397,$D251),""))</f>
        <v>86</v>
      </c>
      <c r="L251" s="34">
        <f>IF($J251="TZ",INDEX(Xtradata!Q$2:Q$397,$D251),IF($J251="clip",INDEX(Xtradata!L$2:L$397,$D251),""))</f>
        <v>15</v>
      </c>
      <c r="M251" s="34">
        <f>IF($J251="TZ",INDEX(Xtradata!R$2:R$397,$D251),IF($J251="clip",INDEX(Xtradata!M$2:M$397,$D251),""))</f>
        <v>71</v>
      </c>
      <c r="N251" s="2">
        <v>14</v>
      </c>
      <c r="O251" s="34">
        <f>INDEX(Xtradata!T$2:T$397,$D251)</f>
        <v>0</v>
      </c>
      <c r="P251" s="38">
        <f t="shared" si="27"/>
        <v>0</v>
      </c>
      <c r="Q251" s="48">
        <f t="shared" si="28"/>
        <v>0</v>
      </c>
      <c r="R251" s="48">
        <f t="shared" si="29"/>
        <v>0</v>
      </c>
      <c r="S251" s="48">
        <f t="shared" si="34"/>
        <v>0.15</v>
      </c>
      <c r="T251" s="48">
        <f t="shared" si="30"/>
        <v>0.15</v>
      </c>
      <c r="U251" s="48">
        <f t="shared" si="31"/>
        <v>0.14000000000000001</v>
      </c>
      <c r="V251" s="48">
        <f t="shared" si="32"/>
        <v>0.71</v>
      </c>
      <c r="W251" s="48">
        <f t="shared" si="33"/>
        <v>1</v>
      </c>
      <c r="X251" s="14">
        <f>MATCH(C251,'Weights and Seed Amounts'!C$2:C$400,0)</f>
        <v>250</v>
      </c>
      <c r="Y251" s="58">
        <f>INDEX('Weights and Seed Amounts'!D$2:D$400,$X251)</f>
        <v>0.01</v>
      </c>
      <c r="Z251" s="34">
        <f>INDEX(Xtradata!U$2:U$397,$D251)</f>
        <v>0</v>
      </c>
    </row>
    <row r="252" spans="1:26" x14ac:dyDescent="0.25">
      <c r="A252" s="2" t="s">
        <v>423</v>
      </c>
      <c r="B252" s="2" t="s">
        <v>424</v>
      </c>
      <c r="C252" s="2" t="s">
        <v>426</v>
      </c>
      <c r="D252" s="32">
        <f>MATCH(Xtradata!C252,Xtradata!C$2:C650,0)</f>
        <v>251</v>
      </c>
      <c r="E252" s="33">
        <f>INDEX(Xtradata!G$2:G$397,$D252)</f>
        <v>44355</v>
      </c>
      <c r="F252" s="33">
        <f>INDEX(Xtradata!H$2:H$397,$D252)</f>
        <v>44432</v>
      </c>
      <c r="G252" s="2">
        <v>100</v>
      </c>
      <c r="H252" s="2">
        <v>0</v>
      </c>
      <c r="I252" s="2">
        <v>0</v>
      </c>
      <c r="J252" s="33" t="str">
        <f>INDEX(Xtradata!J$2:J$397,$D252)</f>
        <v>TZ</v>
      </c>
      <c r="K252" s="34">
        <f>IF(J252="TZ",INDEX(Xtradata!P$2:P$397,$D252),IF(J252="clip",INDEX(Xtradata!K$2:K$397,$D252),""))</f>
        <v>79</v>
      </c>
      <c r="L252" s="34">
        <f>IF($J252="TZ",INDEX(Xtradata!Q$2:Q$397,$D252),IF($J252="clip",INDEX(Xtradata!L$2:L$397,$D252),""))</f>
        <v>42</v>
      </c>
      <c r="M252" s="34">
        <f>IF($J252="TZ",INDEX(Xtradata!R$2:R$397,$D252),IF($J252="clip",INDEX(Xtradata!M$2:M$397,$D252),""))</f>
        <v>37</v>
      </c>
      <c r="N252" s="2">
        <v>21</v>
      </c>
      <c r="O252" s="34">
        <f>INDEX(Xtradata!T$2:T$397,$D252)</f>
        <v>0</v>
      </c>
      <c r="P252" s="38">
        <f t="shared" si="27"/>
        <v>0</v>
      </c>
      <c r="Q252" s="48">
        <f t="shared" si="28"/>
        <v>0</v>
      </c>
      <c r="R252" s="48">
        <f t="shared" si="29"/>
        <v>0</v>
      </c>
      <c r="S252" s="48">
        <f t="shared" si="34"/>
        <v>0.42</v>
      </c>
      <c r="T252" s="48">
        <f t="shared" si="30"/>
        <v>0.42</v>
      </c>
      <c r="U252" s="48">
        <f t="shared" si="31"/>
        <v>0.21</v>
      </c>
      <c r="V252" s="48">
        <f t="shared" si="32"/>
        <v>0.37000000000000011</v>
      </c>
      <c r="W252" s="48">
        <f t="shared" si="33"/>
        <v>1</v>
      </c>
      <c r="X252" s="14">
        <f>MATCH(C252,'Weights and Seed Amounts'!C$2:C$400,0)</f>
        <v>251</v>
      </c>
      <c r="Y252" s="58">
        <f>INDEX('Weights and Seed Amounts'!D$2:D$400,$X252)</f>
        <v>1.6E-2</v>
      </c>
      <c r="Z252" s="34">
        <f>INDEX(Xtradata!U$2:U$397,$D252)</f>
        <v>0</v>
      </c>
    </row>
    <row r="253" spans="1:26" x14ac:dyDescent="0.25">
      <c r="A253" s="2" t="s">
        <v>423</v>
      </c>
      <c r="B253" s="2" t="s">
        <v>427</v>
      </c>
      <c r="C253" s="2" t="s">
        <v>428</v>
      </c>
      <c r="D253" s="32">
        <f>MATCH(Xtradata!C253,Xtradata!C$2:C651,0)</f>
        <v>252</v>
      </c>
      <c r="E253" s="33">
        <f>INDEX(Xtradata!G$2:G$397,$D253)</f>
        <v>44355</v>
      </c>
      <c r="F253" s="33">
        <f>INDEX(Xtradata!H$2:H$397,$D253)</f>
        <v>44432</v>
      </c>
      <c r="G253" s="2">
        <v>100</v>
      </c>
      <c r="H253" s="2">
        <v>0</v>
      </c>
      <c r="I253" s="2">
        <v>0</v>
      </c>
      <c r="J253" s="33" t="str">
        <f>INDEX(Xtradata!J$2:J$397,$D253)</f>
        <v>TZ</v>
      </c>
      <c r="K253" s="34">
        <f>IF(J253="TZ",INDEX(Xtradata!P$2:P$397,$D253),IF(J253="clip",INDEX(Xtradata!K$2:K$397,$D253),""))</f>
        <v>53</v>
      </c>
      <c r="L253" s="34">
        <f>IF($J253="TZ",INDEX(Xtradata!Q$2:Q$397,$D253),IF($J253="clip",INDEX(Xtradata!L$2:L$397,$D253),""))</f>
        <v>14</v>
      </c>
      <c r="M253" s="34">
        <f>IF($J253="TZ",INDEX(Xtradata!R$2:R$397,$D253),IF($J253="clip",INDEX(Xtradata!M$2:M$397,$D253),""))</f>
        <v>39</v>
      </c>
      <c r="N253" s="2">
        <v>47</v>
      </c>
      <c r="O253" s="34">
        <f>INDEX(Xtradata!T$2:T$397,$D253)</f>
        <v>0</v>
      </c>
      <c r="P253" s="38">
        <f t="shared" si="27"/>
        <v>0</v>
      </c>
      <c r="Q253" s="48">
        <f t="shared" si="28"/>
        <v>0</v>
      </c>
      <c r="R253" s="48">
        <f t="shared" si="29"/>
        <v>0</v>
      </c>
      <c r="S253" s="48">
        <f t="shared" si="34"/>
        <v>0.14000000000000001</v>
      </c>
      <c r="T253" s="48">
        <f t="shared" si="30"/>
        <v>0.14000000000000001</v>
      </c>
      <c r="U253" s="48">
        <f t="shared" si="31"/>
        <v>0.47</v>
      </c>
      <c r="V253" s="48">
        <f t="shared" si="32"/>
        <v>0.39</v>
      </c>
      <c r="W253" s="48">
        <f t="shared" si="33"/>
        <v>1</v>
      </c>
      <c r="X253" s="14">
        <f>MATCH(C253,'Weights and Seed Amounts'!C$2:C$400,0)</f>
        <v>252</v>
      </c>
      <c r="Y253" s="58">
        <f>INDEX('Weights and Seed Amounts'!D$2:D$400,$X253)</f>
        <v>2.07E-2</v>
      </c>
      <c r="Z253" s="34">
        <f>INDEX(Xtradata!U$2:U$397,$D253)</f>
        <v>0</v>
      </c>
    </row>
    <row r="254" spans="1:26" x14ac:dyDescent="0.25">
      <c r="A254" s="2" t="s">
        <v>423</v>
      </c>
      <c r="B254" s="2" t="s">
        <v>427</v>
      </c>
      <c r="C254" s="2" t="s">
        <v>429</v>
      </c>
      <c r="D254" s="32">
        <f>MATCH(Xtradata!C254,Xtradata!C$2:C652,0)</f>
        <v>253</v>
      </c>
      <c r="E254" s="33">
        <f>INDEX(Xtradata!G$2:G$397,$D254)</f>
        <v>44355</v>
      </c>
      <c r="F254" s="33">
        <f>INDEX(Xtradata!H$2:H$397,$D254)</f>
        <v>44432</v>
      </c>
      <c r="G254" s="2">
        <v>100</v>
      </c>
      <c r="H254" s="2">
        <v>0</v>
      </c>
      <c r="I254" s="2">
        <v>0</v>
      </c>
      <c r="J254" s="33" t="str">
        <f>INDEX(Xtradata!J$2:J$397,$D254)</f>
        <v>TZ</v>
      </c>
      <c r="K254" s="34">
        <f>IF(J254="TZ",INDEX(Xtradata!P$2:P$397,$D254),IF(J254="clip",INDEX(Xtradata!K$2:K$397,$D254),""))</f>
        <v>12</v>
      </c>
      <c r="L254" s="34">
        <f>IF($J254="TZ",INDEX(Xtradata!Q$2:Q$397,$D254),IF($J254="clip",INDEX(Xtradata!L$2:L$397,$D254),""))</f>
        <v>2</v>
      </c>
      <c r="M254" s="34">
        <f>IF($J254="TZ",INDEX(Xtradata!R$2:R$397,$D254),IF($J254="clip",INDEX(Xtradata!M$2:M$397,$D254),""))</f>
        <v>10</v>
      </c>
      <c r="N254" s="2">
        <v>88</v>
      </c>
      <c r="O254" s="34">
        <f>INDEX(Xtradata!T$2:T$397,$D254)</f>
        <v>0</v>
      </c>
      <c r="P254" s="38">
        <f t="shared" si="27"/>
        <v>0</v>
      </c>
      <c r="Q254" s="48">
        <f t="shared" si="28"/>
        <v>0</v>
      </c>
      <c r="R254" s="48">
        <f t="shared" si="29"/>
        <v>0</v>
      </c>
      <c r="S254" s="48">
        <f t="shared" si="34"/>
        <v>0.02</v>
      </c>
      <c r="T254" s="48">
        <f t="shared" si="30"/>
        <v>0.02</v>
      </c>
      <c r="U254" s="48">
        <f t="shared" si="31"/>
        <v>0.88</v>
      </c>
      <c r="V254" s="48">
        <f t="shared" si="32"/>
        <v>9.9999999999999978E-2</v>
      </c>
      <c r="W254" s="48">
        <f t="shared" si="33"/>
        <v>1</v>
      </c>
      <c r="X254" s="14">
        <f>MATCH(C254,'Weights and Seed Amounts'!C$2:C$400,0)</f>
        <v>253</v>
      </c>
      <c r="Y254" s="58">
        <f>INDEX('Weights and Seed Amounts'!D$2:D$400,$X254)</f>
        <v>2.07E-2</v>
      </c>
      <c r="Z254" s="34">
        <f>INDEX(Xtradata!U$2:U$397,$D254)</f>
        <v>0</v>
      </c>
    </row>
    <row r="255" spans="1:26" x14ac:dyDescent="0.25">
      <c r="A255" s="2" t="s">
        <v>423</v>
      </c>
      <c r="B255" s="2" t="s">
        <v>427</v>
      </c>
      <c r="C255" s="2" t="s">
        <v>430</v>
      </c>
      <c r="D255" s="32">
        <f>MATCH(Xtradata!C255,Xtradata!C$2:C653,0)</f>
        <v>254</v>
      </c>
      <c r="E255" s="33">
        <f>INDEX(Xtradata!G$2:G$397,$D255)</f>
        <v>44355</v>
      </c>
      <c r="F255" s="33">
        <f>INDEX(Xtradata!H$2:H$397,$D255)</f>
        <v>44432</v>
      </c>
      <c r="G255" s="2">
        <v>100</v>
      </c>
      <c r="H255" s="2">
        <v>0</v>
      </c>
      <c r="I255" s="2">
        <v>0</v>
      </c>
      <c r="J255" s="33" t="str">
        <f>INDEX(Xtradata!J$2:J$397,$D255)</f>
        <v>TZ</v>
      </c>
      <c r="K255" s="34">
        <f>IF(J255="TZ",INDEX(Xtradata!P$2:P$397,$D255),IF(J255="clip",INDEX(Xtradata!K$2:K$397,$D255),""))</f>
        <v>9</v>
      </c>
      <c r="L255" s="34">
        <f>IF($J255="TZ",INDEX(Xtradata!Q$2:Q$397,$D255),IF($J255="clip",INDEX(Xtradata!L$2:L$397,$D255),""))</f>
        <v>3</v>
      </c>
      <c r="M255" s="34">
        <f>IF($J255="TZ",INDEX(Xtradata!R$2:R$397,$D255),IF($J255="clip",INDEX(Xtradata!M$2:M$397,$D255),""))</f>
        <v>6</v>
      </c>
      <c r="N255" s="2">
        <v>91</v>
      </c>
      <c r="O255" s="34">
        <f>INDEX(Xtradata!T$2:T$397,$D255)</f>
        <v>0</v>
      </c>
      <c r="P255" s="38">
        <f t="shared" si="27"/>
        <v>0</v>
      </c>
      <c r="Q255" s="48">
        <f t="shared" si="28"/>
        <v>0</v>
      </c>
      <c r="R255" s="48">
        <f t="shared" si="29"/>
        <v>0</v>
      </c>
      <c r="S255" s="48">
        <f t="shared" si="34"/>
        <v>0.03</v>
      </c>
      <c r="T255" s="48">
        <f t="shared" si="30"/>
        <v>0.03</v>
      </c>
      <c r="U255" s="48">
        <f t="shared" si="31"/>
        <v>0.91</v>
      </c>
      <c r="V255" s="48">
        <f t="shared" si="32"/>
        <v>5.9999999999999942E-2</v>
      </c>
      <c r="W255" s="48">
        <f t="shared" si="33"/>
        <v>1</v>
      </c>
      <c r="X255" s="14">
        <f>MATCH(C255,'Weights and Seed Amounts'!C$2:C$400,0)</f>
        <v>254</v>
      </c>
      <c r="Y255" s="58">
        <f>INDEX('Weights and Seed Amounts'!D$2:D$400,$X255)</f>
        <v>1.4800000000000001E-2</v>
      </c>
      <c r="Z255" s="34">
        <f>INDEX(Xtradata!U$2:U$397,$D255)</f>
        <v>0</v>
      </c>
    </row>
    <row r="256" spans="1:26" x14ac:dyDescent="0.25">
      <c r="A256" s="2" t="s">
        <v>423</v>
      </c>
      <c r="B256" s="2" t="s">
        <v>427</v>
      </c>
      <c r="C256" s="2" t="s">
        <v>431</v>
      </c>
      <c r="D256" s="32">
        <f>MATCH(Xtradata!C256,Xtradata!C$2:C654,0)</f>
        <v>255</v>
      </c>
      <c r="E256" s="33">
        <f>INDEX(Xtradata!G$2:G$397,$D256)</f>
        <v>44355</v>
      </c>
      <c r="F256" s="33">
        <f>INDEX(Xtradata!H$2:H$397,$D256)</f>
        <v>44432</v>
      </c>
      <c r="G256" s="2">
        <v>100</v>
      </c>
      <c r="H256" s="2">
        <v>0</v>
      </c>
      <c r="I256" s="2">
        <v>0</v>
      </c>
      <c r="J256" s="33" t="str">
        <f>INDEX(Xtradata!J$2:J$397,$D256)</f>
        <v>TZ</v>
      </c>
      <c r="K256" s="34">
        <f>IF(J256="TZ",INDEX(Xtradata!P$2:P$397,$D256),IF(J256="clip",INDEX(Xtradata!K$2:K$397,$D256),""))</f>
        <v>8</v>
      </c>
      <c r="L256" s="34">
        <f>IF($J256="TZ",INDEX(Xtradata!Q$2:Q$397,$D256),IF($J256="clip",INDEX(Xtradata!L$2:L$397,$D256),""))</f>
        <v>1</v>
      </c>
      <c r="M256" s="34">
        <f>IF($J256="TZ",INDEX(Xtradata!R$2:R$397,$D256),IF($J256="clip",INDEX(Xtradata!M$2:M$397,$D256),""))</f>
        <v>7</v>
      </c>
      <c r="N256" s="2">
        <v>92</v>
      </c>
      <c r="O256" s="34">
        <f>INDEX(Xtradata!T$2:T$397,$D256)</f>
        <v>0</v>
      </c>
      <c r="P256" s="38">
        <f t="shared" si="27"/>
        <v>0</v>
      </c>
      <c r="Q256" s="48">
        <f t="shared" si="28"/>
        <v>0</v>
      </c>
      <c r="R256" s="48">
        <f t="shared" si="29"/>
        <v>0</v>
      </c>
      <c r="S256" s="48">
        <f t="shared" si="34"/>
        <v>0.01</v>
      </c>
      <c r="T256" s="48">
        <f t="shared" si="30"/>
        <v>0.01</v>
      </c>
      <c r="U256" s="48">
        <f t="shared" si="31"/>
        <v>0.92</v>
      </c>
      <c r="V256" s="48">
        <f t="shared" si="32"/>
        <v>6.9999999999999951E-2</v>
      </c>
      <c r="W256" s="48">
        <f t="shared" si="33"/>
        <v>1</v>
      </c>
      <c r="X256" s="14">
        <f>MATCH(C256,'Weights and Seed Amounts'!C$2:C$400,0)</f>
        <v>255</v>
      </c>
      <c r="Y256" s="58">
        <f>INDEX('Weights and Seed Amounts'!D$2:D$400,$X256)</f>
        <v>1.4500000000000001E-2</v>
      </c>
      <c r="Z256" s="34">
        <f>INDEX(Xtradata!U$2:U$397,$D256)</f>
        <v>0</v>
      </c>
    </row>
    <row r="257" spans="1:26" x14ac:dyDescent="0.25">
      <c r="A257" s="2" t="s">
        <v>423</v>
      </c>
      <c r="B257" s="2" t="s">
        <v>427</v>
      </c>
      <c r="C257" s="2" t="s">
        <v>432</v>
      </c>
      <c r="D257" s="32">
        <f>MATCH(Xtradata!C257,Xtradata!C$2:C655,0)</f>
        <v>256</v>
      </c>
      <c r="E257" s="33">
        <f>INDEX(Xtradata!G$2:G$397,$D257)</f>
        <v>44355</v>
      </c>
      <c r="F257" s="33">
        <f>INDEX(Xtradata!H$2:H$397,$D257)</f>
        <v>44432</v>
      </c>
      <c r="G257" s="2">
        <v>100</v>
      </c>
      <c r="H257" s="2">
        <v>0</v>
      </c>
      <c r="I257" s="2">
        <v>0</v>
      </c>
      <c r="J257" s="33" t="str">
        <f>INDEX(Xtradata!J$2:J$397,$D257)</f>
        <v>TZ</v>
      </c>
      <c r="K257" s="34">
        <f>IF(J257="TZ",INDEX(Xtradata!P$2:P$397,$D257),IF(J257="clip",INDEX(Xtradata!K$2:K$397,$D257),""))</f>
        <v>32</v>
      </c>
      <c r="L257" s="34">
        <f>IF($J257="TZ",INDEX(Xtradata!Q$2:Q$397,$D257),IF($J257="clip",INDEX(Xtradata!L$2:L$397,$D257),""))</f>
        <v>21</v>
      </c>
      <c r="M257" s="34">
        <f>IF($J257="TZ",INDEX(Xtradata!R$2:R$397,$D257),IF($J257="clip",INDEX(Xtradata!M$2:M$397,$D257),""))</f>
        <v>11</v>
      </c>
      <c r="N257" s="2">
        <v>68</v>
      </c>
      <c r="O257" s="34">
        <f>INDEX(Xtradata!T$2:T$397,$D257)</f>
        <v>0</v>
      </c>
      <c r="P257" s="38">
        <f t="shared" si="27"/>
        <v>0</v>
      </c>
      <c r="Q257" s="48">
        <f t="shared" si="28"/>
        <v>0</v>
      </c>
      <c r="R257" s="48">
        <f t="shared" si="29"/>
        <v>0</v>
      </c>
      <c r="S257" s="48">
        <f t="shared" si="34"/>
        <v>0.21</v>
      </c>
      <c r="T257" s="48">
        <f t="shared" si="30"/>
        <v>0.21</v>
      </c>
      <c r="U257" s="48">
        <f t="shared" si="31"/>
        <v>0.68</v>
      </c>
      <c r="V257" s="48">
        <f t="shared" si="32"/>
        <v>0.10999999999999999</v>
      </c>
      <c r="W257" s="48">
        <f t="shared" si="33"/>
        <v>1</v>
      </c>
      <c r="X257" s="14">
        <f>MATCH(C257,'Weights and Seed Amounts'!C$2:C$400,0)</f>
        <v>256</v>
      </c>
      <c r="Y257" s="58">
        <f>INDEX('Weights and Seed Amounts'!D$2:D$400,$X257)</f>
        <v>1.66E-2</v>
      </c>
      <c r="Z257" s="34">
        <f>INDEX(Xtradata!U$2:U$397,$D257)</f>
        <v>0</v>
      </c>
    </row>
    <row r="258" spans="1:26" x14ac:dyDescent="0.25">
      <c r="A258" s="2" t="s">
        <v>433</v>
      </c>
      <c r="B258" s="2" t="s">
        <v>434</v>
      </c>
      <c r="C258" s="2" t="s">
        <v>435</v>
      </c>
      <c r="D258" s="32">
        <f>MATCH(Xtradata!C258,Xtradata!C$2:C656,0)</f>
        <v>257</v>
      </c>
      <c r="E258" s="33" t="str">
        <f>INDEX(Xtradata!G$2:G$397,$D258)</f>
        <v>N/A</v>
      </c>
      <c r="F258" s="33" t="str">
        <f>INDEX(Xtradata!H$2:H$397,$D258)</f>
        <v>N/A</v>
      </c>
      <c r="G258" s="2">
        <v>0</v>
      </c>
      <c r="H258" s="2" t="s">
        <v>581</v>
      </c>
      <c r="I258" s="2" t="s">
        <v>581</v>
      </c>
      <c r="J258" s="33" t="str">
        <f>INDEX(Xtradata!J$2:J$397,$D258)</f>
        <v>TZ</v>
      </c>
      <c r="K258" s="34">
        <f>IF(J258="TZ",INDEX(Xtradata!P$2:P$397,$D258),IF(J258="clip",INDEX(Xtradata!K$2:K$397,$D258),""))</f>
        <v>10</v>
      </c>
      <c r="L258" s="34">
        <f>IF($J258="TZ",INDEX(Xtradata!Q$2:Q$397,$D258),IF($J258="clip",INDEX(Xtradata!L$2:L$397,$D258),""))</f>
        <v>0</v>
      </c>
      <c r="M258" s="34">
        <f>IF($J258="TZ",INDEX(Xtradata!R$2:R$397,$D258),IF($J258="clip",INDEX(Xtradata!M$2:M$397,$D258),""))</f>
        <v>3</v>
      </c>
      <c r="N258" s="2" t="s">
        <v>581</v>
      </c>
      <c r="O258" s="34">
        <f>INDEX(Xtradata!T$2:T$397,$D258)</f>
        <v>7</v>
      </c>
      <c r="P258" s="38">
        <f t="shared" si="27"/>
        <v>0</v>
      </c>
      <c r="Q258" s="48" t="str">
        <f t="shared" si="28"/>
        <v/>
      </c>
      <c r="R258" s="48" t="str">
        <f t="shared" si="29"/>
        <v/>
      </c>
      <c r="S258" s="48" t="str">
        <f t="shared" si="34"/>
        <v/>
      </c>
      <c r="T258" s="48">
        <f t="shared" si="30"/>
        <v>0</v>
      </c>
      <c r="U258" s="48" t="str">
        <f t="shared" si="31"/>
        <v/>
      </c>
      <c r="V258" s="48">
        <f t="shared" si="32"/>
        <v>1</v>
      </c>
      <c r="W258" s="48">
        <f t="shared" si="33"/>
        <v>1</v>
      </c>
      <c r="X258" s="14">
        <f>MATCH(C258,'Weights and Seed Amounts'!C$2:C$400,0)</f>
        <v>257</v>
      </c>
      <c r="Y258" s="58">
        <f>INDEX('Weights and Seed Amounts'!D$2:D$400,$X258)</f>
        <v>3.6551</v>
      </c>
      <c r="Z258" s="34" t="str">
        <f>INDEX(Xtradata!U$2:U$397,$D258)</f>
        <v>Initial TZ of ~ 10 seeds indicated no viability.  High proportion of empty seeds or embryos damaged by insect/handling. Perhaps immature. Not planted for germ assay.</v>
      </c>
    </row>
    <row r="259" spans="1:26" x14ac:dyDescent="0.25">
      <c r="A259" s="2" t="s">
        <v>433</v>
      </c>
      <c r="B259" s="2" t="s">
        <v>436</v>
      </c>
      <c r="C259" s="2" t="s">
        <v>437</v>
      </c>
      <c r="D259" s="32">
        <f>MATCH(Xtradata!C259,Xtradata!C$2:C657,0)</f>
        <v>258</v>
      </c>
      <c r="E259" s="33">
        <f>INDEX(Xtradata!G$2:G$397,$D259)</f>
        <v>44330</v>
      </c>
      <c r="F259" s="33">
        <f>INDEX(Xtradata!H$2:H$397,$D259)</f>
        <v>44424</v>
      </c>
      <c r="G259" s="2">
        <v>100</v>
      </c>
      <c r="H259" s="2">
        <v>0</v>
      </c>
      <c r="I259" s="2">
        <v>0</v>
      </c>
      <c r="J259" s="33" t="str">
        <f>INDEX(Xtradata!J$2:J$397,$D259)</f>
        <v>TZ</v>
      </c>
      <c r="K259" s="34">
        <f>IF(J259="TZ",INDEX(Xtradata!P$2:P$397,$D259),IF(J259="clip",INDEX(Xtradata!K$2:K$397,$D259),""))</f>
        <v>100</v>
      </c>
      <c r="L259" s="34">
        <f>IF($J259="TZ",INDEX(Xtradata!Q$2:Q$397,$D259),IF($J259="clip",INDEX(Xtradata!L$2:L$397,$D259),""))</f>
        <v>27</v>
      </c>
      <c r="M259" s="34">
        <f>IF($J259="TZ",INDEX(Xtradata!R$2:R$397,$D259),IF($J259="clip",INDEX(Xtradata!M$2:M$397,$D259),""))</f>
        <v>73</v>
      </c>
      <c r="N259" s="2">
        <v>0</v>
      </c>
      <c r="O259" s="34">
        <f>INDEX(Xtradata!T$2:T$397,$D259)</f>
        <v>0</v>
      </c>
      <c r="P259" s="38">
        <f t="shared" ref="P259:P322" si="35">IF(G259=0,K259-SUM(L259,M259,N259,O259),G259-SUM(H259,I259,L259,M259,N259,O259))</f>
        <v>0</v>
      </c>
      <c r="Q259" s="48">
        <f t="shared" ref="Q259:Q322" si="36">IF($G259=0,"",H259/$G259)</f>
        <v>0</v>
      </c>
      <c r="R259" s="48">
        <f t="shared" ref="R259:R322" si="37">IF($G259=0,"",IF(J259="clip",(H259+I259+L259)/$G259,(H259+I259)/$G259))</f>
        <v>0</v>
      </c>
      <c r="S259" s="48">
        <f t="shared" si="34"/>
        <v>0.27</v>
      </c>
      <c r="T259" s="48">
        <f t="shared" ref="T259:T322" si="38">IF($G259=0,IF(J259="TZ",(L259)/$K259,""),IF(J259="N/A",(H259+I259)/$G259, (H259+I259+L259)/$G259))</f>
        <v>0.27</v>
      </c>
      <c r="U259" s="48">
        <f t="shared" ref="U259:U322" si="39">IFERROR(N259/G259,IFERROR(N259/K259,""))</f>
        <v>0</v>
      </c>
      <c r="V259" s="48">
        <f t="shared" ref="V259:V322" si="40">IFERROR(1-T259-U259,IFERROR(1-T259,""))</f>
        <v>0.73</v>
      </c>
      <c r="W259" s="48">
        <f t="shared" si="33"/>
        <v>1</v>
      </c>
      <c r="X259" s="14">
        <f>MATCH(C259,'Weights and Seed Amounts'!C$2:C$400,0)</f>
        <v>258</v>
      </c>
      <c r="Y259" s="58">
        <f>INDEX('Weights and Seed Amounts'!D$2:D$400,$X259)</f>
        <v>4.7073999999999998</v>
      </c>
      <c r="Z259" s="34">
        <f>INDEX(Xtradata!U$2:U$397,$D259)</f>
        <v>0</v>
      </c>
    </row>
    <row r="260" spans="1:26" x14ac:dyDescent="0.25">
      <c r="A260" s="2" t="s">
        <v>433</v>
      </c>
      <c r="B260" s="2" t="s">
        <v>438</v>
      </c>
      <c r="C260" s="2" t="s">
        <v>439</v>
      </c>
      <c r="D260" s="32">
        <f>MATCH(Xtradata!C260,Xtradata!C$2:C658,0)</f>
        <v>259</v>
      </c>
      <c r="E260" s="33">
        <f>INDEX(Xtradata!G$2:G$397,$D260)</f>
        <v>44330</v>
      </c>
      <c r="F260" s="33">
        <f>INDEX(Xtradata!H$2:H$397,$D260)</f>
        <v>44424</v>
      </c>
      <c r="G260" s="2">
        <v>100</v>
      </c>
      <c r="H260" s="2">
        <v>0</v>
      </c>
      <c r="I260" s="2">
        <v>0</v>
      </c>
      <c r="J260" s="33" t="str">
        <f>INDEX(Xtradata!J$2:J$397,$D260)</f>
        <v>TZ</v>
      </c>
      <c r="K260" s="34">
        <f>IF(J260="TZ",INDEX(Xtradata!P$2:P$397,$D260),IF(J260="clip",INDEX(Xtradata!K$2:K$397,$D260),""))</f>
        <v>100</v>
      </c>
      <c r="L260" s="34">
        <f>IF($J260="TZ",INDEX(Xtradata!Q$2:Q$397,$D260),IF($J260="clip",INDEX(Xtradata!L$2:L$397,$D260),""))</f>
        <v>38</v>
      </c>
      <c r="M260" s="34">
        <f>IF($J260="TZ",INDEX(Xtradata!R$2:R$397,$D260),IF($J260="clip",INDEX(Xtradata!M$2:M$397,$D260),""))</f>
        <v>62</v>
      </c>
      <c r="N260" s="2">
        <v>0</v>
      </c>
      <c r="O260" s="34">
        <f>INDEX(Xtradata!T$2:T$397,$D260)</f>
        <v>0</v>
      </c>
      <c r="P260" s="38">
        <f t="shared" si="35"/>
        <v>0</v>
      </c>
      <c r="Q260" s="48">
        <f t="shared" si="36"/>
        <v>0</v>
      </c>
      <c r="R260" s="48">
        <f t="shared" si="37"/>
        <v>0</v>
      </c>
      <c r="S260" s="48">
        <f t="shared" si="34"/>
        <v>0.38</v>
      </c>
      <c r="T260" s="48">
        <f t="shared" si="38"/>
        <v>0.38</v>
      </c>
      <c r="U260" s="48">
        <f t="shared" si="39"/>
        <v>0</v>
      </c>
      <c r="V260" s="48">
        <f t="shared" si="40"/>
        <v>0.62</v>
      </c>
      <c r="W260" s="48">
        <f t="shared" si="33"/>
        <v>1</v>
      </c>
      <c r="X260" s="14">
        <f>MATCH(C260,'Weights and Seed Amounts'!C$2:C$400,0)</f>
        <v>259</v>
      </c>
      <c r="Y260" s="58">
        <f>INDEX('Weights and Seed Amounts'!D$2:D$400,$X260)</f>
        <v>3.7339000000000002</v>
      </c>
      <c r="Z260" s="34">
        <f>INDEX(Xtradata!U$2:U$397,$D260)</f>
        <v>0</v>
      </c>
    </row>
    <row r="261" spans="1:26" x14ac:dyDescent="0.25">
      <c r="A261" s="2" t="s">
        <v>433</v>
      </c>
      <c r="B261" s="2" t="s">
        <v>438</v>
      </c>
      <c r="C261" s="2" t="s">
        <v>440</v>
      </c>
      <c r="D261" s="32">
        <f>MATCH(Xtradata!C261,Xtradata!C$2:C659,0)</f>
        <v>260</v>
      </c>
      <c r="E261" s="33">
        <f>INDEX(Xtradata!G$2:G$397,$D261)</f>
        <v>44372</v>
      </c>
      <c r="F261" s="33">
        <f>INDEX(Xtradata!H$2:H$397,$D261)</f>
        <v>44424</v>
      </c>
      <c r="G261" s="2">
        <v>100</v>
      </c>
      <c r="H261" s="2">
        <v>0</v>
      </c>
      <c r="I261" s="2">
        <v>0</v>
      </c>
      <c r="J261" s="33" t="str">
        <f>INDEX(Xtradata!J$2:J$397,$D261)</f>
        <v>TZ</v>
      </c>
      <c r="K261" s="34">
        <f>IF(J261="TZ",INDEX(Xtradata!P$2:P$397,$D261),IF(J261="clip",INDEX(Xtradata!K$2:K$397,$D261),""))</f>
        <v>100</v>
      </c>
      <c r="L261" s="34">
        <f>IF($J261="TZ",INDEX(Xtradata!Q$2:Q$397,$D261),IF($J261="clip",INDEX(Xtradata!L$2:L$397,$D261),""))</f>
        <v>23</v>
      </c>
      <c r="M261" s="34">
        <f>IF($J261="TZ",INDEX(Xtradata!R$2:R$397,$D261),IF($J261="clip",INDEX(Xtradata!M$2:M$397,$D261),""))</f>
        <v>77</v>
      </c>
      <c r="N261" s="2">
        <v>0</v>
      </c>
      <c r="O261" s="34">
        <f>INDEX(Xtradata!T$2:T$397,$D261)</f>
        <v>0</v>
      </c>
      <c r="P261" s="38">
        <f t="shared" si="35"/>
        <v>0</v>
      </c>
      <c r="Q261" s="48">
        <f t="shared" si="36"/>
        <v>0</v>
      </c>
      <c r="R261" s="48">
        <f t="shared" si="37"/>
        <v>0</v>
      </c>
      <c r="S261" s="48">
        <f t="shared" si="34"/>
        <v>0.23</v>
      </c>
      <c r="T261" s="48">
        <f t="shared" si="38"/>
        <v>0.23</v>
      </c>
      <c r="U261" s="48">
        <f t="shared" si="39"/>
        <v>0</v>
      </c>
      <c r="V261" s="48">
        <f t="shared" si="40"/>
        <v>0.77</v>
      </c>
      <c r="W261" s="48">
        <f t="shared" ref="W261:W324" si="41">SUM(R261,S261,U261,V261)</f>
        <v>1</v>
      </c>
      <c r="X261" s="14">
        <f>MATCH(C261,'Weights and Seed Amounts'!C$2:C$400,0)</f>
        <v>260</v>
      </c>
      <c r="Y261" s="58">
        <f>INDEX('Weights and Seed Amounts'!D$2:D$400,$X261)</f>
        <v>2.7492000000000001</v>
      </c>
      <c r="Z261" s="34">
        <f>INDEX(Xtradata!U$2:U$397,$D261)</f>
        <v>0</v>
      </c>
    </row>
    <row r="262" spans="1:26" x14ac:dyDescent="0.25">
      <c r="A262" s="2" t="s">
        <v>441</v>
      </c>
      <c r="B262" s="2" t="s">
        <v>442</v>
      </c>
      <c r="C262" s="2" t="s">
        <v>443</v>
      </c>
      <c r="D262" s="32">
        <f>MATCH(Xtradata!C262,Xtradata!C$2:C660,0)</f>
        <v>261</v>
      </c>
      <c r="E262" s="33" t="str">
        <f>INDEX(Xtradata!G$2:G$397,$D262)</f>
        <v>N/A</v>
      </c>
      <c r="F262" s="33" t="str">
        <f>INDEX(Xtradata!H$2:H$397,$D262)</f>
        <v>N/A</v>
      </c>
      <c r="G262" s="2">
        <v>0</v>
      </c>
      <c r="H262" s="2" t="s">
        <v>581</v>
      </c>
      <c r="I262" s="2" t="s">
        <v>581</v>
      </c>
      <c r="J262" s="33" t="str">
        <f>INDEX(Xtradata!J$2:J$397,$D262)</f>
        <v>TZ</v>
      </c>
      <c r="K262" s="34">
        <f>IF(J262="TZ",INDEX(Xtradata!P$2:P$397,$D262),IF(J262="clip",INDEX(Xtradata!K$2:K$397,$D262),""))</f>
        <v>17</v>
      </c>
      <c r="L262" s="34">
        <f>IF($J262="TZ",INDEX(Xtradata!Q$2:Q$397,$D262),IF($J262="clip",INDEX(Xtradata!L$2:L$397,$D262),""))</f>
        <v>0</v>
      </c>
      <c r="M262" s="34">
        <f>IF($J262="TZ",INDEX(Xtradata!R$2:R$397,$D262),IF($J262="clip",INDEX(Xtradata!M$2:M$397,$D262),""))</f>
        <v>0</v>
      </c>
      <c r="N262" s="2" t="s">
        <v>581</v>
      </c>
      <c r="O262" s="34">
        <f>INDEX(Xtradata!T$2:T$397,$D262)</f>
        <v>17</v>
      </c>
      <c r="P262" s="38">
        <f t="shared" si="35"/>
        <v>0</v>
      </c>
      <c r="Q262" s="48" t="str">
        <f t="shared" si="36"/>
        <v/>
      </c>
      <c r="R262" s="48" t="str">
        <f t="shared" si="37"/>
        <v/>
      </c>
      <c r="S262" s="48" t="str">
        <f t="shared" si="34"/>
        <v/>
      </c>
      <c r="T262" s="48">
        <f t="shared" si="38"/>
        <v>0</v>
      </c>
      <c r="U262" s="48" t="str">
        <f t="shared" si="39"/>
        <v/>
      </c>
      <c r="V262" s="48">
        <f t="shared" si="40"/>
        <v>1</v>
      </c>
      <c r="W262" s="48">
        <f t="shared" si="41"/>
        <v>1</v>
      </c>
      <c r="X262" s="14">
        <f>MATCH(C262,'Weights and Seed Amounts'!C$2:C$400,0)</f>
        <v>261</v>
      </c>
      <c r="Y262" s="58">
        <f>INDEX('Weights and Seed Amounts'!D$2:D$400,$X262)</f>
        <v>1.61E-2</v>
      </c>
      <c r="Z262" s="34" t="str">
        <f>INDEX(Xtradata!U$2:U$397,$D262)</f>
        <v>Initial TZ of ~ 10 seeds indicated no viability.  High proportion of empty seeds or embryos damaged by insect/handling. Perhaps immature. Not planted for germ assay.</v>
      </c>
    </row>
    <row r="263" spans="1:26" x14ac:dyDescent="0.25">
      <c r="A263" s="2" t="s">
        <v>441</v>
      </c>
      <c r="B263" s="2" t="s">
        <v>442</v>
      </c>
      <c r="C263" s="2" t="s">
        <v>444</v>
      </c>
      <c r="D263" s="32">
        <f>MATCH(Xtradata!C263,Xtradata!C$2:C661,0)</f>
        <v>262</v>
      </c>
      <c r="E263" s="33">
        <f>INDEX(Xtradata!G$2:G$397,$D263)</f>
        <v>44354</v>
      </c>
      <c r="F263" s="33">
        <f>INDEX(Xtradata!H$2:H$397,$D263)</f>
        <v>44414</v>
      </c>
      <c r="G263" s="2">
        <v>100</v>
      </c>
      <c r="H263" s="2">
        <v>27</v>
      </c>
      <c r="I263" s="2">
        <v>0</v>
      </c>
      <c r="J263" s="33" t="str">
        <f>INDEX(Xtradata!J$2:J$397,$D263)</f>
        <v>N/A</v>
      </c>
      <c r="K263" s="34" t="str">
        <f>IF(J263="TZ",INDEX(Xtradata!P$2:P$397,$D263),IF(J263="clip",INDEX(Xtradata!K$2:K$397,$D263),""))</f>
        <v/>
      </c>
      <c r="L263" s="34" t="str">
        <f>IF($J263="TZ",INDEX(Xtradata!Q$2:Q$397,$D263),IF($J263="clip",INDEX(Xtradata!L$2:L$397,$D263),""))</f>
        <v/>
      </c>
      <c r="M263" s="34" t="str">
        <f>IF($J263="TZ",INDEX(Xtradata!R$2:R$397,$D263),IF($J263="clip",INDEX(Xtradata!M$2:M$397,$D263),""))</f>
        <v/>
      </c>
      <c r="N263" s="2">
        <v>73</v>
      </c>
      <c r="O263" s="34">
        <f>INDEX(Xtradata!T$2:T$397,$D263)</f>
        <v>0</v>
      </c>
      <c r="P263" s="38">
        <f t="shared" si="35"/>
        <v>0</v>
      </c>
      <c r="Q263" s="48">
        <f t="shared" si="36"/>
        <v>0.27</v>
      </c>
      <c r="R263" s="48">
        <f t="shared" si="37"/>
        <v>0.27</v>
      </c>
      <c r="S263" s="48">
        <f t="shared" si="34"/>
        <v>0</v>
      </c>
      <c r="T263" s="48">
        <f t="shared" si="38"/>
        <v>0.27</v>
      </c>
      <c r="U263" s="48">
        <f t="shared" si="39"/>
        <v>0.73</v>
      </c>
      <c r="V263" s="48">
        <f t="shared" si="40"/>
        <v>0</v>
      </c>
      <c r="W263" s="48">
        <f t="shared" si="41"/>
        <v>1</v>
      </c>
      <c r="X263" s="14">
        <f>MATCH(C263,'Weights and Seed Amounts'!C$2:C$400,0)</f>
        <v>262</v>
      </c>
      <c r="Y263" s="58">
        <f>INDEX('Weights and Seed Amounts'!D$2:D$400,$X263)</f>
        <v>2.1999999999999999E-2</v>
      </c>
      <c r="Z263" s="34">
        <f>INDEX(Xtradata!U$2:U$397,$D263)</f>
        <v>0</v>
      </c>
    </row>
    <row r="264" spans="1:26" x14ac:dyDescent="0.25">
      <c r="A264" s="2" t="s">
        <v>441</v>
      </c>
      <c r="B264" s="2" t="s">
        <v>442</v>
      </c>
      <c r="C264" s="2" t="s">
        <v>445</v>
      </c>
      <c r="D264" s="32">
        <f>MATCH(Xtradata!C264,Xtradata!C$2:C662,0)</f>
        <v>263</v>
      </c>
      <c r="E264" s="33">
        <f>INDEX(Xtradata!G$2:G$397,$D264)</f>
        <v>44354</v>
      </c>
      <c r="F264" s="33">
        <f>INDEX(Xtradata!H$2:H$397,$D264)</f>
        <v>44414</v>
      </c>
      <c r="G264" s="2">
        <v>100</v>
      </c>
      <c r="H264" s="2">
        <v>51</v>
      </c>
      <c r="I264" s="2">
        <v>0</v>
      </c>
      <c r="J264" s="33" t="str">
        <f>INDEX(Xtradata!J$2:J$397,$D264)</f>
        <v>N/A</v>
      </c>
      <c r="K264" s="34" t="str">
        <f>IF(J264="TZ",INDEX(Xtradata!P$2:P$397,$D264),IF(J264="clip",INDEX(Xtradata!K$2:K$397,$D264),""))</f>
        <v/>
      </c>
      <c r="L264" s="34" t="str">
        <f>IF($J264="TZ",INDEX(Xtradata!Q$2:Q$397,$D264),IF($J264="clip",INDEX(Xtradata!L$2:L$397,$D264),""))</f>
        <v/>
      </c>
      <c r="M264" s="34" t="str">
        <f>IF($J264="TZ",INDEX(Xtradata!R$2:R$397,$D264),IF($J264="clip",INDEX(Xtradata!M$2:M$397,$D264),""))</f>
        <v/>
      </c>
      <c r="N264" s="2">
        <v>49</v>
      </c>
      <c r="O264" s="34">
        <f>INDEX(Xtradata!T$2:T$397,$D264)</f>
        <v>0</v>
      </c>
      <c r="P264" s="38">
        <f t="shared" si="35"/>
        <v>0</v>
      </c>
      <c r="Q264" s="48">
        <f t="shared" si="36"/>
        <v>0.51</v>
      </c>
      <c r="R264" s="48">
        <f t="shared" si="37"/>
        <v>0.51</v>
      </c>
      <c r="S264" s="48">
        <f t="shared" ref="S264:S327" si="42">IF($G264=0,"",IF(J264="N/A",0,L264/$G264))</f>
        <v>0</v>
      </c>
      <c r="T264" s="48">
        <f t="shared" si="38"/>
        <v>0.51</v>
      </c>
      <c r="U264" s="48">
        <f t="shared" si="39"/>
        <v>0.49</v>
      </c>
      <c r="V264" s="48">
        <f t="shared" si="40"/>
        <v>0</v>
      </c>
      <c r="W264" s="48">
        <f t="shared" si="41"/>
        <v>1</v>
      </c>
      <c r="X264" s="14">
        <f>MATCH(C264,'Weights and Seed Amounts'!C$2:C$400,0)</f>
        <v>263</v>
      </c>
      <c r="Y264" s="58">
        <f>INDEX('Weights and Seed Amounts'!D$2:D$400,$X264)</f>
        <v>1.24E-2</v>
      </c>
      <c r="Z264" s="34">
        <f>INDEX(Xtradata!U$2:U$397,$D264)</f>
        <v>0</v>
      </c>
    </row>
    <row r="265" spans="1:26" x14ac:dyDescent="0.25">
      <c r="A265" s="2" t="s">
        <v>441</v>
      </c>
      <c r="B265" s="2" t="s">
        <v>446</v>
      </c>
      <c r="C265" s="2" t="s">
        <v>447</v>
      </c>
      <c r="D265" s="32">
        <f>MATCH(Xtradata!C265,Xtradata!C$2:C663,0)</f>
        <v>264</v>
      </c>
      <c r="E265" s="33">
        <f>INDEX(Xtradata!G$2:G$397,$D265)</f>
        <v>44354</v>
      </c>
      <c r="F265" s="33">
        <f>INDEX(Xtradata!H$2:H$397,$D265)</f>
        <v>44414</v>
      </c>
      <c r="G265" s="2">
        <v>100</v>
      </c>
      <c r="H265" s="2">
        <v>47</v>
      </c>
      <c r="I265" s="2">
        <v>0</v>
      </c>
      <c r="J265" s="33" t="str">
        <f>INDEX(Xtradata!J$2:J$397,$D265)</f>
        <v>N/A</v>
      </c>
      <c r="K265" s="34" t="str">
        <f>IF(J265="TZ",INDEX(Xtradata!P$2:P$397,$D265),IF(J265="clip",INDEX(Xtradata!K$2:K$397,$D265),""))</f>
        <v/>
      </c>
      <c r="L265" s="34" t="str">
        <f>IF($J265="TZ",INDEX(Xtradata!Q$2:Q$397,$D265),IF($J265="clip",INDEX(Xtradata!L$2:L$397,$D265),""))</f>
        <v/>
      </c>
      <c r="M265" s="34" t="str">
        <f>IF($J265="TZ",INDEX(Xtradata!R$2:R$397,$D265),IF($J265="clip",INDEX(Xtradata!M$2:M$397,$D265),""))</f>
        <v/>
      </c>
      <c r="N265" s="2">
        <v>53</v>
      </c>
      <c r="O265" s="34">
        <f>INDEX(Xtradata!T$2:T$397,$D265)</f>
        <v>0</v>
      </c>
      <c r="P265" s="38">
        <f t="shared" si="35"/>
        <v>0</v>
      </c>
      <c r="Q265" s="48">
        <f t="shared" si="36"/>
        <v>0.47</v>
      </c>
      <c r="R265" s="48">
        <f t="shared" si="37"/>
        <v>0.47</v>
      </c>
      <c r="S265" s="48">
        <f t="shared" si="42"/>
        <v>0</v>
      </c>
      <c r="T265" s="48">
        <f t="shared" si="38"/>
        <v>0.47</v>
      </c>
      <c r="U265" s="48">
        <f t="shared" si="39"/>
        <v>0.53</v>
      </c>
      <c r="V265" s="48">
        <f t="shared" si="40"/>
        <v>0</v>
      </c>
      <c r="W265" s="48">
        <f t="shared" si="41"/>
        <v>1</v>
      </c>
      <c r="X265" s="14">
        <f>MATCH(C265,'Weights and Seed Amounts'!C$2:C$400,0)</f>
        <v>264</v>
      </c>
      <c r="Y265" s="58">
        <f>INDEX('Weights and Seed Amounts'!D$2:D$400,$X265)</f>
        <v>1.44E-2</v>
      </c>
      <c r="Z265" s="34">
        <f>INDEX(Xtradata!U$2:U$397,$D265)</f>
        <v>0</v>
      </c>
    </row>
    <row r="266" spans="1:26" x14ac:dyDescent="0.25">
      <c r="A266" s="2" t="s">
        <v>441</v>
      </c>
      <c r="B266" s="2" t="s">
        <v>218</v>
      </c>
      <c r="C266" s="2" t="s">
        <v>448</v>
      </c>
      <c r="D266" s="32">
        <f>MATCH(Xtradata!C266,Xtradata!C$2:C664,0)</f>
        <v>265</v>
      </c>
      <c r="E266" s="33">
        <f>INDEX(Xtradata!G$2:G$397,$D266)</f>
        <v>44354</v>
      </c>
      <c r="F266" s="33">
        <f>INDEX(Xtradata!H$2:H$397,$D266)</f>
        <v>44414</v>
      </c>
      <c r="G266" s="2">
        <v>100</v>
      </c>
      <c r="H266" s="2">
        <v>41</v>
      </c>
      <c r="I266" s="2">
        <v>0</v>
      </c>
      <c r="J266" s="33" t="str">
        <f>INDEX(Xtradata!J$2:J$397,$D266)</f>
        <v>N/A</v>
      </c>
      <c r="K266" s="34" t="str">
        <f>IF(J266="TZ",INDEX(Xtradata!P$2:P$397,$D266),IF(J266="clip",INDEX(Xtradata!K$2:K$397,$D266),""))</f>
        <v/>
      </c>
      <c r="L266" s="34" t="str">
        <f>IF($J266="TZ",INDEX(Xtradata!Q$2:Q$397,$D266),IF($J266="clip",INDEX(Xtradata!L$2:L$397,$D266),""))</f>
        <v/>
      </c>
      <c r="M266" s="34" t="str">
        <f>IF($J266="TZ",INDEX(Xtradata!R$2:R$397,$D266),IF($J266="clip",INDEX(Xtradata!M$2:M$397,$D266),""))</f>
        <v/>
      </c>
      <c r="N266" s="2">
        <v>59</v>
      </c>
      <c r="O266" s="34">
        <f>INDEX(Xtradata!T$2:T$397,$D266)</f>
        <v>0</v>
      </c>
      <c r="P266" s="38">
        <f t="shared" si="35"/>
        <v>0</v>
      </c>
      <c r="Q266" s="48">
        <f t="shared" si="36"/>
        <v>0.41</v>
      </c>
      <c r="R266" s="48">
        <f t="shared" si="37"/>
        <v>0.41</v>
      </c>
      <c r="S266" s="48">
        <f t="shared" si="42"/>
        <v>0</v>
      </c>
      <c r="T266" s="48">
        <f t="shared" si="38"/>
        <v>0.41</v>
      </c>
      <c r="U266" s="48">
        <f t="shared" si="39"/>
        <v>0.59</v>
      </c>
      <c r="V266" s="48">
        <f t="shared" si="40"/>
        <v>1.1102230246251565E-16</v>
      </c>
      <c r="W266" s="48">
        <f t="shared" si="41"/>
        <v>1</v>
      </c>
      <c r="X266" s="14">
        <f>MATCH(C266,'Weights and Seed Amounts'!C$2:C$400,0)</f>
        <v>265</v>
      </c>
      <c r="Y266" s="58">
        <f>INDEX('Weights and Seed Amounts'!D$2:D$400,$X266)</f>
        <v>1.14E-2</v>
      </c>
      <c r="Z266" s="34">
        <f>INDEX(Xtradata!U$2:U$397,$D266)</f>
        <v>0</v>
      </c>
    </row>
    <row r="267" spans="1:26" x14ac:dyDescent="0.25">
      <c r="A267" s="2" t="s">
        <v>441</v>
      </c>
      <c r="B267" s="2" t="s">
        <v>449</v>
      </c>
      <c r="C267" s="2" t="s">
        <v>450</v>
      </c>
      <c r="D267" s="32">
        <f>MATCH(Xtradata!C267,Xtradata!C$2:C665,0)</f>
        <v>266</v>
      </c>
      <c r="E267" s="33" t="str">
        <f>INDEX(Xtradata!G$2:G$397,$D267)</f>
        <v>N/A</v>
      </c>
      <c r="F267" s="33" t="str">
        <f>INDEX(Xtradata!H$2:H$397,$D267)</f>
        <v>N/A</v>
      </c>
      <c r="G267" s="2">
        <v>0</v>
      </c>
      <c r="H267" s="2" t="s">
        <v>581</v>
      </c>
      <c r="I267" s="2" t="s">
        <v>581</v>
      </c>
      <c r="J267" s="33" t="str">
        <f>INDEX(Xtradata!J$2:J$397,$D267)</f>
        <v>TZ</v>
      </c>
      <c r="K267" s="34">
        <f>IF(J267="TZ",INDEX(Xtradata!P$2:P$397,$D267),IF(J267="clip",INDEX(Xtradata!K$2:K$397,$D267),""))</f>
        <v>11</v>
      </c>
      <c r="L267" s="34">
        <f>IF($J267="TZ",INDEX(Xtradata!Q$2:Q$397,$D267),IF($J267="clip",INDEX(Xtradata!L$2:L$397,$D267),""))</f>
        <v>0</v>
      </c>
      <c r="M267" s="34">
        <f>IF($J267="TZ",INDEX(Xtradata!R$2:R$397,$D267),IF($J267="clip",INDEX(Xtradata!M$2:M$397,$D267),""))</f>
        <v>0</v>
      </c>
      <c r="N267" s="2" t="s">
        <v>581</v>
      </c>
      <c r="O267" s="34">
        <f>INDEX(Xtradata!T$2:T$397,$D267)</f>
        <v>11</v>
      </c>
      <c r="P267" s="38">
        <f t="shared" si="35"/>
        <v>0</v>
      </c>
      <c r="Q267" s="48" t="str">
        <f t="shared" si="36"/>
        <v/>
      </c>
      <c r="R267" s="48" t="str">
        <f t="shared" si="37"/>
        <v/>
      </c>
      <c r="S267" s="48" t="str">
        <f t="shared" si="42"/>
        <v/>
      </c>
      <c r="T267" s="48">
        <f t="shared" si="38"/>
        <v>0</v>
      </c>
      <c r="U267" s="48" t="str">
        <f t="shared" si="39"/>
        <v/>
      </c>
      <c r="V267" s="48">
        <f t="shared" si="40"/>
        <v>1</v>
      </c>
      <c r="W267" s="48">
        <f t="shared" si="41"/>
        <v>1</v>
      </c>
      <c r="X267" s="14">
        <f>MATCH(C267,'Weights and Seed Amounts'!C$2:C$400,0)</f>
        <v>266</v>
      </c>
      <c r="Y267" s="58">
        <f>INDEX('Weights and Seed Amounts'!D$2:D$400,$X267)</f>
        <v>1.03E-2</v>
      </c>
      <c r="Z267" s="34" t="str">
        <f>INDEX(Xtradata!U$2:U$397,$D267)</f>
        <v>Initial TZ of ~ 10 seeds indicated no viability.  High proportion of empty seeds or embryos damaged by insect/handling. Perhaps immature. Not planted for germ assay.</v>
      </c>
    </row>
    <row r="268" spans="1:26" x14ac:dyDescent="0.25">
      <c r="A268" s="2" t="s">
        <v>441</v>
      </c>
      <c r="B268" s="2" t="s">
        <v>451</v>
      </c>
      <c r="C268" s="2" t="s">
        <v>452</v>
      </c>
      <c r="D268" s="32">
        <f>MATCH(Xtradata!C268,Xtradata!C$2:C666,0)</f>
        <v>267</v>
      </c>
      <c r="E268" s="33">
        <f>INDEX(Xtradata!G$2:G$397,$D268)</f>
        <v>44354</v>
      </c>
      <c r="F268" s="33">
        <f>INDEX(Xtradata!H$2:H$397,$D268)</f>
        <v>44414</v>
      </c>
      <c r="G268" s="2">
        <v>100</v>
      </c>
      <c r="H268" s="2">
        <v>25</v>
      </c>
      <c r="I268" s="2">
        <v>0</v>
      </c>
      <c r="J268" s="33" t="str">
        <f>INDEX(Xtradata!J$2:J$397,$D268)</f>
        <v>N/A</v>
      </c>
      <c r="K268" s="34" t="str">
        <f>IF(J268="TZ",INDEX(Xtradata!P$2:P$397,$D268),IF(J268="clip",INDEX(Xtradata!K$2:K$397,$D268),""))</f>
        <v/>
      </c>
      <c r="L268" s="34" t="str">
        <f>IF($J268="TZ",INDEX(Xtradata!Q$2:Q$397,$D268),IF($J268="clip",INDEX(Xtradata!L$2:L$397,$D268),""))</f>
        <v/>
      </c>
      <c r="M268" s="34" t="str">
        <f>IF($J268="TZ",INDEX(Xtradata!R$2:R$397,$D268),IF($J268="clip",INDEX(Xtradata!M$2:M$397,$D268),""))</f>
        <v/>
      </c>
      <c r="N268" s="2">
        <v>75</v>
      </c>
      <c r="O268" s="34">
        <f>INDEX(Xtradata!T$2:T$397,$D268)</f>
        <v>0</v>
      </c>
      <c r="P268" s="38">
        <f t="shared" si="35"/>
        <v>0</v>
      </c>
      <c r="Q268" s="48">
        <f t="shared" si="36"/>
        <v>0.25</v>
      </c>
      <c r="R268" s="48">
        <f t="shared" si="37"/>
        <v>0.25</v>
      </c>
      <c r="S268" s="48">
        <f t="shared" si="42"/>
        <v>0</v>
      </c>
      <c r="T268" s="48">
        <f t="shared" si="38"/>
        <v>0.25</v>
      </c>
      <c r="U268" s="48">
        <f t="shared" si="39"/>
        <v>0.75</v>
      </c>
      <c r="V268" s="48">
        <f t="shared" si="40"/>
        <v>0</v>
      </c>
      <c r="W268" s="48">
        <f t="shared" si="41"/>
        <v>1</v>
      </c>
      <c r="X268" s="14">
        <f>MATCH(C268,'Weights and Seed Amounts'!C$2:C$400,0)</f>
        <v>267</v>
      </c>
      <c r="Y268" s="58">
        <f>INDEX('Weights and Seed Amounts'!D$2:D$400,$X268)</f>
        <v>8.8999999999999999E-3</v>
      </c>
      <c r="Z268" s="34">
        <f>INDEX(Xtradata!U$2:U$397,$D268)</f>
        <v>0</v>
      </c>
    </row>
    <row r="269" spans="1:26" x14ac:dyDescent="0.25">
      <c r="A269" s="2" t="s">
        <v>441</v>
      </c>
      <c r="B269" s="2" t="s">
        <v>453</v>
      </c>
      <c r="C269" s="2" t="s">
        <v>454</v>
      </c>
      <c r="D269" s="32">
        <f>MATCH(Xtradata!C269,Xtradata!C$2:C667,0)</f>
        <v>268</v>
      </c>
      <c r="E269" s="33">
        <f>INDEX(Xtradata!G$2:G$397,$D269)</f>
        <v>44354</v>
      </c>
      <c r="F269" s="33">
        <f>INDEX(Xtradata!H$2:H$397,$D269)</f>
        <v>44414</v>
      </c>
      <c r="G269" s="2">
        <v>100</v>
      </c>
      <c r="H269" s="2">
        <v>15</v>
      </c>
      <c r="I269" s="2">
        <v>0</v>
      </c>
      <c r="J269" s="33" t="str">
        <f>INDEX(Xtradata!J$2:J$397,$D269)</f>
        <v>N/A</v>
      </c>
      <c r="K269" s="34" t="str">
        <f>IF(J269="TZ",INDEX(Xtradata!P$2:P$397,$D269),IF(J269="clip",INDEX(Xtradata!K$2:K$397,$D269),""))</f>
        <v/>
      </c>
      <c r="L269" s="34" t="str">
        <f>IF($J269="TZ",INDEX(Xtradata!Q$2:Q$397,$D269),IF($J269="clip",INDEX(Xtradata!L$2:L$397,$D269),""))</f>
        <v/>
      </c>
      <c r="M269" s="34" t="str">
        <f>IF($J269="TZ",INDEX(Xtradata!R$2:R$397,$D269),IF($J269="clip",INDEX(Xtradata!M$2:M$397,$D269),""))</f>
        <v/>
      </c>
      <c r="N269" s="2">
        <v>85</v>
      </c>
      <c r="O269" s="34">
        <f>INDEX(Xtradata!T$2:T$397,$D269)</f>
        <v>0</v>
      </c>
      <c r="P269" s="38">
        <f t="shared" si="35"/>
        <v>0</v>
      </c>
      <c r="Q269" s="48">
        <f t="shared" si="36"/>
        <v>0.15</v>
      </c>
      <c r="R269" s="48">
        <f t="shared" si="37"/>
        <v>0.15</v>
      </c>
      <c r="S269" s="48">
        <f t="shared" si="42"/>
        <v>0</v>
      </c>
      <c r="T269" s="48">
        <f t="shared" si="38"/>
        <v>0.15</v>
      </c>
      <c r="U269" s="48">
        <f t="shared" si="39"/>
        <v>0.85</v>
      </c>
      <c r="V269" s="48">
        <f t="shared" si="40"/>
        <v>0</v>
      </c>
      <c r="W269" s="48">
        <f t="shared" si="41"/>
        <v>1</v>
      </c>
      <c r="X269" s="14">
        <f>MATCH(C269,'Weights and Seed Amounts'!C$2:C$400,0)</f>
        <v>268</v>
      </c>
      <c r="Y269" s="58">
        <f>INDEX('Weights and Seed Amounts'!D$2:D$400,$X269)</f>
        <v>1.5100000000000001E-2</v>
      </c>
      <c r="Z269" s="34">
        <f>INDEX(Xtradata!U$2:U$397,$D269)</f>
        <v>0</v>
      </c>
    </row>
    <row r="270" spans="1:26" x14ac:dyDescent="0.25">
      <c r="A270" s="2" t="s">
        <v>441</v>
      </c>
      <c r="B270" s="2" t="s">
        <v>453</v>
      </c>
      <c r="C270" s="2" t="s">
        <v>455</v>
      </c>
      <c r="D270" s="32">
        <f>MATCH(Xtradata!C270,Xtradata!C$2:C668,0)</f>
        <v>269</v>
      </c>
      <c r="E270" s="33">
        <f>INDEX(Xtradata!G$2:G$397,$D270)</f>
        <v>44354</v>
      </c>
      <c r="F270" s="33">
        <f>INDEX(Xtradata!H$2:H$397,$D270)</f>
        <v>44414</v>
      </c>
      <c r="G270" s="2">
        <v>100</v>
      </c>
      <c r="H270" s="2">
        <v>18</v>
      </c>
      <c r="I270" s="2">
        <v>0</v>
      </c>
      <c r="J270" s="33" t="str">
        <f>INDEX(Xtradata!J$2:J$397,$D270)</f>
        <v>N/A</v>
      </c>
      <c r="K270" s="34" t="str">
        <f>IF(J270="TZ",INDEX(Xtradata!P$2:P$397,$D270),IF(J270="clip",INDEX(Xtradata!K$2:K$397,$D270),""))</f>
        <v/>
      </c>
      <c r="L270" s="34" t="str">
        <f>IF($J270="TZ",INDEX(Xtradata!Q$2:Q$397,$D270),IF($J270="clip",INDEX(Xtradata!L$2:L$397,$D270),""))</f>
        <v/>
      </c>
      <c r="M270" s="34" t="str">
        <f>IF($J270="TZ",INDEX(Xtradata!R$2:R$397,$D270),IF($J270="clip",INDEX(Xtradata!M$2:M$397,$D270),""))</f>
        <v/>
      </c>
      <c r="N270" s="2">
        <v>82</v>
      </c>
      <c r="O270" s="34">
        <f>INDEX(Xtradata!T$2:T$397,$D270)</f>
        <v>0</v>
      </c>
      <c r="P270" s="38">
        <f t="shared" si="35"/>
        <v>0</v>
      </c>
      <c r="Q270" s="48">
        <f t="shared" si="36"/>
        <v>0.18</v>
      </c>
      <c r="R270" s="48">
        <f t="shared" si="37"/>
        <v>0.18</v>
      </c>
      <c r="S270" s="48">
        <f t="shared" si="42"/>
        <v>0</v>
      </c>
      <c r="T270" s="48">
        <f t="shared" si="38"/>
        <v>0.18</v>
      </c>
      <c r="U270" s="48">
        <f t="shared" si="39"/>
        <v>0.82</v>
      </c>
      <c r="V270" s="48">
        <f t="shared" si="40"/>
        <v>1.1102230246251565E-16</v>
      </c>
      <c r="W270" s="48">
        <f t="shared" si="41"/>
        <v>1</v>
      </c>
      <c r="X270" s="14">
        <f>MATCH(C270,'Weights and Seed Amounts'!C$2:C$400,0)</f>
        <v>269</v>
      </c>
      <c r="Y270" s="58">
        <f>INDEX('Weights and Seed Amounts'!D$2:D$400,$X270)</f>
        <v>7.7000000000000002E-3</v>
      </c>
      <c r="Z270" s="34">
        <f>INDEX(Xtradata!U$2:U$397,$D270)</f>
        <v>0</v>
      </c>
    </row>
    <row r="271" spans="1:26" x14ac:dyDescent="0.25">
      <c r="A271" s="2" t="s">
        <v>441</v>
      </c>
      <c r="B271" s="2" t="s">
        <v>453</v>
      </c>
      <c r="C271" s="2" t="s">
        <v>456</v>
      </c>
      <c r="D271" s="32">
        <f>MATCH(Xtradata!C271,Xtradata!C$2:C669,0)</f>
        <v>270</v>
      </c>
      <c r="E271" s="33">
        <f>INDEX(Xtradata!G$2:G$397,$D271)</f>
        <v>44354</v>
      </c>
      <c r="F271" s="33">
        <f>INDEX(Xtradata!H$2:H$397,$D271)</f>
        <v>44414</v>
      </c>
      <c r="G271" s="2">
        <v>100</v>
      </c>
      <c r="H271" s="2">
        <v>12</v>
      </c>
      <c r="I271" s="2">
        <v>0</v>
      </c>
      <c r="J271" s="33" t="str">
        <f>INDEX(Xtradata!J$2:J$397,$D271)</f>
        <v>N/A</v>
      </c>
      <c r="K271" s="34" t="str">
        <f>IF(J271="TZ",INDEX(Xtradata!P$2:P$397,$D271),IF(J271="clip",INDEX(Xtradata!K$2:K$397,$D271),""))</f>
        <v/>
      </c>
      <c r="L271" s="34" t="str">
        <f>IF($J271="TZ",INDEX(Xtradata!Q$2:Q$397,$D271),IF($J271="clip",INDEX(Xtradata!L$2:L$397,$D271),""))</f>
        <v/>
      </c>
      <c r="M271" s="34" t="str">
        <f>IF($J271="TZ",INDEX(Xtradata!R$2:R$397,$D271),IF($J271="clip",INDEX(Xtradata!M$2:M$397,$D271),""))</f>
        <v/>
      </c>
      <c r="N271" s="2">
        <v>88</v>
      </c>
      <c r="O271" s="34">
        <f>INDEX(Xtradata!T$2:T$397,$D271)</f>
        <v>0</v>
      </c>
      <c r="P271" s="38">
        <f t="shared" si="35"/>
        <v>0</v>
      </c>
      <c r="Q271" s="48">
        <f t="shared" si="36"/>
        <v>0.12</v>
      </c>
      <c r="R271" s="48">
        <f t="shared" si="37"/>
        <v>0.12</v>
      </c>
      <c r="S271" s="48">
        <f t="shared" si="42"/>
        <v>0</v>
      </c>
      <c r="T271" s="48">
        <f t="shared" si="38"/>
        <v>0.12</v>
      </c>
      <c r="U271" s="48">
        <f t="shared" si="39"/>
        <v>0.88</v>
      </c>
      <c r="V271" s="48">
        <f t="shared" si="40"/>
        <v>0</v>
      </c>
      <c r="W271" s="48">
        <f t="shared" si="41"/>
        <v>1</v>
      </c>
      <c r="X271" s="14">
        <f>MATCH(C271,'Weights and Seed Amounts'!C$2:C$400,0)</f>
        <v>270</v>
      </c>
      <c r="Y271" s="58">
        <f>INDEX('Weights and Seed Amounts'!D$2:D$400,$X271)</f>
        <v>6.1999999999999998E-3</v>
      </c>
      <c r="Z271" s="34">
        <f>INDEX(Xtradata!U$2:U$397,$D271)</f>
        <v>0</v>
      </c>
    </row>
    <row r="272" spans="1:26" x14ac:dyDescent="0.25">
      <c r="A272" s="2" t="s">
        <v>441</v>
      </c>
      <c r="B272" s="2" t="s">
        <v>453</v>
      </c>
      <c r="C272" s="2" t="s">
        <v>457</v>
      </c>
      <c r="D272" s="32">
        <f>MATCH(Xtradata!C272,Xtradata!C$2:C670,0)</f>
        <v>271</v>
      </c>
      <c r="E272" s="33">
        <f>INDEX(Xtradata!G$2:G$397,$D272)</f>
        <v>44354</v>
      </c>
      <c r="F272" s="33">
        <f>INDEX(Xtradata!H$2:H$397,$D272)</f>
        <v>44414</v>
      </c>
      <c r="G272" s="2">
        <v>100</v>
      </c>
      <c r="H272" s="2">
        <v>14</v>
      </c>
      <c r="I272" s="2">
        <v>0</v>
      </c>
      <c r="J272" s="33" t="str">
        <f>INDEX(Xtradata!J$2:J$397,$D272)</f>
        <v>N/A</v>
      </c>
      <c r="K272" s="34" t="str">
        <f>IF(J272="TZ",INDEX(Xtradata!P$2:P$397,$D272),IF(J272="clip",INDEX(Xtradata!K$2:K$397,$D272),""))</f>
        <v/>
      </c>
      <c r="L272" s="34" t="str">
        <f>IF($J272="TZ",INDEX(Xtradata!Q$2:Q$397,$D272),IF($J272="clip",INDEX(Xtradata!L$2:L$397,$D272),""))</f>
        <v/>
      </c>
      <c r="M272" s="34" t="str">
        <f>IF($J272="TZ",INDEX(Xtradata!R$2:R$397,$D272),IF($J272="clip",INDEX(Xtradata!M$2:M$397,$D272),""))</f>
        <v/>
      </c>
      <c r="N272" s="2">
        <v>86</v>
      </c>
      <c r="O272" s="34">
        <f>INDEX(Xtradata!T$2:T$397,$D272)</f>
        <v>0</v>
      </c>
      <c r="P272" s="38">
        <f t="shared" si="35"/>
        <v>0</v>
      </c>
      <c r="Q272" s="48">
        <f t="shared" si="36"/>
        <v>0.14000000000000001</v>
      </c>
      <c r="R272" s="48">
        <f t="shared" si="37"/>
        <v>0.14000000000000001</v>
      </c>
      <c r="S272" s="48">
        <f t="shared" si="42"/>
        <v>0</v>
      </c>
      <c r="T272" s="48">
        <f t="shared" si="38"/>
        <v>0.14000000000000001</v>
      </c>
      <c r="U272" s="48">
        <f t="shared" si="39"/>
        <v>0.86</v>
      </c>
      <c r="V272" s="48">
        <f t="shared" si="40"/>
        <v>0</v>
      </c>
      <c r="W272" s="48">
        <f t="shared" si="41"/>
        <v>1</v>
      </c>
      <c r="X272" s="14">
        <f>MATCH(C272,'Weights and Seed Amounts'!C$2:C$400,0)</f>
        <v>271</v>
      </c>
      <c r="Y272" s="58">
        <f>INDEX('Weights and Seed Amounts'!D$2:D$400,$X272)</f>
        <v>3.5999999999999999E-3</v>
      </c>
      <c r="Z272" s="34">
        <f>INDEX(Xtradata!U$2:U$397,$D272)</f>
        <v>0</v>
      </c>
    </row>
    <row r="273" spans="1:26" x14ac:dyDescent="0.25">
      <c r="A273" s="2" t="s">
        <v>441</v>
      </c>
      <c r="B273" s="2" t="s">
        <v>453</v>
      </c>
      <c r="C273" s="2" t="s">
        <v>458</v>
      </c>
      <c r="D273" s="32">
        <f>MATCH(Xtradata!C273,Xtradata!C$2:C671,0)</f>
        <v>272</v>
      </c>
      <c r="E273" s="33">
        <f>INDEX(Xtradata!G$2:G$397,$D273)</f>
        <v>44354</v>
      </c>
      <c r="F273" s="33">
        <f>INDEX(Xtradata!H$2:H$397,$D273)</f>
        <v>44414</v>
      </c>
      <c r="G273" s="2">
        <v>100</v>
      </c>
      <c r="H273" s="2">
        <v>28</v>
      </c>
      <c r="I273" s="2">
        <v>0</v>
      </c>
      <c r="J273" s="33" t="str">
        <f>INDEX(Xtradata!J$2:J$397,$D273)</f>
        <v>N/A</v>
      </c>
      <c r="K273" s="34" t="str">
        <f>IF(J273="TZ",INDEX(Xtradata!P$2:P$397,$D273),IF(J273="clip",INDEX(Xtradata!K$2:K$397,$D273),""))</f>
        <v/>
      </c>
      <c r="L273" s="34" t="str">
        <f>IF($J273="TZ",INDEX(Xtradata!Q$2:Q$397,$D273),IF($J273="clip",INDEX(Xtradata!L$2:L$397,$D273),""))</f>
        <v/>
      </c>
      <c r="M273" s="34" t="str">
        <f>IF($J273="TZ",INDEX(Xtradata!R$2:R$397,$D273),IF($J273="clip",INDEX(Xtradata!M$2:M$397,$D273),""))</f>
        <v/>
      </c>
      <c r="N273" s="2">
        <v>72</v>
      </c>
      <c r="O273" s="34">
        <f>INDEX(Xtradata!T$2:T$397,$D273)</f>
        <v>0</v>
      </c>
      <c r="P273" s="38">
        <f t="shared" si="35"/>
        <v>0</v>
      </c>
      <c r="Q273" s="48">
        <f t="shared" si="36"/>
        <v>0.28000000000000003</v>
      </c>
      <c r="R273" s="48">
        <f t="shared" si="37"/>
        <v>0.28000000000000003</v>
      </c>
      <c r="S273" s="48">
        <f t="shared" si="42"/>
        <v>0</v>
      </c>
      <c r="T273" s="48">
        <f t="shared" si="38"/>
        <v>0.28000000000000003</v>
      </c>
      <c r="U273" s="48">
        <f t="shared" si="39"/>
        <v>0.72</v>
      </c>
      <c r="V273" s="48">
        <f t="shared" si="40"/>
        <v>0</v>
      </c>
      <c r="W273" s="48">
        <f t="shared" si="41"/>
        <v>1</v>
      </c>
      <c r="X273" s="14">
        <f>MATCH(C273,'Weights and Seed Amounts'!C$2:C$400,0)</f>
        <v>272</v>
      </c>
      <c r="Y273" s="58">
        <f>INDEX('Weights and Seed Amounts'!D$2:D$400,$X273)</f>
        <v>7.7000000000000002E-3</v>
      </c>
      <c r="Z273" s="34">
        <f>INDEX(Xtradata!U$2:U$397,$D273)</f>
        <v>0</v>
      </c>
    </row>
    <row r="274" spans="1:26" x14ac:dyDescent="0.25">
      <c r="A274" s="2" t="s">
        <v>441</v>
      </c>
      <c r="B274" s="2" t="s">
        <v>453</v>
      </c>
      <c r="C274" s="2" t="s">
        <v>459</v>
      </c>
      <c r="D274" s="32">
        <f>MATCH(Xtradata!C274,Xtradata!C$2:C672,0)</f>
        <v>273</v>
      </c>
      <c r="E274" s="33">
        <f>INDEX(Xtradata!G$2:G$397,$D274)</f>
        <v>44354</v>
      </c>
      <c r="F274" s="33">
        <f>INDEX(Xtradata!H$2:H$397,$D274)</f>
        <v>44414</v>
      </c>
      <c r="G274" s="2">
        <v>100</v>
      </c>
      <c r="H274" s="2">
        <v>31</v>
      </c>
      <c r="I274" s="2">
        <v>0</v>
      </c>
      <c r="J274" s="33" t="str">
        <f>INDEX(Xtradata!J$2:J$397,$D274)</f>
        <v>N/A</v>
      </c>
      <c r="K274" s="34" t="str">
        <f>IF(J274="TZ",INDEX(Xtradata!P$2:P$397,$D274),IF(J274="clip",INDEX(Xtradata!K$2:K$397,$D274),""))</f>
        <v/>
      </c>
      <c r="L274" s="34" t="str">
        <f>IF($J274="TZ",INDEX(Xtradata!Q$2:Q$397,$D274),IF($J274="clip",INDEX(Xtradata!L$2:L$397,$D274),""))</f>
        <v/>
      </c>
      <c r="M274" s="34" t="str">
        <f>IF($J274="TZ",INDEX(Xtradata!R$2:R$397,$D274),IF($J274="clip",INDEX(Xtradata!M$2:M$397,$D274),""))</f>
        <v/>
      </c>
      <c r="N274" s="2">
        <v>69</v>
      </c>
      <c r="O274" s="34">
        <f>INDEX(Xtradata!T$2:T$397,$D274)</f>
        <v>0</v>
      </c>
      <c r="P274" s="38">
        <f t="shared" si="35"/>
        <v>0</v>
      </c>
      <c r="Q274" s="48">
        <f t="shared" si="36"/>
        <v>0.31</v>
      </c>
      <c r="R274" s="48">
        <f t="shared" si="37"/>
        <v>0.31</v>
      </c>
      <c r="S274" s="48">
        <f t="shared" si="42"/>
        <v>0</v>
      </c>
      <c r="T274" s="48">
        <f t="shared" si="38"/>
        <v>0.31</v>
      </c>
      <c r="U274" s="48">
        <f t="shared" si="39"/>
        <v>0.69</v>
      </c>
      <c r="V274" s="48">
        <f t="shared" si="40"/>
        <v>0</v>
      </c>
      <c r="W274" s="48">
        <f t="shared" si="41"/>
        <v>1</v>
      </c>
      <c r="X274" s="14">
        <f>MATCH(C274,'Weights and Seed Amounts'!C$2:C$400,0)</f>
        <v>273</v>
      </c>
      <c r="Y274" s="58">
        <f>INDEX('Weights and Seed Amounts'!D$2:D$400,$X274)</f>
        <v>8.3999999999999995E-3</v>
      </c>
      <c r="Z274" s="34">
        <f>INDEX(Xtradata!U$2:U$397,$D274)</f>
        <v>0</v>
      </c>
    </row>
    <row r="275" spans="1:26" x14ac:dyDescent="0.25">
      <c r="A275" s="2" t="s">
        <v>441</v>
      </c>
      <c r="B275" s="2" t="s">
        <v>453</v>
      </c>
      <c r="C275" s="2" t="s">
        <v>460</v>
      </c>
      <c r="D275" s="32">
        <f>MATCH(Xtradata!C275,Xtradata!C$2:C673,0)</f>
        <v>274</v>
      </c>
      <c r="E275" s="33">
        <f>INDEX(Xtradata!G$2:G$397,$D275)</f>
        <v>44354</v>
      </c>
      <c r="F275" s="33">
        <f>INDEX(Xtradata!H$2:H$397,$D275)</f>
        <v>44414</v>
      </c>
      <c r="G275" s="2">
        <v>100</v>
      </c>
      <c r="H275" s="2">
        <v>30</v>
      </c>
      <c r="I275" s="2">
        <v>0</v>
      </c>
      <c r="J275" s="33" t="str">
        <f>INDEX(Xtradata!J$2:J$397,$D275)</f>
        <v>N/A</v>
      </c>
      <c r="K275" s="34" t="str">
        <f>IF(J275="TZ",INDEX(Xtradata!P$2:P$397,$D275),IF(J275="clip",INDEX(Xtradata!K$2:K$397,$D275),""))</f>
        <v/>
      </c>
      <c r="L275" s="34" t="str">
        <f>IF($J275="TZ",INDEX(Xtradata!Q$2:Q$397,$D275),IF($J275="clip",INDEX(Xtradata!L$2:L$397,$D275),""))</f>
        <v/>
      </c>
      <c r="M275" s="34" t="str">
        <f>IF($J275="TZ",INDEX(Xtradata!R$2:R$397,$D275),IF($J275="clip",INDEX(Xtradata!M$2:M$397,$D275),""))</f>
        <v/>
      </c>
      <c r="N275" s="2">
        <v>70</v>
      </c>
      <c r="O275" s="34">
        <f>INDEX(Xtradata!T$2:T$397,$D275)</f>
        <v>0</v>
      </c>
      <c r="P275" s="38">
        <f t="shared" si="35"/>
        <v>0</v>
      </c>
      <c r="Q275" s="48">
        <f t="shared" si="36"/>
        <v>0.3</v>
      </c>
      <c r="R275" s="48">
        <f t="shared" si="37"/>
        <v>0.3</v>
      </c>
      <c r="S275" s="48">
        <f t="shared" si="42"/>
        <v>0</v>
      </c>
      <c r="T275" s="48">
        <f t="shared" si="38"/>
        <v>0.3</v>
      </c>
      <c r="U275" s="48">
        <f t="shared" si="39"/>
        <v>0.7</v>
      </c>
      <c r="V275" s="48">
        <f t="shared" si="40"/>
        <v>0</v>
      </c>
      <c r="W275" s="48">
        <f t="shared" si="41"/>
        <v>1</v>
      </c>
      <c r="X275" s="14">
        <f>MATCH(C275,'Weights and Seed Amounts'!C$2:C$400,0)</f>
        <v>274</v>
      </c>
      <c r="Y275" s="58">
        <f>INDEX('Weights and Seed Amounts'!D$2:D$400,$X275)</f>
        <v>1.3100000000000001E-2</v>
      </c>
      <c r="Z275" s="34">
        <f>INDEX(Xtradata!U$2:U$397,$D275)</f>
        <v>0</v>
      </c>
    </row>
    <row r="276" spans="1:26" x14ac:dyDescent="0.25">
      <c r="A276" s="2" t="s">
        <v>441</v>
      </c>
      <c r="B276" s="2" t="s">
        <v>461</v>
      </c>
      <c r="C276" s="2" t="s">
        <v>462</v>
      </c>
      <c r="D276" s="32">
        <f>MATCH(Xtradata!C276,Xtradata!C$2:C674,0)</f>
        <v>275</v>
      </c>
      <c r="E276" s="33">
        <f>INDEX(Xtradata!G$2:G$397,$D276)</f>
        <v>44354</v>
      </c>
      <c r="F276" s="33">
        <f>INDEX(Xtradata!H$2:H$397,$D276)</f>
        <v>44414</v>
      </c>
      <c r="G276" s="2">
        <v>100</v>
      </c>
      <c r="H276" s="2">
        <v>0</v>
      </c>
      <c r="I276" s="2">
        <v>0</v>
      </c>
      <c r="J276" s="33" t="str">
        <f>INDEX(Xtradata!J$2:J$397,$D276)</f>
        <v>N/A</v>
      </c>
      <c r="K276" s="34" t="str">
        <f>IF(J276="TZ",INDEX(Xtradata!P$2:P$397,$D276),IF(J276="clip",INDEX(Xtradata!K$2:K$397,$D276),""))</f>
        <v/>
      </c>
      <c r="L276" s="34" t="str">
        <f>IF($J276="TZ",INDEX(Xtradata!Q$2:Q$397,$D276),IF($J276="clip",INDEX(Xtradata!L$2:L$397,$D276),""))</f>
        <v/>
      </c>
      <c r="M276" s="34" t="str">
        <f>IF($J276="TZ",INDEX(Xtradata!R$2:R$397,$D276),IF($J276="clip",INDEX(Xtradata!M$2:M$397,$D276),""))</f>
        <v/>
      </c>
      <c r="N276" s="2">
        <v>100</v>
      </c>
      <c r="O276" s="34">
        <f>INDEX(Xtradata!T$2:T$397,$D276)</f>
        <v>0</v>
      </c>
      <c r="P276" s="38">
        <f t="shared" si="35"/>
        <v>0</v>
      </c>
      <c r="Q276" s="48">
        <f t="shared" si="36"/>
        <v>0</v>
      </c>
      <c r="R276" s="48">
        <f t="shared" si="37"/>
        <v>0</v>
      </c>
      <c r="S276" s="48">
        <f t="shared" si="42"/>
        <v>0</v>
      </c>
      <c r="T276" s="48">
        <f t="shared" si="38"/>
        <v>0</v>
      </c>
      <c r="U276" s="48">
        <f t="shared" si="39"/>
        <v>1</v>
      </c>
      <c r="V276" s="48">
        <f t="shared" si="40"/>
        <v>0</v>
      </c>
      <c r="W276" s="48">
        <f t="shared" si="41"/>
        <v>1</v>
      </c>
      <c r="X276" s="14">
        <f>MATCH(C276,'Weights and Seed Amounts'!C$2:C$400,0)</f>
        <v>275</v>
      </c>
      <c r="Y276" s="58">
        <f>INDEX('Weights and Seed Amounts'!D$2:D$400,$X276)</f>
        <v>2.9100000000000001E-2</v>
      </c>
      <c r="Z276" s="34">
        <f>INDEX(Xtradata!U$2:U$397,$D276)</f>
        <v>0</v>
      </c>
    </row>
    <row r="277" spans="1:26" x14ac:dyDescent="0.25">
      <c r="A277" s="2" t="s">
        <v>441</v>
      </c>
      <c r="B277" s="2" t="s">
        <v>461</v>
      </c>
      <c r="C277" s="2" t="s">
        <v>463</v>
      </c>
      <c r="D277" s="32">
        <f>MATCH(Xtradata!C277,Xtradata!C$2:C675,0)</f>
        <v>276</v>
      </c>
      <c r="E277" s="33">
        <f>INDEX(Xtradata!G$2:G$397,$D277)</f>
        <v>44354</v>
      </c>
      <c r="F277" s="33">
        <f>INDEX(Xtradata!H$2:H$397,$D277)</f>
        <v>44414</v>
      </c>
      <c r="G277" s="2">
        <v>100</v>
      </c>
      <c r="H277" s="2">
        <v>16</v>
      </c>
      <c r="I277" s="2">
        <v>0</v>
      </c>
      <c r="J277" s="33" t="str">
        <f>INDEX(Xtradata!J$2:J$397,$D277)</f>
        <v>N/A</v>
      </c>
      <c r="K277" s="34" t="str">
        <f>IF(J277="TZ",INDEX(Xtradata!P$2:P$397,$D277),IF(J277="clip",INDEX(Xtradata!K$2:K$397,$D277),""))</f>
        <v/>
      </c>
      <c r="L277" s="34" t="str">
        <f>IF($J277="TZ",INDEX(Xtradata!Q$2:Q$397,$D277),IF($J277="clip",INDEX(Xtradata!L$2:L$397,$D277),""))</f>
        <v/>
      </c>
      <c r="M277" s="34" t="str">
        <f>IF($J277="TZ",INDEX(Xtradata!R$2:R$397,$D277),IF($J277="clip",INDEX(Xtradata!M$2:M$397,$D277),""))</f>
        <v/>
      </c>
      <c r="N277" s="2">
        <v>84</v>
      </c>
      <c r="O277" s="34">
        <f>INDEX(Xtradata!T$2:T$397,$D277)</f>
        <v>0</v>
      </c>
      <c r="P277" s="38">
        <f t="shared" si="35"/>
        <v>0</v>
      </c>
      <c r="Q277" s="48">
        <f t="shared" si="36"/>
        <v>0.16</v>
      </c>
      <c r="R277" s="48">
        <f t="shared" si="37"/>
        <v>0.16</v>
      </c>
      <c r="S277" s="48">
        <f t="shared" si="42"/>
        <v>0</v>
      </c>
      <c r="T277" s="48">
        <f t="shared" si="38"/>
        <v>0.16</v>
      </c>
      <c r="U277" s="48">
        <f t="shared" si="39"/>
        <v>0.84</v>
      </c>
      <c r="V277" s="48">
        <f t="shared" si="40"/>
        <v>0</v>
      </c>
      <c r="W277" s="48">
        <f t="shared" si="41"/>
        <v>1</v>
      </c>
      <c r="X277" s="14">
        <f>MATCH(C277,'Weights and Seed Amounts'!C$2:C$400,0)</f>
        <v>276</v>
      </c>
      <c r="Y277" s="58">
        <f>INDEX('Weights and Seed Amounts'!D$2:D$400,$X277)</f>
        <v>2.0299999999999999E-2</v>
      </c>
      <c r="Z277" s="34">
        <f>INDEX(Xtradata!U$2:U$397,$D277)</f>
        <v>0</v>
      </c>
    </row>
    <row r="278" spans="1:26" x14ac:dyDescent="0.25">
      <c r="A278" s="2" t="s">
        <v>441</v>
      </c>
      <c r="B278" s="2" t="s">
        <v>461</v>
      </c>
      <c r="C278" s="2" t="s">
        <v>464</v>
      </c>
      <c r="D278" s="32">
        <f>MATCH(Xtradata!C278,Xtradata!C$2:C676,0)</f>
        <v>277</v>
      </c>
      <c r="E278" s="33">
        <f>INDEX(Xtradata!G$2:G$397,$D278)</f>
        <v>44354</v>
      </c>
      <c r="F278" s="33">
        <f>INDEX(Xtradata!H$2:H$397,$D278)</f>
        <v>44414</v>
      </c>
      <c r="G278" s="2">
        <v>100</v>
      </c>
      <c r="H278" s="2">
        <v>23</v>
      </c>
      <c r="I278" s="2">
        <v>0</v>
      </c>
      <c r="J278" s="33" t="str">
        <f>INDEX(Xtradata!J$2:J$397,$D278)</f>
        <v>N/A</v>
      </c>
      <c r="K278" s="34" t="str">
        <f>IF(J278="TZ",INDEX(Xtradata!P$2:P$397,$D278),IF(J278="clip",INDEX(Xtradata!K$2:K$397,$D278),""))</f>
        <v/>
      </c>
      <c r="L278" s="34" t="str">
        <f>IF($J278="TZ",INDEX(Xtradata!Q$2:Q$397,$D278),IF($J278="clip",INDEX(Xtradata!L$2:L$397,$D278),""))</f>
        <v/>
      </c>
      <c r="M278" s="34" t="str">
        <f>IF($J278="TZ",INDEX(Xtradata!R$2:R$397,$D278),IF($J278="clip",INDEX(Xtradata!M$2:M$397,$D278),""))</f>
        <v/>
      </c>
      <c r="N278" s="2">
        <v>77</v>
      </c>
      <c r="O278" s="34">
        <f>INDEX(Xtradata!T$2:T$397,$D278)</f>
        <v>0</v>
      </c>
      <c r="P278" s="38">
        <f t="shared" si="35"/>
        <v>0</v>
      </c>
      <c r="Q278" s="48">
        <f t="shared" si="36"/>
        <v>0.23</v>
      </c>
      <c r="R278" s="48">
        <f t="shared" si="37"/>
        <v>0.23</v>
      </c>
      <c r="S278" s="48">
        <f t="shared" si="42"/>
        <v>0</v>
      </c>
      <c r="T278" s="48">
        <f t="shared" si="38"/>
        <v>0.23</v>
      </c>
      <c r="U278" s="48">
        <f t="shared" si="39"/>
        <v>0.77</v>
      </c>
      <c r="V278" s="48">
        <f t="shared" si="40"/>
        <v>0</v>
      </c>
      <c r="W278" s="48">
        <f t="shared" si="41"/>
        <v>1</v>
      </c>
      <c r="X278" s="14">
        <f>MATCH(C278,'Weights and Seed Amounts'!C$2:C$400,0)</f>
        <v>277</v>
      </c>
      <c r="Y278" s="58">
        <f>INDEX('Weights and Seed Amounts'!D$2:D$400,$X278)</f>
        <v>2.1399999999999999E-2</v>
      </c>
      <c r="Z278" s="34">
        <f>INDEX(Xtradata!U$2:U$397,$D278)</f>
        <v>0</v>
      </c>
    </row>
    <row r="279" spans="1:26" x14ac:dyDescent="0.25">
      <c r="A279" s="2" t="s">
        <v>441</v>
      </c>
      <c r="B279" s="2" t="s">
        <v>461</v>
      </c>
      <c r="C279" s="2" t="s">
        <v>465</v>
      </c>
      <c r="D279" s="32">
        <f>MATCH(Xtradata!C279,Xtradata!C$2:C677,0)</f>
        <v>278</v>
      </c>
      <c r="E279" s="33">
        <f>INDEX(Xtradata!G$2:G$397,$D279)</f>
        <v>44354</v>
      </c>
      <c r="F279" s="33">
        <f>INDEX(Xtradata!H$2:H$397,$D279)</f>
        <v>44414</v>
      </c>
      <c r="G279" s="2">
        <v>100</v>
      </c>
      <c r="H279" s="2">
        <v>4</v>
      </c>
      <c r="I279" s="2">
        <v>0</v>
      </c>
      <c r="J279" s="33" t="str">
        <f>INDEX(Xtradata!J$2:J$397,$D279)</f>
        <v>N/A</v>
      </c>
      <c r="K279" s="34" t="str">
        <f>IF(J279="TZ",INDEX(Xtradata!P$2:P$397,$D279),IF(J279="clip",INDEX(Xtradata!K$2:K$397,$D279),""))</f>
        <v/>
      </c>
      <c r="L279" s="34" t="str">
        <f>IF($J279="TZ",INDEX(Xtradata!Q$2:Q$397,$D279),IF($J279="clip",INDEX(Xtradata!L$2:L$397,$D279),""))</f>
        <v/>
      </c>
      <c r="M279" s="34" t="str">
        <f>IF($J279="TZ",INDEX(Xtradata!R$2:R$397,$D279),IF($J279="clip",INDEX(Xtradata!M$2:M$397,$D279),""))</f>
        <v/>
      </c>
      <c r="N279" s="2">
        <v>96</v>
      </c>
      <c r="O279" s="34">
        <f>INDEX(Xtradata!T$2:T$397,$D279)</f>
        <v>0</v>
      </c>
      <c r="P279" s="38">
        <f t="shared" si="35"/>
        <v>0</v>
      </c>
      <c r="Q279" s="48">
        <f t="shared" si="36"/>
        <v>0.04</v>
      </c>
      <c r="R279" s="48">
        <f t="shared" si="37"/>
        <v>0.04</v>
      </c>
      <c r="S279" s="48">
        <f t="shared" si="42"/>
        <v>0</v>
      </c>
      <c r="T279" s="48">
        <f t="shared" si="38"/>
        <v>0.04</v>
      </c>
      <c r="U279" s="48">
        <f t="shared" si="39"/>
        <v>0.96</v>
      </c>
      <c r="V279" s="48">
        <f t="shared" si="40"/>
        <v>0</v>
      </c>
      <c r="W279" s="48">
        <f t="shared" si="41"/>
        <v>1</v>
      </c>
      <c r="X279" s="14">
        <f>MATCH(C279,'Weights and Seed Amounts'!C$2:C$400,0)</f>
        <v>278</v>
      </c>
      <c r="Y279" s="58">
        <f>INDEX('Weights and Seed Amounts'!D$2:D$400,$X279)</f>
        <v>2.1600000000000001E-2</v>
      </c>
      <c r="Z279" s="34">
        <f>INDEX(Xtradata!U$2:U$397,$D279)</f>
        <v>0</v>
      </c>
    </row>
    <row r="280" spans="1:26" x14ac:dyDescent="0.25">
      <c r="A280" s="2" t="s">
        <v>441</v>
      </c>
      <c r="B280" s="2" t="s">
        <v>461</v>
      </c>
      <c r="C280" s="2" t="s">
        <v>466</v>
      </c>
      <c r="D280" s="32">
        <f>MATCH(Xtradata!C280,Xtradata!C$2:C678,0)</f>
        <v>279</v>
      </c>
      <c r="E280" s="33">
        <f>INDEX(Xtradata!G$2:G$397,$D280)</f>
        <v>44354</v>
      </c>
      <c r="F280" s="33">
        <f>INDEX(Xtradata!H$2:H$397,$D280)</f>
        <v>44414</v>
      </c>
      <c r="G280" s="2">
        <v>100</v>
      </c>
      <c r="H280" s="2">
        <v>6</v>
      </c>
      <c r="I280" s="2">
        <v>0</v>
      </c>
      <c r="J280" s="33" t="str">
        <f>INDEX(Xtradata!J$2:J$397,$D280)</f>
        <v>N/A</v>
      </c>
      <c r="K280" s="34" t="str">
        <f>IF(J280="TZ",INDEX(Xtradata!P$2:P$397,$D280),IF(J280="clip",INDEX(Xtradata!K$2:K$397,$D280),""))</f>
        <v/>
      </c>
      <c r="L280" s="34" t="str">
        <f>IF($J280="TZ",INDEX(Xtradata!Q$2:Q$397,$D280),IF($J280="clip",INDEX(Xtradata!L$2:L$397,$D280),""))</f>
        <v/>
      </c>
      <c r="M280" s="34" t="str">
        <f>IF($J280="TZ",INDEX(Xtradata!R$2:R$397,$D280),IF($J280="clip",INDEX(Xtradata!M$2:M$397,$D280),""))</f>
        <v/>
      </c>
      <c r="N280" s="2">
        <v>94</v>
      </c>
      <c r="O280" s="34">
        <f>INDEX(Xtradata!T$2:T$397,$D280)</f>
        <v>0</v>
      </c>
      <c r="P280" s="38">
        <f t="shared" si="35"/>
        <v>0</v>
      </c>
      <c r="Q280" s="48">
        <f t="shared" si="36"/>
        <v>0.06</v>
      </c>
      <c r="R280" s="48">
        <f t="shared" si="37"/>
        <v>0.06</v>
      </c>
      <c r="S280" s="48">
        <f t="shared" si="42"/>
        <v>0</v>
      </c>
      <c r="T280" s="48">
        <f t="shared" si="38"/>
        <v>0.06</v>
      </c>
      <c r="U280" s="48">
        <f t="shared" si="39"/>
        <v>0.94</v>
      </c>
      <c r="V280" s="48">
        <f t="shared" si="40"/>
        <v>0</v>
      </c>
      <c r="W280" s="48">
        <f t="shared" si="41"/>
        <v>1</v>
      </c>
      <c r="X280" s="14">
        <f>MATCH(C280,'Weights and Seed Amounts'!C$2:C$400,0)</f>
        <v>279</v>
      </c>
      <c r="Y280" s="58">
        <f>INDEX('Weights and Seed Amounts'!D$2:D$400,$X280)</f>
        <v>1.7999999999999999E-2</v>
      </c>
      <c r="Z280" s="34">
        <f>INDEX(Xtradata!U$2:U$397,$D280)</f>
        <v>0</v>
      </c>
    </row>
    <row r="281" spans="1:26" x14ac:dyDescent="0.25">
      <c r="A281" s="2" t="s">
        <v>441</v>
      </c>
      <c r="B281" s="2" t="s">
        <v>461</v>
      </c>
      <c r="C281" s="2" t="s">
        <v>467</v>
      </c>
      <c r="D281" s="32">
        <f>MATCH(Xtradata!C281,Xtradata!C$2:C679,0)</f>
        <v>280</v>
      </c>
      <c r="E281" s="33">
        <f>INDEX(Xtradata!G$2:G$397,$D281)</f>
        <v>44354</v>
      </c>
      <c r="F281" s="33">
        <f>INDEX(Xtradata!H$2:H$397,$D281)</f>
        <v>44414</v>
      </c>
      <c r="G281" s="2">
        <v>100</v>
      </c>
      <c r="H281" s="2">
        <v>17</v>
      </c>
      <c r="I281" s="2">
        <v>0</v>
      </c>
      <c r="J281" s="33" t="str">
        <f>INDEX(Xtradata!J$2:J$397,$D281)</f>
        <v>N/A</v>
      </c>
      <c r="K281" s="34" t="str">
        <f>IF(J281="TZ",INDEX(Xtradata!P$2:P$397,$D281),IF(J281="clip",INDEX(Xtradata!K$2:K$397,$D281),""))</f>
        <v/>
      </c>
      <c r="L281" s="34" t="str">
        <f>IF($J281="TZ",INDEX(Xtradata!Q$2:Q$397,$D281),IF($J281="clip",INDEX(Xtradata!L$2:L$397,$D281),""))</f>
        <v/>
      </c>
      <c r="M281" s="34" t="str">
        <f>IF($J281="TZ",INDEX(Xtradata!R$2:R$397,$D281),IF($J281="clip",INDEX(Xtradata!M$2:M$397,$D281),""))</f>
        <v/>
      </c>
      <c r="N281" s="2">
        <v>83</v>
      </c>
      <c r="O281" s="34">
        <f>INDEX(Xtradata!T$2:T$397,$D281)</f>
        <v>0</v>
      </c>
      <c r="P281" s="38">
        <f t="shared" si="35"/>
        <v>0</v>
      </c>
      <c r="Q281" s="48">
        <f t="shared" si="36"/>
        <v>0.17</v>
      </c>
      <c r="R281" s="48">
        <f t="shared" si="37"/>
        <v>0.17</v>
      </c>
      <c r="S281" s="48">
        <f t="shared" si="42"/>
        <v>0</v>
      </c>
      <c r="T281" s="48">
        <f t="shared" si="38"/>
        <v>0.17</v>
      </c>
      <c r="U281" s="48">
        <f t="shared" si="39"/>
        <v>0.83</v>
      </c>
      <c r="V281" s="48">
        <f t="shared" si="40"/>
        <v>0</v>
      </c>
      <c r="W281" s="48">
        <f t="shared" si="41"/>
        <v>1</v>
      </c>
      <c r="X281" s="14">
        <f>MATCH(C281,'Weights and Seed Amounts'!C$2:C$400,0)</f>
        <v>280</v>
      </c>
      <c r="Y281" s="58">
        <f>INDEX('Weights and Seed Amounts'!D$2:D$400,$X281)</f>
        <v>1.9900000000000001E-2</v>
      </c>
      <c r="Z281" s="34">
        <f>INDEX(Xtradata!U$2:U$397,$D281)</f>
        <v>0</v>
      </c>
    </row>
    <row r="282" spans="1:26" x14ac:dyDescent="0.25">
      <c r="A282" s="2" t="s">
        <v>441</v>
      </c>
      <c r="B282" s="2" t="s">
        <v>461</v>
      </c>
      <c r="C282" s="2" t="s">
        <v>468</v>
      </c>
      <c r="D282" s="32">
        <f>MATCH(Xtradata!C282,Xtradata!C$2:C680,0)</f>
        <v>281</v>
      </c>
      <c r="E282" s="33">
        <f>INDEX(Xtradata!G$2:G$397,$D282)</f>
        <v>44354</v>
      </c>
      <c r="F282" s="33">
        <f>INDEX(Xtradata!H$2:H$397,$D282)</f>
        <v>44414</v>
      </c>
      <c r="G282" s="2">
        <v>100</v>
      </c>
      <c r="H282" s="2">
        <v>9</v>
      </c>
      <c r="I282" s="2">
        <v>0</v>
      </c>
      <c r="J282" s="33" t="str">
        <f>INDEX(Xtradata!J$2:J$397,$D282)</f>
        <v>N/A</v>
      </c>
      <c r="K282" s="34" t="str">
        <f>IF(J282="TZ",INDEX(Xtradata!P$2:P$397,$D282),IF(J282="clip",INDEX(Xtradata!K$2:K$397,$D282),""))</f>
        <v/>
      </c>
      <c r="L282" s="34" t="str">
        <f>IF($J282="TZ",INDEX(Xtradata!Q$2:Q$397,$D282),IF($J282="clip",INDEX(Xtradata!L$2:L$397,$D282),""))</f>
        <v/>
      </c>
      <c r="M282" s="34" t="str">
        <f>IF($J282="TZ",INDEX(Xtradata!R$2:R$397,$D282),IF($J282="clip",INDEX(Xtradata!M$2:M$397,$D282),""))</f>
        <v/>
      </c>
      <c r="N282" s="2">
        <v>91</v>
      </c>
      <c r="O282" s="34">
        <f>INDEX(Xtradata!T$2:T$397,$D282)</f>
        <v>0</v>
      </c>
      <c r="P282" s="38">
        <f t="shared" si="35"/>
        <v>0</v>
      </c>
      <c r="Q282" s="48">
        <f t="shared" si="36"/>
        <v>0.09</v>
      </c>
      <c r="R282" s="48">
        <f t="shared" si="37"/>
        <v>0.09</v>
      </c>
      <c r="S282" s="48">
        <f t="shared" si="42"/>
        <v>0</v>
      </c>
      <c r="T282" s="48">
        <f t="shared" si="38"/>
        <v>0.09</v>
      </c>
      <c r="U282" s="48">
        <f t="shared" si="39"/>
        <v>0.91</v>
      </c>
      <c r="V282" s="48">
        <f t="shared" si="40"/>
        <v>0</v>
      </c>
      <c r="W282" s="48">
        <f t="shared" si="41"/>
        <v>1</v>
      </c>
      <c r="X282" s="14">
        <f>MATCH(C282,'Weights and Seed Amounts'!C$2:C$400,0)</f>
        <v>281</v>
      </c>
      <c r="Y282" s="58">
        <f>INDEX('Weights and Seed Amounts'!D$2:D$400,$X282)</f>
        <v>2.93E-2</v>
      </c>
      <c r="Z282" s="34">
        <f>INDEX(Xtradata!U$2:U$397,$D282)</f>
        <v>0</v>
      </c>
    </row>
    <row r="283" spans="1:26" x14ac:dyDescent="0.25">
      <c r="A283" s="2" t="s">
        <v>441</v>
      </c>
      <c r="B283" s="2" t="s">
        <v>461</v>
      </c>
      <c r="C283" s="2" t="s">
        <v>469</v>
      </c>
      <c r="D283" s="32">
        <f>MATCH(Xtradata!C283,Xtradata!C$2:C681,0)</f>
        <v>282</v>
      </c>
      <c r="E283" s="33">
        <f>INDEX(Xtradata!G$2:G$397,$D283)</f>
        <v>44354</v>
      </c>
      <c r="F283" s="33">
        <f>INDEX(Xtradata!H$2:H$397,$D283)</f>
        <v>44414</v>
      </c>
      <c r="G283" s="2">
        <v>100</v>
      </c>
      <c r="H283" s="2">
        <v>27</v>
      </c>
      <c r="I283" s="2">
        <v>0</v>
      </c>
      <c r="J283" s="33" t="str">
        <f>INDEX(Xtradata!J$2:J$397,$D283)</f>
        <v>N/A</v>
      </c>
      <c r="K283" s="34" t="str">
        <f>IF(J283="TZ",INDEX(Xtradata!P$2:P$397,$D283),IF(J283="clip",INDEX(Xtradata!K$2:K$397,$D283),""))</f>
        <v/>
      </c>
      <c r="L283" s="34" t="str">
        <f>IF($J283="TZ",INDEX(Xtradata!Q$2:Q$397,$D283),IF($J283="clip",INDEX(Xtradata!L$2:L$397,$D283),""))</f>
        <v/>
      </c>
      <c r="M283" s="34" t="str">
        <f>IF($J283="TZ",INDEX(Xtradata!R$2:R$397,$D283),IF($J283="clip",INDEX(Xtradata!M$2:M$397,$D283),""))</f>
        <v/>
      </c>
      <c r="N283" s="2">
        <v>73</v>
      </c>
      <c r="O283" s="34">
        <f>INDEX(Xtradata!T$2:T$397,$D283)</f>
        <v>0</v>
      </c>
      <c r="P283" s="38">
        <f t="shared" si="35"/>
        <v>0</v>
      </c>
      <c r="Q283" s="48">
        <f t="shared" si="36"/>
        <v>0.27</v>
      </c>
      <c r="R283" s="48">
        <f t="shared" si="37"/>
        <v>0.27</v>
      </c>
      <c r="S283" s="48">
        <f t="shared" si="42"/>
        <v>0</v>
      </c>
      <c r="T283" s="48">
        <f t="shared" si="38"/>
        <v>0.27</v>
      </c>
      <c r="U283" s="48">
        <f t="shared" si="39"/>
        <v>0.73</v>
      </c>
      <c r="V283" s="48">
        <f t="shared" si="40"/>
        <v>0</v>
      </c>
      <c r="W283" s="48">
        <f t="shared" si="41"/>
        <v>1</v>
      </c>
      <c r="X283" s="14">
        <f>MATCH(C283,'Weights and Seed Amounts'!C$2:C$400,0)</f>
        <v>282</v>
      </c>
      <c r="Y283" s="58">
        <f>INDEX('Weights and Seed Amounts'!D$2:D$400,$X283)</f>
        <v>2.5600000000000001E-2</v>
      </c>
      <c r="Z283" s="34">
        <f>INDEX(Xtradata!U$2:U$397,$D283)</f>
        <v>0</v>
      </c>
    </row>
    <row r="284" spans="1:26" x14ac:dyDescent="0.25">
      <c r="A284" s="2" t="s">
        <v>470</v>
      </c>
      <c r="B284" s="2" t="s">
        <v>471</v>
      </c>
      <c r="C284" s="2" t="s">
        <v>472</v>
      </c>
      <c r="D284" s="32">
        <f>MATCH(Xtradata!C284,Xtradata!C$2:C682,0)</f>
        <v>283</v>
      </c>
      <c r="E284" s="33">
        <f>INDEX(Xtradata!G$2:G$397,$D284)</f>
        <v>44343</v>
      </c>
      <c r="F284" s="33">
        <f>INDEX(Xtradata!H$2:H$397,$D284)</f>
        <v>44391</v>
      </c>
      <c r="G284" s="2">
        <v>100</v>
      </c>
      <c r="H284" s="2">
        <v>27</v>
      </c>
      <c r="I284" s="2">
        <v>0</v>
      </c>
      <c r="J284" s="33" t="str">
        <f>INDEX(Xtradata!J$2:J$397,$D284)</f>
        <v>N/A</v>
      </c>
      <c r="K284" s="34" t="str">
        <f>IF(J284="TZ",INDEX(Xtradata!P$2:P$397,$D284),IF(J284="clip",INDEX(Xtradata!K$2:K$397,$D284),""))</f>
        <v/>
      </c>
      <c r="L284" s="34" t="str">
        <f>IF($J284="TZ",INDEX(Xtradata!Q$2:Q$397,$D284),IF($J284="clip",INDEX(Xtradata!L$2:L$397,$D284),""))</f>
        <v/>
      </c>
      <c r="M284" s="34" t="str">
        <f>IF($J284="TZ",INDEX(Xtradata!R$2:R$397,$D284),IF($J284="clip",INDEX(Xtradata!M$2:M$397,$D284),""))</f>
        <v/>
      </c>
      <c r="N284" s="2">
        <v>73</v>
      </c>
      <c r="O284" s="34">
        <f>INDEX(Xtradata!T$2:T$397,$D284)</f>
        <v>0</v>
      </c>
      <c r="P284" s="38">
        <f t="shared" si="35"/>
        <v>0</v>
      </c>
      <c r="Q284" s="48">
        <f t="shared" si="36"/>
        <v>0.27</v>
      </c>
      <c r="R284" s="48">
        <f t="shared" si="37"/>
        <v>0.27</v>
      </c>
      <c r="S284" s="48">
        <f t="shared" si="42"/>
        <v>0</v>
      </c>
      <c r="T284" s="48">
        <f t="shared" si="38"/>
        <v>0.27</v>
      </c>
      <c r="U284" s="48">
        <f t="shared" si="39"/>
        <v>0.73</v>
      </c>
      <c r="V284" s="48">
        <f t="shared" si="40"/>
        <v>0</v>
      </c>
      <c r="W284" s="48">
        <f t="shared" si="41"/>
        <v>1</v>
      </c>
      <c r="X284" s="14">
        <f>MATCH(C284,'Weights and Seed Amounts'!C$2:C$400,0)</f>
        <v>283</v>
      </c>
      <c r="Y284" s="58">
        <f>INDEX('Weights and Seed Amounts'!D$2:D$400,$X284)</f>
        <v>0.19450000000000001</v>
      </c>
      <c r="Z284" s="34">
        <f>INDEX(Xtradata!U$2:U$397,$D284)</f>
        <v>0</v>
      </c>
    </row>
    <row r="285" spans="1:26" x14ac:dyDescent="0.25">
      <c r="A285" s="2" t="s">
        <v>470</v>
      </c>
      <c r="B285" s="2" t="s">
        <v>471</v>
      </c>
      <c r="C285" s="2" t="s">
        <v>473</v>
      </c>
      <c r="D285" s="32">
        <f>MATCH(Xtradata!C285,Xtradata!C$2:C683,0)</f>
        <v>284</v>
      </c>
      <c r="E285" s="33">
        <f>INDEX(Xtradata!G$2:G$397,$D285)</f>
        <v>44343</v>
      </c>
      <c r="F285" s="33">
        <f>INDEX(Xtradata!H$2:H$397,$D285)</f>
        <v>44391</v>
      </c>
      <c r="G285" s="2">
        <v>94</v>
      </c>
      <c r="H285" s="2">
        <v>38</v>
      </c>
      <c r="I285" s="2">
        <v>0</v>
      </c>
      <c r="J285" s="33" t="str">
        <f>INDEX(Xtradata!J$2:J$397,$D285)</f>
        <v>N/A</v>
      </c>
      <c r="K285" s="34" t="str">
        <f>IF(J285="TZ",INDEX(Xtradata!P$2:P$397,$D285),IF(J285="clip",INDEX(Xtradata!K$2:K$397,$D285),""))</f>
        <v/>
      </c>
      <c r="L285" s="34" t="str">
        <f>IF($J285="TZ",INDEX(Xtradata!Q$2:Q$397,$D285),IF($J285="clip",INDEX(Xtradata!L$2:L$397,$D285),""))</f>
        <v/>
      </c>
      <c r="M285" s="34" t="str">
        <f>IF($J285="TZ",INDEX(Xtradata!R$2:R$397,$D285),IF($J285="clip",INDEX(Xtradata!M$2:M$397,$D285),""))</f>
        <v/>
      </c>
      <c r="N285" s="2">
        <v>56</v>
      </c>
      <c r="O285" s="34">
        <f>INDEX(Xtradata!T$2:T$397,$D285)</f>
        <v>0</v>
      </c>
      <c r="P285" s="38">
        <f t="shared" si="35"/>
        <v>0</v>
      </c>
      <c r="Q285" s="48">
        <f t="shared" si="36"/>
        <v>0.40425531914893614</v>
      </c>
      <c r="R285" s="48">
        <f t="shared" si="37"/>
        <v>0.40425531914893614</v>
      </c>
      <c r="S285" s="48">
        <f t="shared" si="42"/>
        <v>0</v>
      </c>
      <c r="T285" s="48">
        <f t="shared" si="38"/>
        <v>0.40425531914893614</v>
      </c>
      <c r="U285" s="48">
        <f t="shared" si="39"/>
        <v>0.5957446808510638</v>
      </c>
      <c r="V285" s="48">
        <f t="shared" si="40"/>
        <v>0</v>
      </c>
      <c r="W285" s="48">
        <f t="shared" si="41"/>
        <v>1</v>
      </c>
      <c r="X285" s="14">
        <f>MATCH(C285,'Weights and Seed Amounts'!C$2:C$400,0)</f>
        <v>284</v>
      </c>
      <c r="Y285" s="58">
        <f>INDEX('Weights and Seed Amounts'!D$2:D$400,$X285)</f>
        <v>0.19839999999999999</v>
      </c>
      <c r="Z285" s="34">
        <f>INDEX(Xtradata!U$2:U$397,$D285)</f>
        <v>0</v>
      </c>
    </row>
    <row r="286" spans="1:26" x14ac:dyDescent="0.25">
      <c r="A286" s="2" t="s">
        <v>470</v>
      </c>
      <c r="B286" s="2" t="s">
        <v>471</v>
      </c>
      <c r="C286" s="2" t="s">
        <v>474</v>
      </c>
      <c r="D286" s="32">
        <f>MATCH(Xtradata!C286,Xtradata!C$2:C684,0)</f>
        <v>285</v>
      </c>
      <c r="E286" s="33">
        <f>INDEX(Xtradata!G$2:G$397,$D286)</f>
        <v>44343</v>
      </c>
      <c r="F286" s="33">
        <f>INDEX(Xtradata!H$2:H$397,$D286)</f>
        <v>44391</v>
      </c>
      <c r="G286" s="2">
        <v>100</v>
      </c>
      <c r="H286" s="2">
        <v>13</v>
      </c>
      <c r="I286" s="2">
        <v>0</v>
      </c>
      <c r="J286" s="33" t="str">
        <f>INDEX(Xtradata!J$2:J$397,$D286)</f>
        <v>N/A</v>
      </c>
      <c r="K286" s="34" t="str">
        <f>IF(J286="TZ",INDEX(Xtradata!P$2:P$397,$D286),IF(J286="clip",INDEX(Xtradata!K$2:K$397,$D286),""))</f>
        <v/>
      </c>
      <c r="L286" s="34" t="str">
        <f>IF($J286="TZ",INDEX(Xtradata!Q$2:Q$397,$D286),IF($J286="clip",INDEX(Xtradata!L$2:L$397,$D286),""))</f>
        <v/>
      </c>
      <c r="M286" s="34" t="str">
        <f>IF($J286="TZ",INDEX(Xtradata!R$2:R$397,$D286),IF($J286="clip",INDEX(Xtradata!M$2:M$397,$D286),""))</f>
        <v/>
      </c>
      <c r="N286" s="2">
        <v>87</v>
      </c>
      <c r="O286" s="34">
        <f>INDEX(Xtradata!T$2:T$397,$D286)</f>
        <v>0</v>
      </c>
      <c r="P286" s="38">
        <f t="shared" si="35"/>
        <v>0</v>
      </c>
      <c r="Q286" s="48">
        <f t="shared" si="36"/>
        <v>0.13</v>
      </c>
      <c r="R286" s="48">
        <f t="shared" si="37"/>
        <v>0.13</v>
      </c>
      <c r="S286" s="48">
        <f t="shared" si="42"/>
        <v>0</v>
      </c>
      <c r="T286" s="48">
        <f t="shared" si="38"/>
        <v>0.13</v>
      </c>
      <c r="U286" s="48">
        <f t="shared" si="39"/>
        <v>0.87</v>
      </c>
      <c r="V286" s="48">
        <f t="shared" si="40"/>
        <v>0</v>
      </c>
      <c r="W286" s="48">
        <f t="shared" si="41"/>
        <v>1</v>
      </c>
      <c r="X286" s="14">
        <f>MATCH(C286,'Weights and Seed Amounts'!C$2:C$400,0)</f>
        <v>285</v>
      </c>
      <c r="Y286" s="58">
        <f>INDEX('Weights and Seed Amounts'!D$2:D$400,$X286)</f>
        <v>0.14349999999999999</v>
      </c>
      <c r="Z286" s="34">
        <f>INDEX(Xtradata!U$2:U$397,$D286)</f>
        <v>0</v>
      </c>
    </row>
    <row r="287" spans="1:26" x14ac:dyDescent="0.25">
      <c r="A287" s="2" t="s">
        <v>470</v>
      </c>
      <c r="B287" s="2" t="s">
        <v>471</v>
      </c>
      <c r="C287" s="2" t="s">
        <v>475</v>
      </c>
      <c r="D287" s="32">
        <f>MATCH(Xtradata!C287,Xtradata!C$2:C685,0)</f>
        <v>286</v>
      </c>
      <c r="E287" s="33">
        <f>INDEX(Xtradata!G$2:G$397,$D287)</f>
        <v>44343</v>
      </c>
      <c r="F287" s="33">
        <f>INDEX(Xtradata!H$2:H$397,$D287)</f>
        <v>44391</v>
      </c>
      <c r="G287" s="2">
        <v>100</v>
      </c>
      <c r="H287" s="2">
        <v>51</v>
      </c>
      <c r="I287" s="2">
        <v>0</v>
      </c>
      <c r="J287" s="33" t="str">
        <f>INDEX(Xtradata!J$2:J$397,$D287)</f>
        <v>N/A</v>
      </c>
      <c r="K287" s="34" t="str">
        <f>IF(J287="TZ",INDEX(Xtradata!P$2:P$397,$D287),IF(J287="clip",INDEX(Xtradata!K$2:K$397,$D287),""))</f>
        <v/>
      </c>
      <c r="L287" s="34" t="str">
        <f>IF($J287="TZ",INDEX(Xtradata!Q$2:Q$397,$D287),IF($J287="clip",INDEX(Xtradata!L$2:L$397,$D287),""))</f>
        <v/>
      </c>
      <c r="M287" s="34" t="str">
        <f>IF($J287="TZ",INDEX(Xtradata!R$2:R$397,$D287),IF($J287="clip",INDEX(Xtradata!M$2:M$397,$D287),""))</f>
        <v/>
      </c>
      <c r="N287" s="2">
        <v>49</v>
      </c>
      <c r="O287" s="34">
        <f>INDEX(Xtradata!T$2:T$397,$D287)</f>
        <v>0</v>
      </c>
      <c r="P287" s="38">
        <f t="shared" si="35"/>
        <v>0</v>
      </c>
      <c r="Q287" s="48">
        <f t="shared" si="36"/>
        <v>0.51</v>
      </c>
      <c r="R287" s="48">
        <f t="shared" si="37"/>
        <v>0.51</v>
      </c>
      <c r="S287" s="48">
        <f t="shared" si="42"/>
        <v>0</v>
      </c>
      <c r="T287" s="48">
        <f t="shared" si="38"/>
        <v>0.51</v>
      </c>
      <c r="U287" s="48">
        <f t="shared" si="39"/>
        <v>0.49</v>
      </c>
      <c r="V287" s="48">
        <f t="shared" si="40"/>
        <v>0</v>
      </c>
      <c r="W287" s="48">
        <f t="shared" si="41"/>
        <v>1</v>
      </c>
      <c r="X287" s="14">
        <f>MATCH(C287,'Weights and Seed Amounts'!C$2:C$400,0)</f>
        <v>286</v>
      </c>
      <c r="Y287" s="58">
        <f>INDEX('Weights and Seed Amounts'!D$2:D$400,$X287)</f>
        <v>0.22500000000000001</v>
      </c>
      <c r="Z287" s="34">
        <f>INDEX(Xtradata!U$2:U$397,$D287)</f>
        <v>0</v>
      </c>
    </row>
    <row r="288" spans="1:26" x14ac:dyDescent="0.25">
      <c r="A288" s="2" t="s">
        <v>476</v>
      </c>
      <c r="B288" s="2" t="s">
        <v>477</v>
      </c>
      <c r="C288" s="2" t="s">
        <v>478</v>
      </c>
      <c r="D288" s="32">
        <f>MATCH(Xtradata!C288,Xtradata!C$2:C686,0)</f>
        <v>287</v>
      </c>
      <c r="E288" s="33">
        <f>INDEX(Xtradata!G$2:G$397,$D288)</f>
        <v>44362</v>
      </c>
      <c r="F288" s="33">
        <f>INDEX(Xtradata!H$2:H$397,$D288)</f>
        <v>44438</v>
      </c>
      <c r="G288" s="2">
        <v>100</v>
      </c>
      <c r="H288" s="2">
        <v>0</v>
      </c>
      <c r="I288" s="2">
        <v>0</v>
      </c>
      <c r="J288" s="33" t="str">
        <f>INDEX(Xtradata!J$2:J$397,$D288)</f>
        <v>TZ</v>
      </c>
      <c r="K288" s="34">
        <f>IF(J288="TZ",INDEX(Xtradata!P$2:P$397,$D288),IF(J288="clip",INDEX(Xtradata!K$2:K$397,$D288),""))</f>
        <v>72</v>
      </c>
      <c r="L288" s="34">
        <f>IF($J288="TZ",INDEX(Xtradata!Q$2:Q$397,$D288),IF($J288="clip",INDEX(Xtradata!L$2:L$397,$D288),""))</f>
        <v>17</v>
      </c>
      <c r="M288" s="34">
        <f>IF($J288="TZ",INDEX(Xtradata!R$2:R$397,$D288),IF($J288="clip",INDEX(Xtradata!M$2:M$397,$D288),""))</f>
        <v>55</v>
      </c>
      <c r="N288" s="2">
        <v>28</v>
      </c>
      <c r="O288" s="34">
        <f>INDEX(Xtradata!T$2:T$397,$D288)</f>
        <v>0</v>
      </c>
      <c r="P288" s="38">
        <f t="shared" si="35"/>
        <v>0</v>
      </c>
      <c r="Q288" s="48">
        <f t="shared" si="36"/>
        <v>0</v>
      </c>
      <c r="R288" s="48">
        <f t="shared" si="37"/>
        <v>0</v>
      </c>
      <c r="S288" s="48">
        <f t="shared" si="42"/>
        <v>0.17</v>
      </c>
      <c r="T288" s="48">
        <f t="shared" si="38"/>
        <v>0.17</v>
      </c>
      <c r="U288" s="48">
        <f t="shared" si="39"/>
        <v>0.28000000000000003</v>
      </c>
      <c r="V288" s="48">
        <f t="shared" si="40"/>
        <v>0.54999999999999993</v>
      </c>
      <c r="W288" s="48">
        <f t="shared" si="41"/>
        <v>1</v>
      </c>
      <c r="X288" s="14">
        <f>MATCH(C288,'Weights and Seed Amounts'!C$2:C$400,0)</f>
        <v>287</v>
      </c>
      <c r="Y288" s="58">
        <f>INDEX('Weights and Seed Amounts'!D$2:D$400,$X288)</f>
        <v>4.5881999999999996</v>
      </c>
      <c r="Z288" s="34">
        <f>INDEX(Xtradata!U$2:U$397,$D288)</f>
        <v>0</v>
      </c>
    </row>
    <row r="289" spans="1:26" x14ac:dyDescent="0.25">
      <c r="A289" s="2" t="s">
        <v>476</v>
      </c>
      <c r="B289" s="2" t="s">
        <v>477</v>
      </c>
      <c r="C289" s="2" t="s">
        <v>479</v>
      </c>
      <c r="D289" s="32">
        <f>MATCH(Xtradata!C289,Xtradata!C$2:C687,0)</f>
        <v>288</v>
      </c>
      <c r="E289" s="33">
        <f>INDEX(Xtradata!G$2:G$397,$D289)</f>
        <v>44362</v>
      </c>
      <c r="F289" s="33">
        <f>INDEX(Xtradata!H$2:H$397,$D289)</f>
        <v>44438</v>
      </c>
      <c r="G289" s="2">
        <v>100</v>
      </c>
      <c r="H289" s="2">
        <v>0</v>
      </c>
      <c r="I289" s="2">
        <v>0</v>
      </c>
      <c r="J289" s="33" t="str">
        <f>INDEX(Xtradata!J$2:J$397,$D289)</f>
        <v>TZ</v>
      </c>
      <c r="K289" s="34">
        <f>IF(J289="TZ",INDEX(Xtradata!P$2:P$397,$D289),IF(J289="clip",INDEX(Xtradata!K$2:K$397,$D289),""))</f>
        <v>80</v>
      </c>
      <c r="L289" s="34">
        <f>IF($J289="TZ",INDEX(Xtradata!Q$2:Q$397,$D289),IF($J289="clip",INDEX(Xtradata!L$2:L$397,$D289),""))</f>
        <v>40</v>
      </c>
      <c r="M289" s="34">
        <f>IF($J289="TZ",INDEX(Xtradata!R$2:R$397,$D289),IF($J289="clip",INDEX(Xtradata!M$2:M$397,$D289),""))</f>
        <v>40</v>
      </c>
      <c r="N289" s="2">
        <v>20</v>
      </c>
      <c r="O289" s="34">
        <f>INDEX(Xtradata!T$2:T$397,$D289)</f>
        <v>0</v>
      </c>
      <c r="P289" s="38">
        <f t="shared" si="35"/>
        <v>0</v>
      </c>
      <c r="Q289" s="48">
        <f t="shared" si="36"/>
        <v>0</v>
      </c>
      <c r="R289" s="48">
        <f t="shared" si="37"/>
        <v>0</v>
      </c>
      <c r="S289" s="48">
        <f t="shared" si="42"/>
        <v>0.4</v>
      </c>
      <c r="T289" s="48">
        <f t="shared" si="38"/>
        <v>0.4</v>
      </c>
      <c r="U289" s="48">
        <f t="shared" si="39"/>
        <v>0.2</v>
      </c>
      <c r="V289" s="48">
        <f t="shared" si="40"/>
        <v>0.39999999999999997</v>
      </c>
      <c r="W289" s="48">
        <f t="shared" si="41"/>
        <v>1</v>
      </c>
      <c r="X289" s="14">
        <f>MATCH(C289,'Weights and Seed Amounts'!C$2:C$400,0)</f>
        <v>288</v>
      </c>
      <c r="Y289" s="58">
        <f>INDEX('Weights and Seed Amounts'!D$2:D$400,$X289)</f>
        <v>0.68730000000000002</v>
      </c>
      <c r="Z289" s="34">
        <f>INDEX(Xtradata!U$2:U$397,$D289)</f>
        <v>0</v>
      </c>
    </row>
    <row r="290" spans="1:26" x14ac:dyDescent="0.25">
      <c r="A290" s="2" t="s">
        <v>476</v>
      </c>
      <c r="B290" s="2" t="s">
        <v>477</v>
      </c>
      <c r="C290" s="2" t="s">
        <v>480</v>
      </c>
      <c r="D290" s="32">
        <f>MATCH(Xtradata!C290,Xtradata!C$2:C688,0)</f>
        <v>289</v>
      </c>
      <c r="E290" s="33">
        <f>INDEX(Xtradata!G$2:G$397,$D290)</f>
        <v>44362</v>
      </c>
      <c r="F290" s="33">
        <f>INDEX(Xtradata!H$2:H$397,$D290)</f>
        <v>44438</v>
      </c>
      <c r="G290" s="2">
        <v>100</v>
      </c>
      <c r="H290" s="2">
        <v>0</v>
      </c>
      <c r="I290" s="2">
        <v>0</v>
      </c>
      <c r="J290" s="33" t="str">
        <f>INDEX(Xtradata!J$2:J$397,$D290)</f>
        <v>TZ</v>
      </c>
      <c r="K290" s="34">
        <f>IF(J290="TZ",INDEX(Xtradata!P$2:P$397,$D290),IF(J290="clip",INDEX(Xtradata!K$2:K$397,$D290),""))</f>
        <v>83</v>
      </c>
      <c r="L290" s="34">
        <f>IF($J290="TZ",INDEX(Xtradata!Q$2:Q$397,$D290),IF($J290="clip",INDEX(Xtradata!L$2:L$397,$D290),""))</f>
        <v>33</v>
      </c>
      <c r="M290" s="34">
        <f>IF($J290="TZ",INDEX(Xtradata!R$2:R$397,$D290),IF($J290="clip",INDEX(Xtradata!M$2:M$397,$D290),""))</f>
        <v>50</v>
      </c>
      <c r="N290" s="2">
        <v>17</v>
      </c>
      <c r="O290" s="34">
        <f>INDEX(Xtradata!T$2:T$397,$D290)</f>
        <v>0</v>
      </c>
      <c r="P290" s="38">
        <f t="shared" si="35"/>
        <v>0</v>
      </c>
      <c r="Q290" s="48">
        <f t="shared" si="36"/>
        <v>0</v>
      </c>
      <c r="R290" s="48">
        <f t="shared" si="37"/>
        <v>0</v>
      </c>
      <c r="S290" s="48">
        <f t="shared" si="42"/>
        <v>0.33</v>
      </c>
      <c r="T290" s="48">
        <f t="shared" si="38"/>
        <v>0.33</v>
      </c>
      <c r="U290" s="48">
        <f t="shared" si="39"/>
        <v>0.17</v>
      </c>
      <c r="V290" s="48">
        <f t="shared" si="40"/>
        <v>0.49999999999999989</v>
      </c>
      <c r="W290" s="48">
        <f t="shared" si="41"/>
        <v>0.99999999999999989</v>
      </c>
      <c r="X290" s="14">
        <f>MATCH(C290,'Weights and Seed Amounts'!C$2:C$400,0)</f>
        <v>289</v>
      </c>
      <c r="Y290" s="58">
        <f>INDEX('Weights and Seed Amounts'!D$2:D$400,$X290)</f>
        <v>5.8741000000000003</v>
      </c>
      <c r="Z290" s="34">
        <f>INDEX(Xtradata!U$2:U$397,$D290)</f>
        <v>0</v>
      </c>
    </row>
    <row r="291" spans="1:26" x14ac:dyDescent="0.25">
      <c r="A291" s="2" t="s">
        <v>481</v>
      </c>
      <c r="B291" s="2" t="s">
        <v>482</v>
      </c>
      <c r="C291" s="2" t="s">
        <v>483</v>
      </c>
      <c r="D291" s="32">
        <f>MATCH(Xtradata!C291,Xtradata!C$2:C689,0)</f>
        <v>290</v>
      </c>
      <c r="E291" s="33">
        <f>INDEX(Xtradata!G$2:G$397,$D291)</f>
        <v>44343</v>
      </c>
      <c r="F291" s="33">
        <f>INDEX(Xtradata!H$2:H$397,$D291)</f>
        <v>44405</v>
      </c>
      <c r="G291" s="2">
        <v>100</v>
      </c>
      <c r="H291" s="2">
        <v>1</v>
      </c>
      <c r="I291" s="2">
        <v>0</v>
      </c>
      <c r="J291" s="33" t="str">
        <f>INDEX(Xtradata!J$2:J$397,$D291)</f>
        <v>N/A</v>
      </c>
      <c r="K291" s="34" t="str">
        <f>IF(J291="TZ",INDEX(Xtradata!P$2:P$397,$D291),IF(J291="clip",INDEX(Xtradata!K$2:K$397,$D291),""))</f>
        <v/>
      </c>
      <c r="L291" s="34" t="str">
        <f>IF($J291="TZ",INDEX(Xtradata!Q$2:Q$397,$D291),IF($J291="clip",INDEX(Xtradata!L$2:L$397,$D291),""))</f>
        <v/>
      </c>
      <c r="M291" s="34" t="str">
        <f>IF($J291="TZ",INDEX(Xtradata!R$2:R$397,$D291),IF($J291="clip",INDEX(Xtradata!M$2:M$397,$D291),""))</f>
        <v/>
      </c>
      <c r="N291" s="2">
        <v>99</v>
      </c>
      <c r="O291" s="34">
        <f>INDEX(Xtradata!T$2:T$397,$D291)</f>
        <v>0</v>
      </c>
      <c r="P291" s="38">
        <f t="shared" si="35"/>
        <v>0</v>
      </c>
      <c r="Q291" s="48">
        <f t="shared" si="36"/>
        <v>0.01</v>
      </c>
      <c r="R291" s="48">
        <f t="shared" si="37"/>
        <v>0.01</v>
      </c>
      <c r="S291" s="48">
        <f t="shared" si="42"/>
        <v>0</v>
      </c>
      <c r="T291" s="48">
        <f t="shared" si="38"/>
        <v>0.01</v>
      </c>
      <c r="U291" s="48">
        <f t="shared" si="39"/>
        <v>0.99</v>
      </c>
      <c r="V291" s="48">
        <f t="shared" si="40"/>
        <v>0</v>
      </c>
      <c r="W291" s="48">
        <f t="shared" si="41"/>
        <v>1</v>
      </c>
      <c r="X291" s="14">
        <f>MATCH(C291,'Weights and Seed Amounts'!C$2:C$400,0)</f>
        <v>290</v>
      </c>
      <c r="Y291" s="58">
        <f>INDEX('Weights and Seed Amounts'!D$2:D$400,$X291)</f>
        <v>0.2243</v>
      </c>
      <c r="Z291" s="34">
        <f>INDEX(Xtradata!U$2:U$397,$D291)</f>
        <v>0</v>
      </c>
    </row>
    <row r="292" spans="1:26" x14ac:dyDescent="0.25">
      <c r="A292" s="2" t="s">
        <v>481</v>
      </c>
      <c r="B292" s="2" t="s">
        <v>484</v>
      </c>
      <c r="C292" s="2" t="s">
        <v>485</v>
      </c>
      <c r="D292" s="32">
        <f>MATCH(Xtradata!C292,Xtradata!C$2:C690,0)</f>
        <v>291</v>
      </c>
      <c r="E292" s="33">
        <f>INDEX(Xtradata!G$2:G$397,$D292)</f>
        <v>44343</v>
      </c>
      <c r="F292" s="33">
        <f>INDEX(Xtradata!H$2:H$397,$D292)</f>
        <v>44405</v>
      </c>
      <c r="G292" s="2">
        <v>100</v>
      </c>
      <c r="H292" s="2">
        <v>1</v>
      </c>
      <c r="I292" s="2">
        <v>0</v>
      </c>
      <c r="J292" s="33" t="str">
        <f>INDEX(Xtradata!J$2:J$397,$D292)</f>
        <v>N/A</v>
      </c>
      <c r="K292" s="34" t="str">
        <f>IF(J292="TZ",INDEX(Xtradata!P$2:P$397,$D292),IF(J292="clip",INDEX(Xtradata!K$2:K$397,$D292),""))</f>
        <v/>
      </c>
      <c r="L292" s="34" t="str">
        <f>IF($J292="TZ",INDEX(Xtradata!Q$2:Q$397,$D292),IF($J292="clip",INDEX(Xtradata!L$2:L$397,$D292),""))</f>
        <v/>
      </c>
      <c r="M292" s="34" t="str">
        <f>IF($J292="TZ",INDEX(Xtradata!R$2:R$397,$D292),IF($J292="clip",INDEX(Xtradata!M$2:M$397,$D292),""))</f>
        <v/>
      </c>
      <c r="N292" s="2">
        <v>99</v>
      </c>
      <c r="O292" s="34">
        <f>INDEX(Xtradata!T$2:T$397,$D292)</f>
        <v>0</v>
      </c>
      <c r="P292" s="38">
        <f t="shared" si="35"/>
        <v>0</v>
      </c>
      <c r="Q292" s="48">
        <f t="shared" si="36"/>
        <v>0.01</v>
      </c>
      <c r="R292" s="48">
        <f t="shared" si="37"/>
        <v>0.01</v>
      </c>
      <c r="S292" s="48">
        <f t="shared" si="42"/>
        <v>0</v>
      </c>
      <c r="T292" s="48">
        <f t="shared" si="38"/>
        <v>0.01</v>
      </c>
      <c r="U292" s="48">
        <f t="shared" si="39"/>
        <v>0.99</v>
      </c>
      <c r="V292" s="48">
        <f t="shared" si="40"/>
        <v>0</v>
      </c>
      <c r="W292" s="48">
        <f t="shared" si="41"/>
        <v>1</v>
      </c>
      <c r="X292" s="14">
        <f>MATCH(C292,'Weights and Seed Amounts'!C$2:C$400,0)</f>
        <v>291</v>
      </c>
      <c r="Y292" s="58">
        <f>INDEX('Weights and Seed Amounts'!D$2:D$400,$X292)</f>
        <v>0.13589999999999999</v>
      </c>
      <c r="Z292" s="34">
        <f>INDEX(Xtradata!U$2:U$397,$D292)</f>
        <v>0</v>
      </c>
    </row>
    <row r="293" spans="1:26" x14ac:dyDescent="0.25">
      <c r="A293" s="2" t="s">
        <v>481</v>
      </c>
      <c r="B293" s="2" t="s">
        <v>484</v>
      </c>
      <c r="C293" s="2" t="s">
        <v>486</v>
      </c>
      <c r="D293" s="32">
        <f>MATCH(Xtradata!C293,Xtradata!C$2:C691,0)</f>
        <v>292</v>
      </c>
      <c r="E293" s="33">
        <f>INDEX(Xtradata!G$2:G$397,$D293)</f>
        <v>44343</v>
      </c>
      <c r="F293" s="33">
        <f>INDEX(Xtradata!H$2:H$397,$D293)</f>
        <v>44405</v>
      </c>
      <c r="G293" s="2">
        <v>100</v>
      </c>
      <c r="H293" s="2">
        <v>4</v>
      </c>
      <c r="I293" s="2">
        <v>0</v>
      </c>
      <c r="J293" s="33" t="str">
        <f>INDEX(Xtradata!J$2:J$397,$D293)</f>
        <v>N/A</v>
      </c>
      <c r="K293" s="34" t="str">
        <f>IF(J293="TZ",INDEX(Xtradata!P$2:P$397,$D293),IF(J293="clip",INDEX(Xtradata!K$2:K$397,$D293),""))</f>
        <v/>
      </c>
      <c r="L293" s="34" t="str">
        <f>IF($J293="TZ",INDEX(Xtradata!Q$2:Q$397,$D293),IF($J293="clip",INDEX(Xtradata!L$2:L$397,$D293),""))</f>
        <v/>
      </c>
      <c r="M293" s="34" t="str">
        <f>IF($J293="TZ",INDEX(Xtradata!R$2:R$397,$D293),IF($J293="clip",INDEX(Xtradata!M$2:M$397,$D293),""))</f>
        <v/>
      </c>
      <c r="N293" s="2">
        <v>96</v>
      </c>
      <c r="O293" s="34">
        <f>INDEX(Xtradata!T$2:T$397,$D293)</f>
        <v>0</v>
      </c>
      <c r="P293" s="38">
        <f t="shared" si="35"/>
        <v>0</v>
      </c>
      <c r="Q293" s="48">
        <f t="shared" si="36"/>
        <v>0.04</v>
      </c>
      <c r="R293" s="48">
        <f t="shared" si="37"/>
        <v>0.04</v>
      </c>
      <c r="S293" s="48">
        <f t="shared" si="42"/>
        <v>0</v>
      </c>
      <c r="T293" s="48">
        <f t="shared" si="38"/>
        <v>0.04</v>
      </c>
      <c r="U293" s="48">
        <f t="shared" si="39"/>
        <v>0.96</v>
      </c>
      <c r="V293" s="48">
        <f t="shared" si="40"/>
        <v>0</v>
      </c>
      <c r="W293" s="48">
        <f t="shared" si="41"/>
        <v>1</v>
      </c>
      <c r="X293" s="14">
        <f>MATCH(C293,'Weights and Seed Amounts'!C$2:C$400,0)</f>
        <v>292</v>
      </c>
      <c r="Y293" s="58">
        <f>INDEX('Weights and Seed Amounts'!D$2:D$400,$X293)</f>
        <v>0.10299999999999999</v>
      </c>
      <c r="Z293" s="34">
        <f>INDEX(Xtradata!U$2:U$397,$D293)</f>
        <v>0</v>
      </c>
    </row>
    <row r="294" spans="1:26" x14ac:dyDescent="0.25">
      <c r="A294" s="2" t="s">
        <v>481</v>
      </c>
      <c r="B294" s="2" t="s">
        <v>484</v>
      </c>
      <c r="C294" s="2" t="s">
        <v>487</v>
      </c>
      <c r="D294" s="32">
        <f>MATCH(Xtradata!C294,Xtradata!C$2:C692,0)</f>
        <v>293</v>
      </c>
      <c r="E294" s="33">
        <f>INDEX(Xtradata!G$2:G$397,$D294)</f>
        <v>44343</v>
      </c>
      <c r="F294" s="33">
        <f>INDEX(Xtradata!H$2:H$397,$D294)</f>
        <v>44405</v>
      </c>
      <c r="G294" s="2">
        <v>100</v>
      </c>
      <c r="H294" s="2">
        <v>3</v>
      </c>
      <c r="I294" s="2">
        <v>0</v>
      </c>
      <c r="J294" s="33" t="str">
        <f>INDEX(Xtradata!J$2:J$397,$D294)</f>
        <v>N/A</v>
      </c>
      <c r="K294" s="34" t="str">
        <f>IF(J294="TZ",INDEX(Xtradata!P$2:P$397,$D294),IF(J294="clip",INDEX(Xtradata!K$2:K$397,$D294),""))</f>
        <v/>
      </c>
      <c r="L294" s="34" t="str">
        <f>IF($J294="TZ",INDEX(Xtradata!Q$2:Q$397,$D294),IF($J294="clip",INDEX(Xtradata!L$2:L$397,$D294),""))</f>
        <v/>
      </c>
      <c r="M294" s="34" t="str">
        <f>IF($J294="TZ",INDEX(Xtradata!R$2:R$397,$D294),IF($J294="clip",INDEX(Xtradata!M$2:M$397,$D294),""))</f>
        <v/>
      </c>
      <c r="N294" s="2">
        <v>97</v>
      </c>
      <c r="O294" s="34">
        <f>INDEX(Xtradata!T$2:T$397,$D294)</f>
        <v>0</v>
      </c>
      <c r="P294" s="38">
        <f t="shared" si="35"/>
        <v>0</v>
      </c>
      <c r="Q294" s="48">
        <f t="shared" si="36"/>
        <v>0.03</v>
      </c>
      <c r="R294" s="48">
        <f t="shared" si="37"/>
        <v>0.03</v>
      </c>
      <c r="S294" s="48">
        <f t="shared" si="42"/>
        <v>0</v>
      </c>
      <c r="T294" s="48">
        <f t="shared" si="38"/>
        <v>0.03</v>
      </c>
      <c r="U294" s="48">
        <f t="shared" si="39"/>
        <v>0.97</v>
      </c>
      <c r="V294" s="48">
        <f t="shared" si="40"/>
        <v>0</v>
      </c>
      <c r="W294" s="48">
        <f t="shared" si="41"/>
        <v>1</v>
      </c>
      <c r="X294" s="14">
        <f>MATCH(C294,'Weights and Seed Amounts'!C$2:C$400,0)</f>
        <v>293</v>
      </c>
      <c r="Y294" s="58">
        <f>INDEX('Weights and Seed Amounts'!D$2:D$400,$X294)</f>
        <v>0.94699999999999995</v>
      </c>
      <c r="Z294" s="34">
        <f>INDEX(Xtradata!U$2:U$397,$D294)</f>
        <v>0</v>
      </c>
    </row>
    <row r="295" spans="1:26" x14ac:dyDescent="0.25">
      <c r="A295" s="2" t="s">
        <v>481</v>
      </c>
      <c r="B295" s="2" t="s">
        <v>488</v>
      </c>
      <c r="C295" s="2" t="s">
        <v>489</v>
      </c>
      <c r="D295" s="32">
        <f>MATCH(Xtradata!C295,Xtradata!C$2:C693,0)</f>
        <v>294</v>
      </c>
      <c r="E295" s="33">
        <f>INDEX(Xtradata!G$2:G$397,$D295)</f>
        <v>44343</v>
      </c>
      <c r="F295" s="33">
        <f>INDEX(Xtradata!H$2:H$397,$D295)</f>
        <v>44405</v>
      </c>
      <c r="G295" s="2">
        <v>100</v>
      </c>
      <c r="H295" s="2">
        <v>2</v>
      </c>
      <c r="I295" s="2">
        <v>0</v>
      </c>
      <c r="J295" s="33" t="str">
        <f>INDEX(Xtradata!J$2:J$397,$D295)</f>
        <v>N/A</v>
      </c>
      <c r="K295" s="34" t="str">
        <f>IF(J295="TZ",INDEX(Xtradata!P$2:P$397,$D295),IF(J295="clip",INDEX(Xtradata!K$2:K$397,$D295),""))</f>
        <v/>
      </c>
      <c r="L295" s="34" t="str">
        <f>IF($J295="TZ",INDEX(Xtradata!Q$2:Q$397,$D295),IF($J295="clip",INDEX(Xtradata!L$2:L$397,$D295),""))</f>
        <v/>
      </c>
      <c r="M295" s="34" t="str">
        <f>IF($J295="TZ",INDEX(Xtradata!R$2:R$397,$D295),IF($J295="clip",INDEX(Xtradata!M$2:M$397,$D295),""))</f>
        <v/>
      </c>
      <c r="N295" s="2">
        <v>98</v>
      </c>
      <c r="O295" s="34">
        <f>INDEX(Xtradata!T$2:T$397,$D295)</f>
        <v>0</v>
      </c>
      <c r="P295" s="38">
        <f t="shared" si="35"/>
        <v>0</v>
      </c>
      <c r="Q295" s="48">
        <f t="shared" si="36"/>
        <v>0.02</v>
      </c>
      <c r="R295" s="48">
        <f t="shared" si="37"/>
        <v>0.02</v>
      </c>
      <c r="S295" s="48">
        <f t="shared" si="42"/>
        <v>0</v>
      </c>
      <c r="T295" s="48">
        <f t="shared" si="38"/>
        <v>0.02</v>
      </c>
      <c r="U295" s="48">
        <f t="shared" si="39"/>
        <v>0.98</v>
      </c>
      <c r="V295" s="48">
        <f t="shared" si="40"/>
        <v>0</v>
      </c>
      <c r="W295" s="48">
        <f t="shared" si="41"/>
        <v>1</v>
      </c>
      <c r="X295" s="14">
        <f>MATCH(C295,'Weights and Seed Amounts'!C$2:C$400,0)</f>
        <v>294</v>
      </c>
      <c r="Y295" s="58">
        <f>INDEX('Weights and Seed Amounts'!D$2:D$400,$X295)</f>
        <v>0.24210000000000001</v>
      </c>
      <c r="Z295" s="34">
        <f>INDEX(Xtradata!U$2:U$397,$D295)</f>
        <v>0</v>
      </c>
    </row>
    <row r="296" spans="1:26" x14ac:dyDescent="0.25">
      <c r="A296" s="2" t="s">
        <v>490</v>
      </c>
      <c r="B296" s="2" t="s">
        <v>385</v>
      </c>
      <c r="C296" s="2" t="s">
        <v>491</v>
      </c>
      <c r="D296" s="32">
        <f>MATCH(Xtradata!C296,Xtradata!C$2:C694,0)</f>
        <v>295</v>
      </c>
      <c r="E296" s="33">
        <f>INDEX(Xtradata!G$2:G$397,$D296)</f>
        <v>44291</v>
      </c>
      <c r="F296" s="33">
        <f>INDEX(Xtradata!H$2:H$397,$D296)</f>
        <v>44349</v>
      </c>
      <c r="G296" s="2">
        <v>91</v>
      </c>
      <c r="H296" s="2">
        <v>71</v>
      </c>
      <c r="I296" s="2">
        <v>0</v>
      </c>
      <c r="J296" s="33" t="str">
        <f>INDEX(Xtradata!J$2:J$397,$D296)</f>
        <v>N/A</v>
      </c>
      <c r="K296" s="34" t="str">
        <f>IF(J296="TZ",INDEX(Xtradata!P$2:P$397,$D296),IF(J296="clip",INDEX(Xtradata!K$2:K$397,$D296),""))</f>
        <v/>
      </c>
      <c r="L296" s="34" t="str">
        <f>IF($J296="TZ",INDEX(Xtradata!Q$2:Q$397,$D296),IF($J296="clip",INDEX(Xtradata!L$2:L$397,$D296),""))</f>
        <v/>
      </c>
      <c r="M296" s="34" t="str">
        <f>IF($J296="TZ",INDEX(Xtradata!R$2:R$397,$D296),IF($J296="clip",INDEX(Xtradata!M$2:M$397,$D296),""))</f>
        <v/>
      </c>
      <c r="N296" s="2">
        <v>19</v>
      </c>
      <c r="O296" s="34">
        <f>INDEX(Xtradata!T$2:T$397,$D296)</f>
        <v>1</v>
      </c>
      <c r="P296" s="38">
        <f t="shared" si="35"/>
        <v>0</v>
      </c>
      <c r="Q296" s="48">
        <f t="shared" si="36"/>
        <v>0.78021978021978022</v>
      </c>
      <c r="R296" s="48">
        <f t="shared" si="37"/>
        <v>0.78021978021978022</v>
      </c>
      <c r="S296" s="48">
        <f t="shared" si="42"/>
        <v>0</v>
      </c>
      <c r="T296" s="48">
        <f t="shared" si="38"/>
        <v>0.78021978021978022</v>
      </c>
      <c r="U296" s="48">
        <f t="shared" si="39"/>
        <v>0.2087912087912088</v>
      </c>
      <c r="V296" s="48">
        <f t="shared" si="40"/>
        <v>1.0989010989010978E-2</v>
      </c>
      <c r="W296" s="48">
        <f t="shared" si="41"/>
        <v>1</v>
      </c>
      <c r="X296" s="14">
        <f>MATCH(C296,'Weights and Seed Amounts'!C$2:C$400,0)</f>
        <v>295</v>
      </c>
      <c r="Y296" s="58">
        <f>INDEX('Weights and Seed Amounts'!D$2:D$400,$X296)</f>
        <v>3.8E-3</v>
      </c>
      <c r="Z296" s="34">
        <f>INDEX(Xtradata!U$2:U$397,$D296)</f>
        <v>0</v>
      </c>
    </row>
    <row r="297" spans="1:26" x14ac:dyDescent="0.25">
      <c r="A297" s="2" t="s">
        <v>490</v>
      </c>
      <c r="B297" s="2" t="s">
        <v>385</v>
      </c>
      <c r="C297" s="2" t="s">
        <v>492</v>
      </c>
      <c r="D297" s="32">
        <f>MATCH(Xtradata!C297,Xtradata!C$2:C695,0)</f>
        <v>296</v>
      </c>
      <c r="E297" s="33">
        <f>INDEX(Xtradata!G$2:G$397,$D297)</f>
        <v>44343</v>
      </c>
      <c r="F297" s="33">
        <f>INDEX(Xtradata!H$2:H$397,$D297)</f>
        <v>44383</v>
      </c>
      <c r="G297" s="2">
        <v>100</v>
      </c>
      <c r="H297" s="2">
        <v>71</v>
      </c>
      <c r="I297" s="2">
        <v>0</v>
      </c>
      <c r="J297" s="33" t="str">
        <f>INDEX(Xtradata!J$2:J$397,$D297)</f>
        <v>N/A</v>
      </c>
      <c r="K297" s="34" t="str">
        <f>IF(J297="TZ",INDEX(Xtradata!P$2:P$397,$D297),IF(J297="clip",INDEX(Xtradata!K$2:K$397,$D297),""))</f>
        <v/>
      </c>
      <c r="L297" s="34" t="str">
        <f>IF($J297="TZ",INDEX(Xtradata!Q$2:Q$397,$D297),IF($J297="clip",INDEX(Xtradata!L$2:L$397,$D297),""))</f>
        <v/>
      </c>
      <c r="M297" s="34" t="str">
        <f>IF($J297="TZ",INDEX(Xtradata!R$2:R$397,$D297),IF($J297="clip",INDEX(Xtradata!M$2:M$397,$D297),""))</f>
        <v/>
      </c>
      <c r="N297" s="2">
        <v>29</v>
      </c>
      <c r="O297" s="34">
        <f>INDEX(Xtradata!T$2:T$397,$D297)</f>
        <v>0</v>
      </c>
      <c r="P297" s="38">
        <f t="shared" si="35"/>
        <v>0</v>
      </c>
      <c r="Q297" s="48">
        <f t="shared" si="36"/>
        <v>0.71</v>
      </c>
      <c r="R297" s="48">
        <f t="shared" si="37"/>
        <v>0.71</v>
      </c>
      <c r="S297" s="48">
        <f t="shared" si="42"/>
        <v>0</v>
      </c>
      <c r="T297" s="48">
        <f t="shared" si="38"/>
        <v>0.71</v>
      </c>
      <c r="U297" s="48">
        <f t="shared" si="39"/>
        <v>0.28999999999999998</v>
      </c>
      <c r="V297" s="48">
        <f t="shared" si="40"/>
        <v>5.5511151231257827E-17</v>
      </c>
      <c r="W297" s="48">
        <f t="shared" si="41"/>
        <v>1</v>
      </c>
      <c r="X297" s="14">
        <f>MATCH(C297,'Weights and Seed Amounts'!C$2:C$400,0)</f>
        <v>296</v>
      </c>
      <c r="Y297" s="58">
        <f>INDEX('Weights and Seed Amounts'!D$2:D$400,$X297)</f>
        <v>5.1000000000000004E-3</v>
      </c>
      <c r="Z297" s="34">
        <f>INDEX(Xtradata!U$2:U$397,$D297)</f>
        <v>0</v>
      </c>
    </row>
    <row r="298" spans="1:26" x14ac:dyDescent="0.25">
      <c r="A298" s="2" t="s">
        <v>490</v>
      </c>
      <c r="B298" s="2" t="s">
        <v>236</v>
      </c>
      <c r="C298" s="2" t="s">
        <v>493</v>
      </c>
      <c r="D298" s="32">
        <f>MATCH(Xtradata!C298,Xtradata!C$2:C696,0)</f>
        <v>297</v>
      </c>
      <c r="E298" s="33">
        <f>INDEX(Xtradata!G$2:G$397,$D298)</f>
        <v>44291</v>
      </c>
      <c r="F298" s="33">
        <f>INDEX(Xtradata!H$2:H$397,$D298)</f>
        <v>44349</v>
      </c>
      <c r="G298" s="41">
        <f>88-2</f>
        <v>86</v>
      </c>
      <c r="H298" s="2">
        <v>37</v>
      </c>
      <c r="I298" s="2">
        <v>0</v>
      </c>
      <c r="J298" s="33" t="str">
        <f>INDEX(Xtradata!J$2:J$397,$D298)</f>
        <v>N/A</v>
      </c>
      <c r="K298" s="34" t="str">
        <f>IF(J298="TZ",INDEX(Xtradata!P$2:P$397,$D298),IF(J298="clip",INDEX(Xtradata!K$2:K$397,$D298),""))</f>
        <v/>
      </c>
      <c r="L298" s="34" t="str">
        <f>IF($J298="TZ",INDEX(Xtradata!Q$2:Q$397,$D298),IF($J298="clip",INDEX(Xtradata!L$2:L$397,$D298),""))</f>
        <v/>
      </c>
      <c r="M298" s="34" t="str">
        <f>IF($J298="TZ",INDEX(Xtradata!R$2:R$397,$D298),IF($J298="clip",INDEX(Xtradata!M$2:M$397,$D298),""))</f>
        <v/>
      </c>
      <c r="N298" s="2">
        <v>49</v>
      </c>
      <c r="O298" s="34">
        <f>INDEX(Xtradata!T$2:T$397,$D298)</f>
        <v>0</v>
      </c>
      <c r="P298" s="38">
        <f t="shared" si="35"/>
        <v>0</v>
      </c>
      <c r="Q298" s="48">
        <f t="shared" si="36"/>
        <v>0.43023255813953487</v>
      </c>
      <c r="R298" s="48">
        <f t="shared" si="37"/>
        <v>0.43023255813953487</v>
      </c>
      <c r="S298" s="48">
        <f t="shared" si="42"/>
        <v>0</v>
      </c>
      <c r="T298" s="48">
        <f t="shared" si="38"/>
        <v>0.43023255813953487</v>
      </c>
      <c r="U298" s="48">
        <f t="shared" si="39"/>
        <v>0.56976744186046513</v>
      </c>
      <c r="V298" s="48">
        <f t="shared" si="40"/>
        <v>0</v>
      </c>
      <c r="W298" s="48">
        <f t="shared" si="41"/>
        <v>1</v>
      </c>
      <c r="X298" s="14">
        <f>MATCH(C298,'Weights and Seed Amounts'!C$2:C$400,0)</f>
        <v>297</v>
      </c>
      <c r="Y298" s="58">
        <f>INDEX('Weights and Seed Amounts'!D$2:D$400,$X298)</f>
        <v>1.9E-3</v>
      </c>
      <c r="Z298" s="34">
        <f>INDEX(Xtradata!U$2:U$397,$D298)</f>
        <v>0</v>
      </c>
    </row>
    <row r="299" spans="1:26" x14ac:dyDescent="0.25">
      <c r="A299" s="2" t="s">
        <v>490</v>
      </c>
      <c r="B299" s="2" t="s">
        <v>236</v>
      </c>
      <c r="C299" s="2" t="s">
        <v>494</v>
      </c>
      <c r="D299" s="32">
        <f>MATCH(Xtradata!C299,Xtradata!C$2:C697,0)</f>
        <v>298</v>
      </c>
      <c r="E299" s="33">
        <f>INDEX(Xtradata!G$2:G$397,$D299)</f>
        <v>44291</v>
      </c>
      <c r="F299" s="33">
        <f>INDEX(Xtradata!H$2:H$397,$D299)</f>
        <v>44349</v>
      </c>
      <c r="G299" s="2">
        <v>114</v>
      </c>
      <c r="H299" s="2">
        <v>78</v>
      </c>
      <c r="I299" s="2">
        <v>0</v>
      </c>
      <c r="J299" s="33" t="str">
        <f>INDEX(Xtradata!J$2:J$397,$D299)</f>
        <v>N/A</v>
      </c>
      <c r="K299" s="34" t="str">
        <f>IF(J299="TZ",INDEX(Xtradata!P$2:P$397,$D299),IF(J299="clip",INDEX(Xtradata!K$2:K$397,$D299),""))</f>
        <v/>
      </c>
      <c r="L299" s="34" t="str">
        <f>IF($J299="TZ",INDEX(Xtradata!Q$2:Q$397,$D299),IF($J299="clip",INDEX(Xtradata!L$2:L$397,$D299),""))</f>
        <v/>
      </c>
      <c r="M299" s="34" t="str">
        <f>IF($J299="TZ",INDEX(Xtradata!R$2:R$397,$D299),IF($J299="clip",INDEX(Xtradata!M$2:M$397,$D299),""))</f>
        <v/>
      </c>
      <c r="N299" s="2">
        <v>31</v>
      </c>
      <c r="O299" s="34">
        <f>INDEX(Xtradata!T$2:T$397,$D299)</f>
        <v>5</v>
      </c>
      <c r="P299" s="38">
        <f t="shared" si="35"/>
        <v>0</v>
      </c>
      <c r="Q299" s="48">
        <f t="shared" si="36"/>
        <v>0.68421052631578949</v>
      </c>
      <c r="R299" s="48">
        <f t="shared" si="37"/>
        <v>0.68421052631578949</v>
      </c>
      <c r="S299" s="48">
        <f t="shared" si="42"/>
        <v>0</v>
      </c>
      <c r="T299" s="48">
        <f t="shared" si="38"/>
        <v>0.68421052631578949</v>
      </c>
      <c r="U299" s="48">
        <f t="shared" si="39"/>
        <v>0.27192982456140352</v>
      </c>
      <c r="V299" s="48">
        <f t="shared" si="40"/>
        <v>4.3859649122806987E-2</v>
      </c>
      <c r="W299" s="48">
        <f t="shared" si="41"/>
        <v>1</v>
      </c>
      <c r="X299" s="14">
        <f>MATCH(C299,'Weights and Seed Amounts'!C$2:C$400,0)</f>
        <v>298</v>
      </c>
      <c r="Y299" s="58">
        <f>INDEX('Weights and Seed Amounts'!D$2:D$400,$X299)</f>
        <v>3.2000000000000002E-3</v>
      </c>
      <c r="Z299" s="34">
        <f>INDEX(Xtradata!U$2:U$397,$D299)</f>
        <v>0</v>
      </c>
    </row>
    <row r="300" spans="1:26" x14ac:dyDescent="0.25">
      <c r="A300" s="2" t="s">
        <v>490</v>
      </c>
      <c r="B300" s="2" t="s">
        <v>236</v>
      </c>
      <c r="C300" s="2" t="s">
        <v>495</v>
      </c>
      <c r="D300" s="32">
        <f>MATCH(Xtradata!C300,Xtradata!C$2:C698,0)</f>
        <v>299</v>
      </c>
      <c r="E300" s="33">
        <f>INDEX(Xtradata!G$2:G$397,$D300)</f>
        <v>44343</v>
      </c>
      <c r="F300" s="33">
        <f>INDEX(Xtradata!H$2:H$397,$D300)</f>
        <v>44383</v>
      </c>
      <c r="G300" s="2">
        <v>100</v>
      </c>
      <c r="H300" s="2">
        <v>50</v>
      </c>
      <c r="I300" s="2">
        <v>0</v>
      </c>
      <c r="J300" s="33" t="str">
        <f>INDEX(Xtradata!J$2:J$397,$D300)</f>
        <v>N/A</v>
      </c>
      <c r="K300" s="34" t="str">
        <f>IF(J300="TZ",INDEX(Xtradata!P$2:P$397,$D300),IF(J300="clip",INDEX(Xtradata!K$2:K$397,$D300),""))</f>
        <v/>
      </c>
      <c r="L300" s="34" t="str">
        <f>IF($J300="TZ",INDEX(Xtradata!Q$2:Q$397,$D300),IF($J300="clip",INDEX(Xtradata!L$2:L$397,$D300),""))</f>
        <v/>
      </c>
      <c r="M300" s="34" t="str">
        <f>IF($J300="TZ",INDEX(Xtradata!R$2:R$397,$D300),IF($J300="clip",INDEX(Xtradata!M$2:M$397,$D300),""))</f>
        <v/>
      </c>
      <c r="N300" s="2">
        <v>50</v>
      </c>
      <c r="O300" s="34">
        <f>INDEX(Xtradata!T$2:T$397,$D300)</f>
        <v>0</v>
      </c>
      <c r="P300" s="38">
        <f t="shared" si="35"/>
        <v>0</v>
      </c>
      <c r="Q300" s="48">
        <f t="shared" si="36"/>
        <v>0.5</v>
      </c>
      <c r="R300" s="48">
        <f t="shared" si="37"/>
        <v>0.5</v>
      </c>
      <c r="S300" s="48">
        <f t="shared" si="42"/>
        <v>0</v>
      </c>
      <c r="T300" s="48">
        <f t="shared" si="38"/>
        <v>0.5</v>
      </c>
      <c r="U300" s="48">
        <f t="shared" si="39"/>
        <v>0.5</v>
      </c>
      <c r="V300" s="48">
        <f t="shared" si="40"/>
        <v>0</v>
      </c>
      <c r="W300" s="48">
        <f t="shared" si="41"/>
        <v>1</v>
      </c>
      <c r="X300" s="14">
        <f>MATCH(C300,'Weights and Seed Amounts'!C$2:C$400,0)</f>
        <v>299</v>
      </c>
      <c r="Y300" s="58">
        <f>INDEX('Weights and Seed Amounts'!D$2:D$400,$X300)</f>
        <v>3.2000000000000002E-3</v>
      </c>
      <c r="Z300" s="34">
        <f>INDEX(Xtradata!U$2:U$397,$D300)</f>
        <v>0</v>
      </c>
    </row>
    <row r="301" spans="1:26" x14ac:dyDescent="0.25">
      <c r="A301" s="2" t="s">
        <v>496</v>
      </c>
      <c r="B301" s="2" t="s">
        <v>4</v>
      </c>
      <c r="C301" s="2" t="s">
        <v>497</v>
      </c>
      <c r="D301" s="32">
        <f>MATCH(Xtradata!C301,Xtradata!C$2:C699,0)</f>
        <v>300</v>
      </c>
      <c r="E301" s="33">
        <f>INDEX(Xtradata!G$2:G$397,$D301)</f>
        <v>44302</v>
      </c>
      <c r="F301" s="33">
        <f>INDEX(Xtradata!H$2:H$397,$D301)</f>
        <v>44349</v>
      </c>
      <c r="G301" s="2">
        <v>112</v>
      </c>
      <c r="H301" s="2">
        <v>93</v>
      </c>
      <c r="I301" s="2">
        <v>0</v>
      </c>
      <c r="J301" s="33" t="str">
        <f>INDEX(Xtradata!J$2:J$397,$D301)</f>
        <v>TZ</v>
      </c>
      <c r="K301" s="34">
        <f>IF(J301="TZ",INDEX(Xtradata!P$2:P$397,$D301),IF(J301="clip",INDEX(Xtradata!K$2:K$397,$D301),""))</f>
        <v>10</v>
      </c>
      <c r="L301" s="34">
        <f>IF($J301="TZ",INDEX(Xtradata!Q$2:Q$397,$D301),IF($J301="clip",INDEX(Xtradata!L$2:L$397,$D301),""))</f>
        <v>6</v>
      </c>
      <c r="M301" s="34">
        <f>IF($J301="TZ",INDEX(Xtradata!R$2:R$397,$D301),IF($J301="clip",INDEX(Xtradata!M$2:M$397,$D301),""))</f>
        <v>4</v>
      </c>
      <c r="N301" s="2">
        <v>0</v>
      </c>
      <c r="O301" s="34">
        <f>INDEX(Xtradata!T$2:T$397,$D301)</f>
        <v>9</v>
      </c>
      <c r="P301" s="38">
        <f t="shared" si="35"/>
        <v>0</v>
      </c>
      <c r="Q301" s="48">
        <f t="shared" si="36"/>
        <v>0.8303571428571429</v>
      </c>
      <c r="R301" s="48">
        <f t="shared" si="37"/>
        <v>0.8303571428571429</v>
      </c>
      <c r="S301" s="48">
        <f t="shared" si="42"/>
        <v>5.3571428571428568E-2</v>
      </c>
      <c r="T301" s="48">
        <f t="shared" si="38"/>
        <v>0.8839285714285714</v>
      </c>
      <c r="U301" s="48">
        <f t="shared" si="39"/>
        <v>0</v>
      </c>
      <c r="V301" s="48">
        <f t="shared" si="40"/>
        <v>0.1160714285714286</v>
      </c>
      <c r="W301" s="48">
        <f t="shared" si="41"/>
        <v>1</v>
      </c>
      <c r="X301" s="14">
        <f>MATCH(C301,'Weights and Seed Amounts'!C$2:C$400,0)</f>
        <v>300</v>
      </c>
      <c r="Y301" s="58">
        <f>INDEX('Weights and Seed Amounts'!D$2:D$400,$X301)</f>
        <v>5.6899999999999999E-2</v>
      </c>
      <c r="Z301" s="34">
        <f>INDEX(Xtradata!U$2:U$397,$D301)</f>
        <v>0</v>
      </c>
    </row>
    <row r="302" spans="1:26" x14ac:dyDescent="0.25">
      <c r="A302" s="2" t="s">
        <v>496</v>
      </c>
      <c r="B302" s="2" t="s">
        <v>4</v>
      </c>
      <c r="C302" s="2" t="s">
        <v>498</v>
      </c>
      <c r="D302" s="32">
        <f>MATCH(Xtradata!C302,Xtradata!C$2:C700,0)</f>
        <v>301</v>
      </c>
      <c r="E302" s="33">
        <f>INDEX(Xtradata!G$2:G$397,$D302)</f>
        <v>44302</v>
      </c>
      <c r="F302" s="33">
        <f>INDEX(Xtradata!H$2:H$397,$D302)</f>
        <v>44349</v>
      </c>
      <c r="G302" s="2">
        <v>103</v>
      </c>
      <c r="H302" s="2">
        <v>68</v>
      </c>
      <c r="I302" s="2">
        <v>0</v>
      </c>
      <c r="J302" s="33" t="str">
        <f>INDEX(Xtradata!J$2:J$397,$D302)</f>
        <v>TZ</v>
      </c>
      <c r="K302" s="34">
        <f>IF(J302="TZ",INDEX(Xtradata!P$2:P$397,$D302),IF(J302="clip",INDEX(Xtradata!K$2:K$397,$D302),""))</f>
        <v>28</v>
      </c>
      <c r="L302" s="34">
        <f>IF($J302="TZ",INDEX(Xtradata!Q$2:Q$397,$D302),IF($J302="clip",INDEX(Xtradata!L$2:L$397,$D302),""))</f>
        <v>21</v>
      </c>
      <c r="M302" s="34">
        <f>IF($J302="TZ",INDEX(Xtradata!R$2:R$397,$D302),IF($J302="clip",INDEX(Xtradata!M$2:M$397,$D302),""))</f>
        <v>7</v>
      </c>
      <c r="N302" s="2">
        <v>0</v>
      </c>
      <c r="O302" s="34">
        <f>INDEX(Xtradata!T$2:T$397,$D302)</f>
        <v>7</v>
      </c>
      <c r="P302" s="38">
        <f t="shared" si="35"/>
        <v>0</v>
      </c>
      <c r="Q302" s="48">
        <f t="shared" si="36"/>
        <v>0.66019417475728159</v>
      </c>
      <c r="R302" s="48">
        <f t="shared" si="37"/>
        <v>0.66019417475728159</v>
      </c>
      <c r="S302" s="48">
        <f t="shared" si="42"/>
        <v>0.20388349514563106</v>
      </c>
      <c r="T302" s="48">
        <f t="shared" si="38"/>
        <v>0.86407766990291257</v>
      </c>
      <c r="U302" s="48">
        <f t="shared" si="39"/>
        <v>0</v>
      </c>
      <c r="V302" s="48">
        <f t="shared" si="40"/>
        <v>0.13592233009708743</v>
      </c>
      <c r="W302" s="48">
        <f t="shared" si="41"/>
        <v>1</v>
      </c>
      <c r="X302" s="14">
        <f>MATCH(C302,'Weights and Seed Amounts'!C$2:C$400,0)</f>
        <v>301</v>
      </c>
      <c r="Y302" s="58">
        <f>INDEX('Weights and Seed Amounts'!D$2:D$400,$X302)</f>
        <v>6.7100000000000007E-2</v>
      </c>
      <c r="Z302" s="34">
        <f>INDEX(Xtradata!U$2:U$397,$D302)</f>
        <v>0</v>
      </c>
    </row>
    <row r="303" spans="1:26" x14ac:dyDescent="0.25">
      <c r="A303" s="2" t="s">
        <v>499</v>
      </c>
      <c r="B303" s="2" t="s">
        <v>500</v>
      </c>
      <c r="C303" s="2" t="s">
        <v>501</v>
      </c>
      <c r="D303" s="32">
        <f>MATCH(Xtradata!C303,Xtradata!C$2:C701,0)</f>
        <v>302</v>
      </c>
      <c r="E303" s="33">
        <f>INDEX(Xtradata!G$2:G$397,$D303)</f>
        <v>44355</v>
      </c>
      <c r="F303" s="33">
        <f>INDEX(Xtradata!H$2:H$397,$D303)</f>
        <v>44398</v>
      </c>
      <c r="G303" s="2">
        <v>100</v>
      </c>
      <c r="H303" s="2">
        <v>10</v>
      </c>
      <c r="I303" s="2">
        <v>0</v>
      </c>
      <c r="J303" s="33" t="str">
        <f>INDEX(Xtradata!J$2:J$397,$D303)</f>
        <v>N/A</v>
      </c>
      <c r="K303" s="34" t="str">
        <f>IF(J303="TZ",INDEX(Xtradata!P$2:P$397,$D303),IF(J303="clip",INDEX(Xtradata!K$2:K$397,$D303),""))</f>
        <v/>
      </c>
      <c r="L303" s="34" t="str">
        <f>IF($J303="TZ",INDEX(Xtradata!Q$2:Q$397,$D303),IF($J303="clip",INDEX(Xtradata!L$2:L$397,$D303),""))</f>
        <v/>
      </c>
      <c r="M303" s="34" t="str">
        <f>IF($J303="TZ",INDEX(Xtradata!R$2:R$397,$D303),IF($J303="clip",INDEX(Xtradata!M$2:M$397,$D303),""))</f>
        <v/>
      </c>
      <c r="N303" s="2">
        <v>90</v>
      </c>
      <c r="O303" s="34">
        <f>INDEX(Xtradata!T$2:T$397,$D303)</f>
        <v>0</v>
      </c>
      <c r="P303" s="38">
        <f t="shared" si="35"/>
        <v>0</v>
      </c>
      <c r="Q303" s="48">
        <f t="shared" si="36"/>
        <v>0.1</v>
      </c>
      <c r="R303" s="48">
        <f t="shared" si="37"/>
        <v>0.1</v>
      </c>
      <c r="S303" s="48">
        <f t="shared" si="42"/>
        <v>0</v>
      </c>
      <c r="T303" s="48">
        <f t="shared" si="38"/>
        <v>0.1</v>
      </c>
      <c r="U303" s="48">
        <f t="shared" si="39"/>
        <v>0.9</v>
      </c>
      <c r="V303" s="48">
        <f t="shared" si="40"/>
        <v>0</v>
      </c>
      <c r="W303" s="48">
        <f t="shared" si="41"/>
        <v>1</v>
      </c>
      <c r="X303" s="14">
        <f>MATCH(C303,'Weights and Seed Amounts'!C$2:C$400,0)</f>
        <v>302</v>
      </c>
      <c r="Y303" s="58">
        <f>INDEX('Weights and Seed Amounts'!D$2:D$400,$X303)</f>
        <v>1.78E-2</v>
      </c>
      <c r="Z303" s="34">
        <f>INDEX(Xtradata!U$2:U$397,$D303)</f>
        <v>0</v>
      </c>
    </row>
    <row r="304" spans="1:26" x14ac:dyDescent="0.25">
      <c r="A304" s="2" t="s">
        <v>499</v>
      </c>
      <c r="B304" s="2" t="s">
        <v>500</v>
      </c>
      <c r="C304" s="2" t="s">
        <v>502</v>
      </c>
      <c r="D304" s="32">
        <f>MATCH(Xtradata!C304,Xtradata!C$2:C702,0)</f>
        <v>303</v>
      </c>
      <c r="E304" s="33">
        <f>INDEX(Xtradata!G$2:G$397,$D304)</f>
        <v>44355</v>
      </c>
      <c r="F304" s="33">
        <f>INDEX(Xtradata!H$2:H$397,$D304)</f>
        <v>44398</v>
      </c>
      <c r="G304" s="2">
        <v>100</v>
      </c>
      <c r="H304" s="2">
        <v>4</v>
      </c>
      <c r="I304" s="2">
        <v>0</v>
      </c>
      <c r="J304" s="33" t="str">
        <f>INDEX(Xtradata!J$2:J$397,$D304)</f>
        <v>N/A</v>
      </c>
      <c r="K304" s="34" t="str">
        <f>IF(J304="TZ",INDEX(Xtradata!P$2:P$397,$D304),IF(J304="clip",INDEX(Xtradata!K$2:K$397,$D304),""))</f>
        <v/>
      </c>
      <c r="L304" s="34" t="str">
        <f>IF($J304="TZ",INDEX(Xtradata!Q$2:Q$397,$D304),IF($J304="clip",INDEX(Xtradata!L$2:L$397,$D304),""))</f>
        <v/>
      </c>
      <c r="M304" s="34" t="str">
        <f>IF($J304="TZ",INDEX(Xtradata!R$2:R$397,$D304),IF($J304="clip",INDEX(Xtradata!M$2:M$397,$D304),""))</f>
        <v/>
      </c>
      <c r="N304" s="2">
        <v>96</v>
      </c>
      <c r="O304" s="34">
        <f>INDEX(Xtradata!T$2:T$397,$D304)</f>
        <v>0</v>
      </c>
      <c r="P304" s="38">
        <f t="shared" si="35"/>
        <v>0</v>
      </c>
      <c r="Q304" s="48">
        <f t="shared" si="36"/>
        <v>0.04</v>
      </c>
      <c r="R304" s="48">
        <f t="shared" si="37"/>
        <v>0.04</v>
      </c>
      <c r="S304" s="48">
        <f t="shared" si="42"/>
        <v>0</v>
      </c>
      <c r="T304" s="48">
        <f t="shared" si="38"/>
        <v>0.04</v>
      </c>
      <c r="U304" s="48">
        <f t="shared" si="39"/>
        <v>0.96</v>
      </c>
      <c r="V304" s="48">
        <f t="shared" si="40"/>
        <v>0</v>
      </c>
      <c r="W304" s="48">
        <f t="shared" si="41"/>
        <v>1</v>
      </c>
      <c r="X304" s="14">
        <f>MATCH(C304,'Weights and Seed Amounts'!C$2:C$400,0)</f>
        <v>303</v>
      </c>
      <c r="Y304" s="58">
        <f>INDEX('Weights and Seed Amounts'!D$2:D$400,$X304)</f>
        <v>1.24E-2</v>
      </c>
      <c r="Z304" s="34">
        <f>INDEX(Xtradata!U$2:U$397,$D304)</f>
        <v>0</v>
      </c>
    </row>
    <row r="305" spans="1:26" x14ac:dyDescent="0.25">
      <c r="A305" s="2" t="s">
        <v>499</v>
      </c>
      <c r="B305" s="2" t="s">
        <v>503</v>
      </c>
      <c r="C305" s="2" t="s">
        <v>504</v>
      </c>
      <c r="D305" s="32">
        <f>MATCH(Xtradata!C305,Xtradata!C$2:C703,0)</f>
        <v>304</v>
      </c>
      <c r="E305" s="33">
        <f>INDEX(Xtradata!G$2:G$397,$D305)</f>
        <v>44355</v>
      </c>
      <c r="F305" s="33">
        <f>INDEX(Xtradata!H$2:H$397,$D305)</f>
        <v>44398</v>
      </c>
      <c r="G305" s="2">
        <v>100</v>
      </c>
      <c r="H305" s="2">
        <v>2</v>
      </c>
      <c r="I305" s="2">
        <v>0</v>
      </c>
      <c r="J305" s="33" t="str">
        <f>INDEX(Xtradata!J$2:J$397,$D305)</f>
        <v>N/A</v>
      </c>
      <c r="K305" s="34" t="str">
        <f>IF(J305="TZ",INDEX(Xtradata!P$2:P$397,$D305),IF(J305="clip",INDEX(Xtradata!K$2:K$397,$D305),""))</f>
        <v/>
      </c>
      <c r="L305" s="34" t="str">
        <f>IF($J305="TZ",INDEX(Xtradata!Q$2:Q$397,$D305),IF($J305="clip",INDEX(Xtradata!L$2:L$397,$D305),""))</f>
        <v/>
      </c>
      <c r="M305" s="34" t="str">
        <f>IF($J305="TZ",INDEX(Xtradata!R$2:R$397,$D305),IF($J305="clip",INDEX(Xtradata!M$2:M$397,$D305),""))</f>
        <v/>
      </c>
      <c r="N305" s="2">
        <v>98</v>
      </c>
      <c r="O305" s="34">
        <f>INDEX(Xtradata!T$2:T$397,$D305)</f>
        <v>0</v>
      </c>
      <c r="P305" s="38">
        <f t="shared" si="35"/>
        <v>0</v>
      </c>
      <c r="Q305" s="48">
        <f t="shared" si="36"/>
        <v>0.02</v>
      </c>
      <c r="R305" s="48">
        <f t="shared" si="37"/>
        <v>0.02</v>
      </c>
      <c r="S305" s="48">
        <f t="shared" si="42"/>
        <v>0</v>
      </c>
      <c r="T305" s="48">
        <f t="shared" si="38"/>
        <v>0.02</v>
      </c>
      <c r="U305" s="48">
        <f t="shared" si="39"/>
        <v>0.98</v>
      </c>
      <c r="V305" s="48">
        <f t="shared" si="40"/>
        <v>0</v>
      </c>
      <c r="W305" s="48">
        <f t="shared" si="41"/>
        <v>1</v>
      </c>
      <c r="X305" s="14">
        <f>MATCH(C305,'Weights and Seed Amounts'!C$2:C$400,0)</f>
        <v>304</v>
      </c>
      <c r="Y305" s="58">
        <f>INDEX('Weights and Seed Amounts'!D$2:D$400,$X305)</f>
        <v>2.5899999999999999E-2</v>
      </c>
      <c r="Z305" s="34">
        <f>INDEX(Xtradata!U$2:U$397,$D305)</f>
        <v>0</v>
      </c>
    </row>
    <row r="306" spans="1:26" x14ac:dyDescent="0.25">
      <c r="A306" s="2" t="s">
        <v>499</v>
      </c>
      <c r="B306" s="2" t="s">
        <v>503</v>
      </c>
      <c r="C306" s="2" t="s">
        <v>505</v>
      </c>
      <c r="D306" s="32">
        <f>MATCH(Xtradata!C306,Xtradata!C$2:C704,0)</f>
        <v>305</v>
      </c>
      <c r="E306" s="33">
        <f>INDEX(Xtradata!G$2:G$397,$D306)</f>
        <v>44355</v>
      </c>
      <c r="F306" s="33">
        <f>INDEX(Xtradata!H$2:H$397,$D306)</f>
        <v>44398</v>
      </c>
      <c r="G306" s="2">
        <v>100</v>
      </c>
      <c r="H306" s="2">
        <v>11</v>
      </c>
      <c r="I306" s="2">
        <v>0</v>
      </c>
      <c r="J306" s="33" t="str">
        <f>INDEX(Xtradata!J$2:J$397,$D306)</f>
        <v>N/A</v>
      </c>
      <c r="K306" s="34" t="str">
        <f>IF(J306="TZ",INDEX(Xtradata!P$2:P$397,$D306),IF(J306="clip",INDEX(Xtradata!K$2:K$397,$D306),""))</f>
        <v/>
      </c>
      <c r="L306" s="34" t="str">
        <f>IF($J306="TZ",INDEX(Xtradata!Q$2:Q$397,$D306),IF($J306="clip",INDEX(Xtradata!L$2:L$397,$D306),""))</f>
        <v/>
      </c>
      <c r="M306" s="34" t="str">
        <f>IF($J306="TZ",INDEX(Xtradata!R$2:R$397,$D306),IF($J306="clip",INDEX(Xtradata!M$2:M$397,$D306),""))</f>
        <v/>
      </c>
      <c r="N306" s="2">
        <v>89</v>
      </c>
      <c r="O306" s="34">
        <f>INDEX(Xtradata!T$2:T$397,$D306)</f>
        <v>0</v>
      </c>
      <c r="P306" s="38">
        <f t="shared" si="35"/>
        <v>0</v>
      </c>
      <c r="Q306" s="48">
        <f t="shared" si="36"/>
        <v>0.11</v>
      </c>
      <c r="R306" s="48">
        <f t="shared" si="37"/>
        <v>0.11</v>
      </c>
      <c r="S306" s="48">
        <f t="shared" si="42"/>
        <v>0</v>
      </c>
      <c r="T306" s="48">
        <f t="shared" si="38"/>
        <v>0.11</v>
      </c>
      <c r="U306" s="48">
        <f t="shared" si="39"/>
        <v>0.89</v>
      </c>
      <c r="V306" s="48">
        <f t="shared" si="40"/>
        <v>0</v>
      </c>
      <c r="W306" s="48">
        <f t="shared" si="41"/>
        <v>1</v>
      </c>
      <c r="X306" s="14">
        <f>MATCH(C306,'Weights and Seed Amounts'!C$2:C$400,0)</f>
        <v>305</v>
      </c>
      <c r="Y306" s="58">
        <f>INDEX('Weights and Seed Amounts'!D$2:D$400,$X306)</f>
        <v>3.44E-2</v>
      </c>
      <c r="Z306" s="34">
        <f>INDEX(Xtradata!U$2:U$397,$D306)</f>
        <v>0</v>
      </c>
    </row>
    <row r="307" spans="1:26" x14ac:dyDescent="0.25">
      <c r="A307" s="2" t="s">
        <v>499</v>
      </c>
      <c r="B307" s="2" t="s">
        <v>503</v>
      </c>
      <c r="C307" s="2" t="s">
        <v>506</v>
      </c>
      <c r="D307" s="32">
        <f>MATCH(Xtradata!C307,Xtradata!C$2:C705,0)</f>
        <v>306</v>
      </c>
      <c r="E307" s="33">
        <f>INDEX(Xtradata!G$2:G$397,$D307)</f>
        <v>44355</v>
      </c>
      <c r="F307" s="33">
        <f>INDEX(Xtradata!H$2:H$397,$D307)</f>
        <v>44398</v>
      </c>
      <c r="G307" s="2">
        <v>100</v>
      </c>
      <c r="H307" s="2">
        <v>7</v>
      </c>
      <c r="I307" s="2">
        <v>0</v>
      </c>
      <c r="J307" s="33" t="str">
        <f>INDEX(Xtradata!J$2:J$397,$D307)</f>
        <v>N/A</v>
      </c>
      <c r="K307" s="34" t="str">
        <f>IF(J307="TZ",INDEX(Xtradata!P$2:P$397,$D307),IF(J307="clip",INDEX(Xtradata!K$2:K$397,$D307),""))</f>
        <v/>
      </c>
      <c r="L307" s="34" t="str">
        <f>IF($J307="TZ",INDEX(Xtradata!Q$2:Q$397,$D307),IF($J307="clip",INDEX(Xtradata!L$2:L$397,$D307),""))</f>
        <v/>
      </c>
      <c r="M307" s="34" t="str">
        <f>IF($J307="TZ",INDEX(Xtradata!R$2:R$397,$D307),IF($J307="clip",INDEX(Xtradata!M$2:M$397,$D307),""))</f>
        <v/>
      </c>
      <c r="N307" s="2">
        <v>93</v>
      </c>
      <c r="O307" s="34">
        <f>INDEX(Xtradata!T$2:T$397,$D307)</f>
        <v>0</v>
      </c>
      <c r="P307" s="38">
        <f t="shared" si="35"/>
        <v>0</v>
      </c>
      <c r="Q307" s="48">
        <f t="shared" si="36"/>
        <v>7.0000000000000007E-2</v>
      </c>
      <c r="R307" s="48">
        <f t="shared" si="37"/>
        <v>7.0000000000000007E-2</v>
      </c>
      <c r="S307" s="48">
        <f t="shared" si="42"/>
        <v>0</v>
      </c>
      <c r="T307" s="48">
        <f t="shared" si="38"/>
        <v>7.0000000000000007E-2</v>
      </c>
      <c r="U307" s="48">
        <f t="shared" si="39"/>
        <v>0.93</v>
      </c>
      <c r="V307" s="48">
        <f t="shared" si="40"/>
        <v>-1.1102230246251565E-16</v>
      </c>
      <c r="W307" s="48">
        <f t="shared" si="41"/>
        <v>0.99999999999999989</v>
      </c>
      <c r="X307" s="14">
        <f>MATCH(C307,'Weights and Seed Amounts'!C$2:C$400,0)</f>
        <v>306</v>
      </c>
      <c r="Y307" s="58">
        <f>INDEX('Weights and Seed Amounts'!D$2:D$400,$X307)</f>
        <v>3.1199999999999999E-2</v>
      </c>
      <c r="Z307" s="34">
        <f>INDEX(Xtradata!U$2:U$397,$D307)</f>
        <v>0</v>
      </c>
    </row>
    <row r="308" spans="1:26" x14ac:dyDescent="0.25">
      <c r="A308" s="2" t="s">
        <v>499</v>
      </c>
      <c r="B308" s="2" t="s">
        <v>503</v>
      </c>
      <c r="C308" s="2" t="s">
        <v>507</v>
      </c>
      <c r="D308" s="32">
        <f>MATCH(Xtradata!C308,Xtradata!C$2:C706,0)</f>
        <v>307</v>
      </c>
      <c r="E308" s="33">
        <f>INDEX(Xtradata!G$2:G$397,$D308)</f>
        <v>44355</v>
      </c>
      <c r="F308" s="33">
        <f>INDEX(Xtradata!H$2:H$397,$D308)</f>
        <v>44398</v>
      </c>
      <c r="G308" s="2">
        <v>100</v>
      </c>
      <c r="H308" s="2">
        <v>4</v>
      </c>
      <c r="I308" s="2">
        <v>0</v>
      </c>
      <c r="J308" s="33" t="str">
        <f>INDEX(Xtradata!J$2:J$397,$D308)</f>
        <v>N/A</v>
      </c>
      <c r="K308" s="34" t="str">
        <f>IF(J308="TZ",INDEX(Xtradata!P$2:P$397,$D308),IF(J308="clip",INDEX(Xtradata!K$2:K$397,$D308),""))</f>
        <v/>
      </c>
      <c r="L308" s="34" t="str">
        <f>IF($J308="TZ",INDEX(Xtradata!Q$2:Q$397,$D308),IF($J308="clip",INDEX(Xtradata!L$2:L$397,$D308),""))</f>
        <v/>
      </c>
      <c r="M308" s="34" t="str">
        <f>IF($J308="TZ",INDEX(Xtradata!R$2:R$397,$D308),IF($J308="clip",INDEX(Xtradata!M$2:M$397,$D308),""))</f>
        <v/>
      </c>
      <c r="N308" s="2">
        <v>96</v>
      </c>
      <c r="O308" s="34">
        <f>INDEX(Xtradata!T$2:T$397,$D308)</f>
        <v>0</v>
      </c>
      <c r="P308" s="38">
        <f t="shared" si="35"/>
        <v>0</v>
      </c>
      <c r="Q308" s="48">
        <f t="shared" si="36"/>
        <v>0.04</v>
      </c>
      <c r="R308" s="48">
        <f t="shared" si="37"/>
        <v>0.04</v>
      </c>
      <c r="S308" s="48">
        <f t="shared" si="42"/>
        <v>0</v>
      </c>
      <c r="T308" s="48">
        <f t="shared" si="38"/>
        <v>0.04</v>
      </c>
      <c r="U308" s="48">
        <f t="shared" si="39"/>
        <v>0.96</v>
      </c>
      <c r="V308" s="48">
        <f t="shared" si="40"/>
        <v>0</v>
      </c>
      <c r="W308" s="48">
        <f t="shared" si="41"/>
        <v>1</v>
      </c>
      <c r="X308" s="14">
        <f>MATCH(C308,'Weights and Seed Amounts'!C$2:C$400,0)</f>
        <v>307</v>
      </c>
      <c r="Y308" s="58">
        <f>INDEX('Weights and Seed Amounts'!D$2:D$400,$X308)</f>
        <v>2.2200000000000001E-2</v>
      </c>
      <c r="Z308" s="34">
        <f>INDEX(Xtradata!U$2:U$397,$D308)</f>
        <v>0</v>
      </c>
    </row>
    <row r="309" spans="1:26" x14ac:dyDescent="0.25">
      <c r="A309" s="2" t="s">
        <v>508</v>
      </c>
      <c r="B309" s="2" t="s">
        <v>509</v>
      </c>
      <c r="C309" s="2" t="s">
        <v>510</v>
      </c>
      <c r="D309" s="32">
        <f>MATCH(Xtradata!C309,Xtradata!C$2:C707,0)</f>
        <v>308</v>
      </c>
      <c r="E309" s="33">
        <f>INDEX(Xtradata!G$2:G$397,$D309)</f>
        <v>44372</v>
      </c>
      <c r="F309" s="33">
        <f>INDEX(Xtradata!H$2:H$397,$D309)</f>
        <v>44434</v>
      </c>
      <c r="G309" s="2">
        <v>100</v>
      </c>
      <c r="H309" s="2">
        <v>20</v>
      </c>
      <c r="I309" s="2">
        <v>0</v>
      </c>
      <c r="J309" s="33" t="str">
        <f>INDEX(Xtradata!J$2:J$397,$D309)</f>
        <v>TZ</v>
      </c>
      <c r="K309" s="34">
        <f>IF(J309="TZ",INDEX(Xtradata!P$2:P$397,$D309),IF(J309="clip",INDEX(Xtradata!K$2:K$397,$D309),""))</f>
        <v>71</v>
      </c>
      <c r="L309" s="34">
        <f>IF($J309="TZ",INDEX(Xtradata!Q$2:Q$397,$D309),IF($J309="clip",INDEX(Xtradata!L$2:L$397,$D309),""))</f>
        <v>21</v>
      </c>
      <c r="M309" s="34">
        <f>IF($J309="TZ",INDEX(Xtradata!R$2:R$397,$D309),IF($J309="clip",INDEX(Xtradata!M$2:M$397,$D309),""))</f>
        <v>50</v>
      </c>
      <c r="N309" s="2">
        <v>9</v>
      </c>
      <c r="O309" s="34">
        <f>INDEX(Xtradata!T$2:T$397,$D309)</f>
        <v>0</v>
      </c>
      <c r="P309" s="38">
        <f t="shared" si="35"/>
        <v>0</v>
      </c>
      <c r="Q309" s="48">
        <f t="shared" si="36"/>
        <v>0.2</v>
      </c>
      <c r="R309" s="48">
        <f t="shared" si="37"/>
        <v>0.2</v>
      </c>
      <c r="S309" s="48">
        <f t="shared" si="42"/>
        <v>0.21</v>
      </c>
      <c r="T309" s="48">
        <f t="shared" si="38"/>
        <v>0.41</v>
      </c>
      <c r="U309" s="48">
        <f t="shared" si="39"/>
        <v>0.09</v>
      </c>
      <c r="V309" s="48">
        <f t="shared" si="40"/>
        <v>0.50000000000000011</v>
      </c>
      <c r="W309" s="48">
        <f t="shared" si="41"/>
        <v>1</v>
      </c>
      <c r="X309" s="14">
        <f>MATCH(C309,'Weights and Seed Amounts'!C$2:C$400,0)</f>
        <v>308</v>
      </c>
      <c r="Y309" s="58">
        <f>INDEX('Weights and Seed Amounts'!D$2:D$400,$X309)</f>
        <v>5.8872999999999998</v>
      </c>
      <c r="Z309" s="34">
        <f>INDEX(Xtradata!U$2:U$397,$D309)</f>
        <v>0</v>
      </c>
    </row>
    <row r="310" spans="1:26" x14ac:dyDescent="0.25">
      <c r="A310" s="2" t="s">
        <v>511</v>
      </c>
      <c r="B310" s="2" t="s">
        <v>244</v>
      </c>
      <c r="C310" s="2" t="s">
        <v>512</v>
      </c>
      <c r="D310" s="32">
        <f>MATCH(Xtradata!C310,Xtradata!C$2:C708,0)</f>
        <v>309</v>
      </c>
      <c r="E310" s="33" t="str">
        <f>INDEX(Xtradata!G$2:G$397,$D310)</f>
        <v>N/A</v>
      </c>
      <c r="F310" s="33" t="str">
        <f>INDEX(Xtradata!H$2:H$397,$D310)</f>
        <v>N/A</v>
      </c>
      <c r="G310" s="2">
        <v>0</v>
      </c>
      <c r="H310" s="2" t="s">
        <v>581</v>
      </c>
      <c r="I310" s="2" t="s">
        <v>581</v>
      </c>
      <c r="J310" s="33" t="str">
        <f>INDEX(Xtradata!J$2:J$397,$D310)</f>
        <v>N/A</v>
      </c>
      <c r="K310" s="34" t="str">
        <f>IF(J310="TZ",INDEX(Xtradata!P$2:P$397,$D310),IF(J310="clip",INDEX(Xtradata!K$2:K$397,$D310),""))</f>
        <v/>
      </c>
      <c r="L310" s="34" t="str">
        <f>IF($J310="TZ",INDEX(Xtradata!Q$2:Q$397,$D310),IF($J310="clip",INDEX(Xtradata!L$2:L$397,$D310),""))</f>
        <v/>
      </c>
      <c r="M310" s="34" t="str">
        <f>IF($J310="TZ",INDEX(Xtradata!R$2:R$397,$D310),IF($J310="clip",INDEX(Xtradata!M$2:M$397,$D310),""))</f>
        <v/>
      </c>
      <c r="N310" s="2" t="s">
        <v>581</v>
      </c>
      <c r="O310" s="34" t="str">
        <f>INDEX(Xtradata!T$2:T$397,$D310)</f>
        <v>N/A</v>
      </c>
      <c r="P310" s="38" t="e">
        <f t="shared" si="35"/>
        <v>#VALUE!</v>
      </c>
      <c r="Q310" s="48" t="str">
        <f t="shared" si="36"/>
        <v/>
      </c>
      <c r="R310" s="48" t="str">
        <f t="shared" si="37"/>
        <v/>
      </c>
      <c r="S310" s="48" t="str">
        <f t="shared" si="42"/>
        <v/>
      </c>
      <c r="T310" s="48" t="str">
        <f t="shared" si="38"/>
        <v/>
      </c>
      <c r="U310" s="48" t="str">
        <f t="shared" si="39"/>
        <v/>
      </c>
      <c r="V310" s="48" t="str">
        <f t="shared" si="40"/>
        <v/>
      </c>
      <c r="W310" s="48">
        <f t="shared" si="41"/>
        <v>0</v>
      </c>
      <c r="X310" s="14">
        <f>MATCH(C310,'Weights and Seed Amounts'!C$2:C$400,0)</f>
        <v>309</v>
      </c>
      <c r="Y310" s="58" t="str">
        <f>INDEX('Weights and Seed Amounts'!D$2:D$400,$X310)</f>
        <v>N/A</v>
      </c>
      <c r="Z310" s="34" t="str">
        <f>INDEX(Xtradata!U$2:U$397,$D310)</f>
        <v>Sample on packing list but not included in shipment</v>
      </c>
    </row>
    <row r="311" spans="1:26" x14ac:dyDescent="0.25">
      <c r="A311" s="2" t="s">
        <v>513</v>
      </c>
      <c r="B311" s="2" t="s">
        <v>514</v>
      </c>
      <c r="C311" s="2" t="s">
        <v>515</v>
      </c>
      <c r="D311" s="32">
        <f>MATCH(Xtradata!C311,Xtradata!C$2:C709,0)</f>
        <v>310</v>
      </c>
      <c r="E311" s="33" t="str">
        <f>INDEX(Xtradata!G$2:G$397,$D311)</f>
        <v>N/A</v>
      </c>
      <c r="F311" s="33" t="str">
        <f>INDEX(Xtradata!H$2:H$397,$D311)</f>
        <v>N/A</v>
      </c>
      <c r="G311" s="2">
        <v>0</v>
      </c>
      <c r="H311" s="2" t="s">
        <v>581</v>
      </c>
      <c r="I311" s="2" t="s">
        <v>581</v>
      </c>
      <c r="J311" s="33" t="str">
        <f>INDEX(Xtradata!J$2:J$397,$D311)</f>
        <v>TZ</v>
      </c>
      <c r="K311" s="34">
        <f>IF(J311="TZ",INDEX(Xtradata!P$2:P$397,$D311),IF(J311="clip",INDEX(Xtradata!K$2:K$397,$D311),""))</f>
        <v>10</v>
      </c>
      <c r="L311" s="34">
        <f>IF($J311="TZ",INDEX(Xtradata!Q$2:Q$397,$D311),IF($J311="clip",INDEX(Xtradata!L$2:L$397,$D311),""))</f>
        <v>0</v>
      </c>
      <c r="M311" s="34">
        <f>IF($J311="TZ",INDEX(Xtradata!R$2:R$397,$D311),IF($J311="clip",INDEX(Xtradata!M$2:M$397,$D311),""))</f>
        <v>3</v>
      </c>
      <c r="N311" s="2" t="s">
        <v>581</v>
      </c>
      <c r="O311" s="34">
        <f>INDEX(Xtradata!T$2:T$397,$D311)</f>
        <v>7</v>
      </c>
      <c r="P311" s="38">
        <f t="shared" si="35"/>
        <v>0</v>
      </c>
      <c r="Q311" s="48" t="str">
        <f t="shared" si="36"/>
        <v/>
      </c>
      <c r="R311" s="48" t="str">
        <f t="shared" si="37"/>
        <v/>
      </c>
      <c r="S311" s="48" t="str">
        <f t="shared" si="42"/>
        <v/>
      </c>
      <c r="T311" s="48">
        <f t="shared" si="38"/>
        <v>0</v>
      </c>
      <c r="U311" s="48" t="str">
        <f t="shared" si="39"/>
        <v/>
      </c>
      <c r="V311" s="48">
        <f t="shared" si="40"/>
        <v>1</v>
      </c>
      <c r="W311" s="48">
        <f t="shared" si="41"/>
        <v>1</v>
      </c>
      <c r="X311" s="14">
        <f>MATCH(C311,'Weights and Seed Amounts'!C$2:C$400,0)</f>
        <v>310</v>
      </c>
      <c r="Y311" s="58">
        <f>INDEX('Weights and Seed Amounts'!D$2:D$400,$X311)</f>
        <v>7.3099999999999998E-2</v>
      </c>
      <c r="Z311" s="34" t="str">
        <f>INDEX(Xtradata!U$2:U$397,$D311)</f>
        <v>Initial TZ of ~ 10 seeds indicated no viability.  High proportion of empty seeds or embryos damaged by insect/handling. Perhaps immature. Not planted for germ assay.</v>
      </c>
    </row>
    <row r="312" spans="1:26" x14ac:dyDescent="0.25">
      <c r="A312" s="2" t="s">
        <v>513</v>
      </c>
      <c r="B312" s="2" t="s">
        <v>165</v>
      </c>
      <c r="C312" s="2" t="s">
        <v>516</v>
      </c>
      <c r="D312" s="32">
        <f>MATCH(Xtradata!C312,Xtradata!C$2:C710,0)</f>
        <v>311</v>
      </c>
      <c r="E312" s="33">
        <f>INDEX(Xtradata!G$2:G$397,$D312)</f>
        <v>44362</v>
      </c>
      <c r="F312" s="33">
        <f>INDEX(Xtradata!H$2:H$397,$D312)</f>
        <v>44424</v>
      </c>
      <c r="G312" s="41">
        <f>98+7</f>
        <v>105</v>
      </c>
      <c r="H312" s="2">
        <v>0</v>
      </c>
      <c r="I312" s="2">
        <v>0</v>
      </c>
      <c r="J312" s="33" t="str">
        <f>INDEX(Xtradata!J$2:J$397,$D312)</f>
        <v>TZ</v>
      </c>
      <c r="K312" s="34">
        <f>IF(J312="TZ",INDEX(Xtradata!P$2:P$397,$D312),IF(J312="clip",INDEX(Xtradata!K$2:K$397,$D312),""))</f>
        <v>91</v>
      </c>
      <c r="L312" s="34">
        <f>IF($J312="TZ",INDEX(Xtradata!Q$2:Q$397,$D312),IF($J312="clip",INDEX(Xtradata!L$2:L$397,$D312),""))</f>
        <v>14</v>
      </c>
      <c r="M312" s="34">
        <f>IF($J312="TZ",INDEX(Xtradata!R$2:R$397,$D312),IF($J312="clip",INDEX(Xtradata!M$2:M$397,$D312),""))</f>
        <v>77</v>
      </c>
      <c r="N312" s="2">
        <v>9</v>
      </c>
      <c r="O312" s="34">
        <f>INDEX(Xtradata!T$2:T$397,$D312)</f>
        <v>5</v>
      </c>
      <c r="P312" s="38">
        <f t="shared" si="35"/>
        <v>0</v>
      </c>
      <c r="Q312" s="48">
        <f t="shared" si="36"/>
        <v>0</v>
      </c>
      <c r="R312" s="48">
        <f t="shared" si="37"/>
        <v>0</v>
      </c>
      <c r="S312" s="48">
        <f t="shared" si="42"/>
        <v>0.13333333333333333</v>
      </c>
      <c r="T312" s="48">
        <f t="shared" si="38"/>
        <v>0.13333333333333333</v>
      </c>
      <c r="U312" s="48">
        <f t="shared" si="39"/>
        <v>8.5714285714285715E-2</v>
      </c>
      <c r="V312" s="48">
        <f t="shared" si="40"/>
        <v>0.78095238095238095</v>
      </c>
      <c r="W312" s="48">
        <f t="shared" si="41"/>
        <v>1</v>
      </c>
      <c r="X312" s="14">
        <f>MATCH(C312,'Weights and Seed Amounts'!C$2:C$400,0)</f>
        <v>311</v>
      </c>
      <c r="Y312" s="58">
        <f>INDEX('Weights and Seed Amounts'!D$2:D$400,$X312)</f>
        <v>8.3000000000000001E-3</v>
      </c>
      <c r="Z312" s="34">
        <f>INDEX(Xtradata!U$2:U$397,$D312)</f>
        <v>0</v>
      </c>
    </row>
    <row r="313" spans="1:26" x14ac:dyDescent="0.25">
      <c r="A313" s="2" t="s">
        <v>513</v>
      </c>
      <c r="B313" s="2" t="s">
        <v>165</v>
      </c>
      <c r="C313" s="2" t="s">
        <v>517</v>
      </c>
      <c r="D313" s="32">
        <f>MATCH(Xtradata!C313,Xtradata!C$2:C711,0)</f>
        <v>312</v>
      </c>
      <c r="E313" s="33">
        <f>INDEX(Xtradata!G$2:G$397,$D313)</f>
        <v>44362</v>
      </c>
      <c r="F313" s="33">
        <f>INDEX(Xtradata!H$2:H$397,$D313)</f>
        <v>44424</v>
      </c>
      <c r="G313" s="2">
        <v>100</v>
      </c>
      <c r="H313" s="2">
        <v>0</v>
      </c>
      <c r="I313" s="2">
        <v>0</v>
      </c>
      <c r="J313" s="33" t="str">
        <f>INDEX(Xtradata!J$2:J$397,$D313)</f>
        <v>TZ</v>
      </c>
      <c r="K313" s="34">
        <f>IF(J313="TZ",INDEX(Xtradata!P$2:P$397,$D313),IF(J313="clip",INDEX(Xtradata!K$2:K$397,$D313),""))</f>
        <v>94</v>
      </c>
      <c r="L313" s="34">
        <f>IF($J313="TZ",INDEX(Xtradata!Q$2:Q$397,$D313),IF($J313="clip",INDEX(Xtradata!L$2:L$397,$D313),""))</f>
        <v>10</v>
      </c>
      <c r="M313" s="34">
        <f>IF($J313="TZ",INDEX(Xtradata!R$2:R$397,$D313),IF($J313="clip",INDEX(Xtradata!M$2:M$397,$D313),""))</f>
        <v>84</v>
      </c>
      <c r="N313" s="2">
        <v>6</v>
      </c>
      <c r="O313" s="34">
        <f>INDEX(Xtradata!T$2:T$397,$D313)</f>
        <v>0</v>
      </c>
      <c r="P313" s="38">
        <f t="shared" si="35"/>
        <v>0</v>
      </c>
      <c r="Q313" s="48">
        <f t="shared" si="36"/>
        <v>0</v>
      </c>
      <c r="R313" s="48">
        <f t="shared" si="37"/>
        <v>0</v>
      </c>
      <c r="S313" s="48">
        <f t="shared" si="42"/>
        <v>0.1</v>
      </c>
      <c r="T313" s="48">
        <f t="shared" si="38"/>
        <v>0.1</v>
      </c>
      <c r="U313" s="48">
        <f t="shared" si="39"/>
        <v>0.06</v>
      </c>
      <c r="V313" s="48">
        <f t="shared" si="40"/>
        <v>0.84000000000000008</v>
      </c>
      <c r="W313" s="48">
        <f t="shared" si="41"/>
        <v>1</v>
      </c>
      <c r="X313" s="14">
        <f>MATCH(C313,'Weights and Seed Amounts'!C$2:C$400,0)</f>
        <v>312</v>
      </c>
      <c r="Y313" s="58">
        <f>INDEX('Weights and Seed Amounts'!D$2:D$400,$X313)</f>
        <v>1.01E-2</v>
      </c>
      <c r="Z313" s="34">
        <f>INDEX(Xtradata!U$2:U$397,$D313)</f>
        <v>0</v>
      </c>
    </row>
    <row r="314" spans="1:26" x14ac:dyDescent="0.25">
      <c r="A314" s="2" t="s">
        <v>513</v>
      </c>
      <c r="B314" s="2" t="s">
        <v>518</v>
      </c>
      <c r="C314" s="2" t="s">
        <v>519</v>
      </c>
      <c r="D314" s="32">
        <f>MATCH(Xtradata!C314,Xtradata!C$2:C712,0)</f>
        <v>313</v>
      </c>
      <c r="E314" s="33">
        <f>INDEX(Xtradata!G$2:G$397,$D314)</f>
        <v>44291</v>
      </c>
      <c r="F314" s="33">
        <f>INDEX(Xtradata!H$2:H$397,$D314)</f>
        <v>44356</v>
      </c>
      <c r="G314" s="2">
        <v>102</v>
      </c>
      <c r="H314" s="2">
        <v>0</v>
      </c>
      <c r="I314" s="2">
        <v>0</v>
      </c>
      <c r="J314" s="33" t="str">
        <f>INDEX(Xtradata!J$2:J$397,$D314)</f>
        <v>TZ</v>
      </c>
      <c r="K314" s="34">
        <f>IF(J314="TZ",INDEX(Xtradata!P$2:P$397,$D314),IF(J314="clip",INDEX(Xtradata!K$2:K$397,$D314),""))</f>
        <v>40</v>
      </c>
      <c r="L314" s="34">
        <f>IF($J314="TZ",INDEX(Xtradata!Q$2:Q$397,$D314),IF($J314="clip",INDEX(Xtradata!L$2:L$397,$D314),""))</f>
        <v>4</v>
      </c>
      <c r="M314" s="34">
        <f>IF($J314="TZ",INDEX(Xtradata!R$2:R$397,$D314),IF($J314="clip",INDEX(Xtradata!M$2:M$397,$D314),""))</f>
        <v>36</v>
      </c>
      <c r="N314" s="2">
        <v>62</v>
      </c>
      <c r="O314" s="34">
        <f>INDEX(Xtradata!T$2:T$397,$D314)</f>
        <v>0</v>
      </c>
      <c r="P314" s="38">
        <f t="shared" si="35"/>
        <v>0</v>
      </c>
      <c r="Q314" s="48">
        <f t="shared" si="36"/>
        <v>0</v>
      </c>
      <c r="R314" s="48">
        <f t="shared" si="37"/>
        <v>0</v>
      </c>
      <c r="S314" s="48">
        <f t="shared" si="42"/>
        <v>3.9215686274509803E-2</v>
      </c>
      <c r="T314" s="48">
        <f t="shared" si="38"/>
        <v>3.9215686274509803E-2</v>
      </c>
      <c r="U314" s="48">
        <f t="shared" si="39"/>
        <v>0.60784313725490191</v>
      </c>
      <c r="V314" s="48">
        <f t="shared" si="40"/>
        <v>0.35294117647058831</v>
      </c>
      <c r="W314" s="48">
        <f t="shared" si="41"/>
        <v>1</v>
      </c>
      <c r="X314" s="14">
        <f>MATCH(C314,'Weights and Seed Amounts'!C$2:C$400,0)</f>
        <v>313</v>
      </c>
      <c r="Y314" s="58">
        <f>INDEX('Weights and Seed Amounts'!D$2:D$400,$X314)</f>
        <v>8.2000000000000007E-3</v>
      </c>
      <c r="Z314" s="34">
        <f>INDEX(Xtradata!U$2:U$397,$D314)</f>
        <v>0</v>
      </c>
    </row>
    <row r="315" spans="1:26" x14ac:dyDescent="0.25">
      <c r="A315" s="2" t="s">
        <v>520</v>
      </c>
      <c r="B315" s="2" t="s">
        <v>521</v>
      </c>
      <c r="C315" s="2" t="s">
        <v>522</v>
      </c>
      <c r="D315" s="32">
        <f>MATCH(Xtradata!C315,Xtradata!C$2:C713,0)</f>
        <v>314</v>
      </c>
      <c r="E315" s="33">
        <f>INDEX(Xtradata!G$2:G$397,$D315)</f>
        <v>44369</v>
      </c>
      <c r="F315" s="33">
        <f>INDEX(Xtradata!H$2:H$397,$D315)</f>
        <v>44431</v>
      </c>
      <c r="G315" s="2">
        <v>100</v>
      </c>
      <c r="H315" s="2">
        <v>50</v>
      </c>
      <c r="I315" s="2">
        <v>0</v>
      </c>
      <c r="J315" s="33" t="str">
        <f>INDEX(Xtradata!J$2:J$397,$D315)</f>
        <v>TZ</v>
      </c>
      <c r="K315" s="34">
        <f>IF(J315="TZ",INDEX(Xtradata!P$2:P$397,$D315),IF(J315="clip",INDEX(Xtradata!K$2:K$397,$D315),""))</f>
        <v>17</v>
      </c>
      <c r="L315" s="34">
        <f>IF($J315="TZ",INDEX(Xtradata!Q$2:Q$397,$D315),IF($J315="clip",INDEX(Xtradata!L$2:L$397,$D315),""))</f>
        <v>16</v>
      </c>
      <c r="M315" s="34">
        <f>IF($J315="TZ",INDEX(Xtradata!R$2:R$397,$D315),IF($J315="clip",INDEX(Xtradata!M$2:M$397,$D315),""))</f>
        <v>1</v>
      </c>
      <c r="N315" s="2">
        <v>33</v>
      </c>
      <c r="O315" s="34">
        <f>INDEX(Xtradata!T$2:T$397,$D315)</f>
        <v>0</v>
      </c>
      <c r="P315" s="38">
        <f t="shared" si="35"/>
        <v>0</v>
      </c>
      <c r="Q315" s="48">
        <f t="shared" si="36"/>
        <v>0.5</v>
      </c>
      <c r="R315" s="48">
        <f t="shared" si="37"/>
        <v>0.5</v>
      </c>
      <c r="S315" s="48">
        <f t="shared" si="42"/>
        <v>0.16</v>
      </c>
      <c r="T315" s="48">
        <f t="shared" si="38"/>
        <v>0.66</v>
      </c>
      <c r="U315" s="48">
        <f t="shared" si="39"/>
        <v>0.33</v>
      </c>
      <c r="V315" s="48">
        <f t="shared" si="40"/>
        <v>9.9999999999999534E-3</v>
      </c>
      <c r="W315" s="48">
        <f t="shared" si="41"/>
        <v>1</v>
      </c>
      <c r="X315" s="14">
        <f>MATCH(C315,'Weights and Seed Amounts'!C$2:C$400,0)</f>
        <v>314</v>
      </c>
      <c r="Y315" s="58">
        <f>INDEX('Weights and Seed Amounts'!D$2:D$400,$X315)</f>
        <v>9.2299999999999993E-2</v>
      </c>
      <c r="Z315" s="34">
        <f>INDEX(Xtradata!U$2:U$397,$D315)</f>
        <v>0</v>
      </c>
    </row>
    <row r="316" spans="1:26" x14ac:dyDescent="0.25">
      <c r="A316" s="2" t="s">
        <v>520</v>
      </c>
      <c r="B316" s="2" t="s">
        <v>521</v>
      </c>
      <c r="C316" s="2" t="s">
        <v>523</v>
      </c>
      <c r="D316" s="32">
        <f>MATCH(Xtradata!C316,Xtradata!C$2:C714,0)</f>
        <v>315</v>
      </c>
      <c r="E316" s="33">
        <f>INDEX(Xtradata!G$2:G$397,$D316)</f>
        <v>44369</v>
      </c>
      <c r="F316" s="33">
        <f>INDEX(Xtradata!H$2:H$397,$D316)</f>
        <v>44431</v>
      </c>
      <c r="G316" s="2">
        <v>100</v>
      </c>
      <c r="H316" s="2">
        <v>42</v>
      </c>
      <c r="I316" s="2">
        <v>0</v>
      </c>
      <c r="J316" s="33" t="str">
        <f>INDEX(Xtradata!J$2:J$397,$D316)</f>
        <v>TZ</v>
      </c>
      <c r="K316" s="34">
        <f>IF(J316="TZ",INDEX(Xtradata!P$2:P$397,$D316),IF(J316="clip",INDEX(Xtradata!K$2:K$397,$D316),""))</f>
        <v>34</v>
      </c>
      <c r="L316" s="34">
        <f>IF($J316="TZ",INDEX(Xtradata!Q$2:Q$397,$D316),IF($J316="clip",INDEX(Xtradata!L$2:L$397,$D316),""))</f>
        <v>29</v>
      </c>
      <c r="M316" s="34">
        <f>IF($J316="TZ",INDEX(Xtradata!R$2:R$397,$D316),IF($J316="clip",INDEX(Xtradata!M$2:M$397,$D316),""))</f>
        <v>5</v>
      </c>
      <c r="N316" s="2">
        <v>24</v>
      </c>
      <c r="O316" s="34">
        <f>INDEX(Xtradata!T$2:T$397,$D316)</f>
        <v>0</v>
      </c>
      <c r="P316" s="38">
        <f t="shared" si="35"/>
        <v>0</v>
      </c>
      <c r="Q316" s="48">
        <f t="shared" si="36"/>
        <v>0.42</v>
      </c>
      <c r="R316" s="48">
        <f t="shared" si="37"/>
        <v>0.42</v>
      </c>
      <c r="S316" s="48">
        <f t="shared" si="42"/>
        <v>0.28999999999999998</v>
      </c>
      <c r="T316" s="48">
        <f t="shared" si="38"/>
        <v>0.71</v>
      </c>
      <c r="U316" s="48">
        <f t="shared" si="39"/>
        <v>0.24</v>
      </c>
      <c r="V316" s="48">
        <f t="shared" si="40"/>
        <v>5.0000000000000044E-2</v>
      </c>
      <c r="W316" s="48">
        <f t="shared" si="41"/>
        <v>1</v>
      </c>
      <c r="X316" s="14">
        <f>MATCH(C316,'Weights and Seed Amounts'!C$2:C$400,0)</f>
        <v>315</v>
      </c>
      <c r="Y316" s="58">
        <f>INDEX('Weights and Seed Amounts'!D$2:D$400,$X316)</f>
        <v>0.72199999999999998</v>
      </c>
      <c r="Z316" s="34">
        <f>INDEX(Xtradata!U$2:U$397,$D316)</f>
        <v>0</v>
      </c>
    </row>
    <row r="317" spans="1:26" x14ac:dyDescent="0.25">
      <c r="A317" s="2" t="s">
        <v>524</v>
      </c>
      <c r="B317" s="2" t="s">
        <v>4</v>
      </c>
      <c r="C317" s="2" t="s">
        <v>525</v>
      </c>
      <c r="D317" s="32">
        <f>MATCH(Xtradata!C317,Xtradata!C$2:C715,0)</f>
        <v>316</v>
      </c>
      <c r="E317" s="33">
        <f>INDEX(Xtradata!G$2:G$397,$D317)</f>
        <v>44362</v>
      </c>
      <c r="F317" s="33">
        <f>INDEX(Xtradata!H$2:H$397,$D317)</f>
        <v>44434</v>
      </c>
      <c r="G317" s="2">
        <v>100</v>
      </c>
      <c r="H317" s="2">
        <v>7</v>
      </c>
      <c r="I317" s="2">
        <v>0</v>
      </c>
      <c r="J317" s="33" t="str">
        <f>INDEX(Xtradata!J$2:J$397,$D317)</f>
        <v>N/A</v>
      </c>
      <c r="K317" s="34" t="str">
        <f>IF(J317="TZ",INDEX(Xtradata!P$2:P$397,$D317),IF(J317="clip",INDEX(Xtradata!K$2:K$397,$D317),""))</f>
        <v/>
      </c>
      <c r="L317" s="34" t="str">
        <f>IF($J317="TZ",INDEX(Xtradata!Q$2:Q$397,$D317),IF($J317="clip",INDEX(Xtradata!L$2:L$397,$D317),""))</f>
        <v/>
      </c>
      <c r="M317" s="34" t="str">
        <f>IF($J317="TZ",INDEX(Xtradata!R$2:R$397,$D317),IF($J317="clip",INDEX(Xtradata!M$2:M$397,$D317),""))</f>
        <v/>
      </c>
      <c r="N317" s="2">
        <v>93</v>
      </c>
      <c r="O317" s="34">
        <f>INDEX(Xtradata!T$2:T$397,$D317)</f>
        <v>0</v>
      </c>
      <c r="P317" s="38">
        <f t="shared" si="35"/>
        <v>0</v>
      </c>
      <c r="Q317" s="48">
        <f t="shared" si="36"/>
        <v>7.0000000000000007E-2</v>
      </c>
      <c r="R317" s="48">
        <f t="shared" si="37"/>
        <v>7.0000000000000007E-2</v>
      </c>
      <c r="S317" s="48">
        <f t="shared" si="42"/>
        <v>0</v>
      </c>
      <c r="T317" s="48">
        <f t="shared" si="38"/>
        <v>7.0000000000000007E-2</v>
      </c>
      <c r="U317" s="48">
        <f t="shared" si="39"/>
        <v>0.93</v>
      </c>
      <c r="V317" s="48">
        <f t="shared" si="40"/>
        <v>-1.1102230246251565E-16</v>
      </c>
      <c r="W317" s="48">
        <f t="shared" si="41"/>
        <v>0.99999999999999989</v>
      </c>
      <c r="X317" s="14">
        <f>MATCH(C317,'Weights and Seed Amounts'!C$2:C$400,0)</f>
        <v>316</v>
      </c>
      <c r="Y317" s="58">
        <f>INDEX('Weights and Seed Amounts'!D$2:D$400,$X317)</f>
        <v>8.09E-2</v>
      </c>
      <c r="Z317" s="34">
        <f>INDEX(Xtradata!U$2:U$397,$D317)</f>
        <v>0</v>
      </c>
    </row>
    <row r="318" spans="1:26" x14ac:dyDescent="0.25">
      <c r="A318" s="2" t="s">
        <v>524</v>
      </c>
      <c r="B318" s="2" t="s">
        <v>4</v>
      </c>
      <c r="C318" s="2" t="s">
        <v>526</v>
      </c>
      <c r="D318" s="32">
        <f>MATCH(Xtradata!C318,Xtradata!C$2:C716,0)</f>
        <v>317</v>
      </c>
      <c r="E318" s="33">
        <f>INDEX(Xtradata!G$2:G$397,$D318)</f>
        <v>44362</v>
      </c>
      <c r="F318" s="33">
        <f>INDEX(Xtradata!H$2:H$397,$D318)</f>
        <v>44434</v>
      </c>
      <c r="G318" s="2">
        <v>100</v>
      </c>
      <c r="H318" s="2">
        <v>27</v>
      </c>
      <c r="I318" s="2">
        <v>0</v>
      </c>
      <c r="J318" s="33" t="str">
        <f>INDEX(Xtradata!J$2:J$397,$D318)</f>
        <v>N/A</v>
      </c>
      <c r="K318" s="34" t="str">
        <f>IF(J318="TZ",INDEX(Xtradata!P$2:P$397,$D318),IF(J318="clip",INDEX(Xtradata!K$2:K$397,$D318),""))</f>
        <v/>
      </c>
      <c r="L318" s="34" t="str">
        <f>IF($J318="TZ",INDEX(Xtradata!Q$2:Q$397,$D318),IF($J318="clip",INDEX(Xtradata!L$2:L$397,$D318),""))</f>
        <v/>
      </c>
      <c r="M318" s="34" t="str">
        <f>IF($J318="TZ",INDEX(Xtradata!R$2:R$397,$D318),IF($J318="clip",INDEX(Xtradata!M$2:M$397,$D318),""))</f>
        <v/>
      </c>
      <c r="N318" s="2">
        <v>73</v>
      </c>
      <c r="O318" s="34">
        <f>INDEX(Xtradata!T$2:T$397,$D318)</f>
        <v>0</v>
      </c>
      <c r="P318" s="38">
        <f t="shared" si="35"/>
        <v>0</v>
      </c>
      <c r="Q318" s="48">
        <f t="shared" si="36"/>
        <v>0.27</v>
      </c>
      <c r="R318" s="48">
        <f t="shared" si="37"/>
        <v>0.27</v>
      </c>
      <c r="S318" s="48">
        <f t="shared" si="42"/>
        <v>0</v>
      </c>
      <c r="T318" s="48">
        <f t="shared" si="38"/>
        <v>0.27</v>
      </c>
      <c r="U318" s="48">
        <f t="shared" si="39"/>
        <v>0.73</v>
      </c>
      <c r="V318" s="48">
        <f t="shared" si="40"/>
        <v>0</v>
      </c>
      <c r="W318" s="48">
        <f t="shared" si="41"/>
        <v>1</v>
      </c>
      <c r="X318" s="14">
        <f>MATCH(C318,'Weights and Seed Amounts'!C$2:C$400,0)</f>
        <v>317</v>
      </c>
      <c r="Y318" s="58">
        <f>INDEX('Weights and Seed Amounts'!D$2:D$400,$X318)</f>
        <v>7.9799999999999996E-2</v>
      </c>
      <c r="Z318" s="34">
        <f>INDEX(Xtradata!U$2:U$397,$D318)</f>
        <v>0</v>
      </c>
    </row>
    <row r="319" spans="1:26" x14ac:dyDescent="0.25">
      <c r="A319" s="2" t="s">
        <v>527</v>
      </c>
      <c r="B319" s="2" t="s">
        <v>528</v>
      </c>
      <c r="C319" s="2" t="s">
        <v>529</v>
      </c>
      <c r="D319" s="32">
        <f>MATCH(Xtradata!C319,Xtradata!C$2:C717,0)</f>
        <v>318</v>
      </c>
      <c r="E319" s="33" t="str">
        <f>INDEX(Xtradata!G$2:G$397,$D319)</f>
        <v>N/A</v>
      </c>
      <c r="F319" s="33" t="str">
        <f>INDEX(Xtradata!H$2:H$397,$D319)</f>
        <v>N/A</v>
      </c>
      <c r="G319" s="2">
        <v>0</v>
      </c>
      <c r="H319" s="2" t="s">
        <v>581</v>
      </c>
      <c r="I319" s="2" t="s">
        <v>581</v>
      </c>
      <c r="J319" s="33" t="str">
        <f>INDEX(Xtradata!J$2:J$397,$D319)</f>
        <v>TZ</v>
      </c>
      <c r="K319" s="34">
        <f>IF(J319="TZ",INDEX(Xtradata!P$2:P$397,$D319),IF(J319="clip",INDEX(Xtradata!K$2:K$397,$D319),""))</f>
        <v>10</v>
      </c>
      <c r="L319" s="34">
        <f>IF($J319="TZ",INDEX(Xtradata!Q$2:Q$397,$D319),IF($J319="clip",INDEX(Xtradata!L$2:L$397,$D319),""))</f>
        <v>0</v>
      </c>
      <c r="M319" s="34">
        <f>IF($J319="TZ",INDEX(Xtradata!R$2:R$397,$D319),IF($J319="clip",INDEX(Xtradata!M$2:M$397,$D319),""))</f>
        <v>2</v>
      </c>
      <c r="N319" s="2" t="s">
        <v>581</v>
      </c>
      <c r="O319" s="34">
        <f>INDEX(Xtradata!T$2:T$397,$D319)</f>
        <v>8</v>
      </c>
      <c r="P319" s="38">
        <f t="shared" si="35"/>
        <v>0</v>
      </c>
      <c r="Q319" s="48" t="str">
        <f t="shared" si="36"/>
        <v/>
      </c>
      <c r="R319" s="48" t="str">
        <f t="shared" si="37"/>
        <v/>
      </c>
      <c r="S319" s="48" t="str">
        <f t="shared" si="42"/>
        <v/>
      </c>
      <c r="T319" s="48">
        <f t="shared" si="38"/>
        <v>0</v>
      </c>
      <c r="U319" s="48" t="str">
        <f t="shared" si="39"/>
        <v/>
      </c>
      <c r="V319" s="48">
        <f t="shared" si="40"/>
        <v>1</v>
      </c>
      <c r="W319" s="48">
        <f t="shared" si="41"/>
        <v>1</v>
      </c>
      <c r="X319" s="14">
        <f>MATCH(C319,'Weights and Seed Amounts'!C$2:C$400,0)</f>
        <v>318</v>
      </c>
      <c r="Y319" s="58">
        <f>INDEX('Weights and Seed Amounts'!D$2:D$400,$X319)</f>
        <v>7.4287999999999998</v>
      </c>
      <c r="Z319" s="34" t="str">
        <f>INDEX(Xtradata!U$2:U$397,$D319)</f>
        <v>Initial TZ of ~ 10 seeds indicated no viability.  High proportion of empty seeds or embryos damaged by insect/handling. Perhaps immature. Not planted for germ assay.</v>
      </c>
    </row>
    <row r="320" spans="1:26" x14ac:dyDescent="0.25">
      <c r="A320" s="2" t="s">
        <v>530</v>
      </c>
      <c r="B320" s="2" t="s">
        <v>218</v>
      </c>
      <c r="C320" s="2" t="s">
        <v>531</v>
      </c>
      <c r="D320" s="32">
        <f>MATCH(Xtradata!C320,Xtradata!C$2:C718,0)</f>
        <v>319</v>
      </c>
      <c r="E320" s="33" t="str">
        <f>INDEX(Xtradata!G$2:G$397,$D320)</f>
        <v>N/A</v>
      </c>
      <c r="F320" s="33" t="str">
        <f>INDEX(Xtradata!H$2:H$397,$D320)</f>
        <v>N/A</v>
      </c>
      <c r="G320" s="2">
        <v>0</v>
      </c>
      <c r="H320" s="2" t="s">
        <v>581</v>
      </c>
      <c r="I320" s="2" t="s">
        <v>581</v>
      </c>
      <c r="J320" s="33" t="str">
        <f>INDEX(Xtradata!J$2:J$397,$D320)</f>
        <v>TZ</v>
      </c>
      <c r="K320" s="34">
        <f>IF(J320="TZ",INDEX(Xtradata!P$2:P$397,$D320),IF(J320="clip",INDEX(Xtradata!K$2:K$397,$D320),""))</f>
        <v>12</v>
      </c>
      <c r="L320" s="34">
        <f>IF($J320="TZ",INDEX(Xtradata!Q$2:Q$397,$D320),IF($J320="clip",INDEX(Xtradata!L$2:L$397,$D320),""))</f>
        <v>0</v>
      </c>
      <c r="M320" s="34">
        <f>IF($J320="TZ",INDEX(Xtradata!R$2:R$397,$D320),IF($J320="clip",INDEX(Xtradata!M$2:M$397,$D320),""))</f>
        <v>1</v>
      </c>
      <c r="N320" s="2" t="s">
        <v>581</v>
      </c>
      <c r="O320" s="34">
        <f>INDEX(Xtradata!T$2:T$397,$D320)</f>
        <v>11</v>
      </c>
      <c r="P320" s="38">
        <f t="shared" si="35"/>
        <v>0</v>
      </c>
      <c r="Q320" s="48" t="str">
        <f t="shared" si="36"/>
        <v/>
      </c>
      <c r="R320" s="48" t="str">
        <f t="shared" si="37"/>
        <v/>
      </c>
      <c r="S320" s="48" t="str">
        <f t="shared" si="42"/>
        <v/>
      </c>
      <c r="T320" s="48">
        <f t="shared" si="38"/>
        <v>0</v>
      </c>
      <c r="U320" s="48" t="str">
        <f t="shared" si="39"/>
        <v/>
      </c>
      <c r="V320" s="48">
        <f t="shared" si="40"/>
        <v>1</v>
      </c>
      <c r="W320" s="48">
        <f t="shared" si="41"/>
        <v>1</v>
      </c>
      <c r="X320" s="14">
        <f>MATCH(C320,'Weights and Seed Amounts'!C$2:C$400,0)</f>
        <v>319</v>
      </c>
      <c r="Y320" s="58">
        <f>INDEX('Weights and Seed Amounts'!D$2:D$400,$X320)</f>
        <v>7.4287999999999998</v>
      </c>
      <c r="Z320" s="34" t="str">
        <f>INDEX(Xtradata!U$2:U$397,$D320)</f>
        <v>Initial TZ of ~ 10 seeds indicated no viability.  High proportion of empty seeds or embryos damaged by insect/handling. Perhaps immature. Not planted for germ assay.</v>
      </c>
    </row>
    <row r="321" spans="1:26" x14ac:dyDescent="0.25">
      <c r="A321" s="2" t="s">
        <v>532</v>
      </c>
      <c r="B321" s="2" t="s">
        <v>288</v>
      </c>
      <c r="C321" s="2" t="s">
        <v>533</v>
      </c>
      <c r="D321" s="32">
        <f>MATCH(Xtradata!C321,Xtradata!C$2:C719,0)</f>
        <v>320</v>
      </c>
      <c r="E321" s="33">
        <f>INDEX(Xtradata!G$2:G$397,$D321)</f>
        <v>44344</v>
      </c>
      <c r="F321" s="33">
        <f>INDEX(Xtradata!H$2:H$397,$D321)</f>
        <v>44406</v>
      </c>
      <c r="G321" s="2">
        <v>100</v>
      </c>
      <c r="H321" s="2">
        <v>40</v>
      </c>
      <c r="I321" s="2">
        <v>0</v>
      </c>
      <c r="J321" s="33" t="str">
        <f>INDEX(Xtradata!J$2:J$397,$D321)</f>
        <v>TZ</v>
      </c>
      <c r="K321" s="34">
        <f>IF(J321="TZ",INDEX(Xtradata!P$2:P$397,$D321),IF(J321="clip",INDEX(Xtradata!K$2:K$397,$D321),""))</f>
        <v>60</v>
      </c>
      <c r="L321" s="34">
        <f>IF($J321="TZ",INDEX(Xtradata!Q$2:Q$397,$D321),IF($J321="clip",INDEX(Xtradata!L$2:L$397,$D321),""))</f>
        <v>22</v>
      </c>
      <c r="M321" s="34">
        <f>IF($J321="TZ",INDEX(Xtradata!R$2:R$397,$D321),IF($J321="clip",INDEX(Xtradata!M$2:M$397,$D321),""))</f>
        <v>38</v>
      </c>
      <c r="N321" s="2">
        <v>0</v>
      </c>
      <c r="O321" s="34">
        <f>INDEX(Xtradata!T$2:T$397,$D321)</f>
        <v>0</v>
      </c>
      <c r="P321" s="38">
        <f t="shared" si="35"/>
        <v>0</v>
      </c>
      <c r="Q321" s="48">
        <f t="shared" si="36"/>
        <v>0.4</v>
      </c>
      <c r="R321" s="48">
        <f t="shared" si="37"/>
        <v>0.4</v>
      </c>
      <c r="S321" s="48">
        <f t="shared" si="42"/>
        <v>0.22</v>
      </c>
      <c r="T321" s="48">
        <f t="shared" si="38"/>
        <v>0.62</v>
      </c>
      <c r="U321" s="48">
        <f t="shared" si="39"/>
        <v>0</v>
      </c>
      <c r="V321" s="48">
        <f t="shared" si="40"/>
        <v>0.38</v>
      </c>
      <c r="W321" s="48">
        <f t="shared" si="41"/>
        <v>1</v>
      </c>
      <c r="X321" s="14">
        <f>MATCH(C321,'Weights and Seed Amounts'!C$2:C$400,0)</f>
        <v>320</v>
      </c>
      <c r="Y321" s="58">
        <f>INDEX('Weights and Seed Amounts'!D$2:D$400,$X321)</f>
        <v>2.4E-2</v>
      </c>
      <c r="Z321" s="34">
        <f>INDEX(Xtradata!U$2:U$397,$D321)</f>
        <v>0</v>
      </c>
    </row>
    <row r="322" spans="1:26" x14ac:dyDescent="0.25">
      <c r="A322" s="2" t="s">
        <v>532</v>
      </c>
      <c r="B322" s="2" t="s">
        <v>288</v>
      </c>
      <c r="C322" s="2" t="s">
        <v>534</v>
      </c>
      <c r="D322" s="32">
        <f>MATCH(Xtradata!C322,Xtradata!C$2:C720,0)</f>
        <v>321</v>
      </c>
      <c r="E322" s="33">
        <f>INDEX(Xtradata!G$2:G$397,$D322)</f>
        <v>44344</v>
      </c>
      <c r="F322" s="33">
        <f>INDEX(Xtradata!H$2:H$397,$D322)</f>
        <v>44406</v>
      </c>
      <c r="G322" s="2">
        <v>100</v>
      </c>
      <c r="H322" s="2">
        <v>6</v>
      </c>
      <c r="I322" s="2">
        <v>0</v>
      </c>
      <c r="J322" s="33" t="str">
        <f>INDEX(Xtradata!J$2:J$397,$D322)</f>
        <v>TZ</v>
      </c>
      <c r="K322" s="34">
        <f>IF(J322="TZ",INDEX(Xtradata!P$2:P$397,$D322),IF(J322="clip",INDEX(Xtradata!K$2:K$397,$D322),""))</f>
        <v>94</v>
      </c>
      <c r="L322" s="34">
        <f>IF($J322="TZ",INDEX(Xtradata!Q$2:Q$397,$D322),IF($J322="clip",INDEX(Xtradata!L$2:L$397,$D322),""))</f>
        <v>13</v>
      </c>
      <c r="M322" s="34">
        <f>IF($J322="TZ",INDEX(Xtradata!R$2:R$397,$D322),IF($J322="clip",INDEX(Xtradata!M$2:M$397,$D322),""))</f>
        <v>81</v>
      </c>
      <c r="N322" s="2">
        <v>0</v>
      </c>
      <c r="O322" s="34">
        <f>INDEX(Xtradata!T$2:T$397,$D322)</f>
        <v>0</v>
      </c>
      <c r="P322" s="38">
        <f t="shared" si="35"/>
        <v>0</v>
      </c>
      <c r="Q322" s="48">
        <f t="shared" si="36"/>
        <v>0.06</v>
      </c>
      <c r="R322" s="48">
        <f t="shared" si="37"/>
        <v>0.06</v>
      </c>
      <c r="S322" s="48">
        <f t="shared" si="42"/>
        <v>0.13</v>
      </c>
      <c r="T322" s="48">
        <f t="shared" si="38"/>
        <v>0.19</v>
      </c>
      <c r="U322" s="48">
        <f t="shared" si="39"/>
        <v>0</v>
      </c>
      <c r="V322" s="48">
        <f t="shared" si="40"/>
        <v>0.81</v>
      </c>
      <c r="W322" s="48">
        <f t="shared" si="41"/>
        <v>1</v>
      </c>
      <c r="X322" s="14">
        <f>MATCH(C322,'Weights and Seed Amounts'!C$2:C$400,0)</f>
        <v>321</v>
      </c>
      <c r="Y322" s="58">
        <f>INDEX('Weights and Seed Amounts'!D$2:D$400,$X322)</f>
        <v>2.58E-2</v>
      </c>
      <c r="Z322" s="34">
        <f>INDEX(Xtradata!U$2:U$397,$D322)</f>
        <v>0</v>
      </c>
    </row>
    <row r="323" spans="1:26" x14ac:dyDescent="0.25">
      <c r="A323" s="2" t="s">
        <v>532</v>
      </c>
      <c r="B323" s="2" t="s">
        <v>288</v>
      </c>
      <c r="C323" s="2" t="s">
        <v>535</v>
      </c>
      <c r="D323" s="32">
        <f>MATCH(Xtradata!C323,Xtradata!C$2:C721,0)</f>
        <v>322</v>
      </c>
      <c r="E323" s="33">
        <f>INDEX(Xtradata!G$2:G$397,$D323)</f>
        <v>44344</v>
      </c>
      <c r="F323" s="33">
        <f>INDEX(Xtradata!H$2:H$397,$D323)</f>
        <v>44406</v>
      </c>
      <c r="G323" s="2">
        <v>100</v>
      </c>
      <c r="H323" s="2">
        <v>79</v>
      </c>
      <c r="I323" s="2">
        <v>0</v>
      </c>
      <c r="J323" s="33" t="str">
        <f>INDEX(Xtradata!J$2:J$397,$D323)</f>
        <v>TZ</v>
      </c>
      <c r="K323" s="34">
        <f>IF(J323="TZ",INDEX(Xtradata!P$2:P$397,$D323),IF(J323="clip",INDEX(Xtradata!K$2:K$397,$D323),""))</f>
        <v>21</v>
      </c>
      <c r="L323" s="34">
        <f>IF($J323="TZ",INDEX(Xtradata!Q$2:Q$397,$D323),IF($J323="clip",INDEX(Xtradata!L$2:L$397,$D323),""))</f>
        <v>6</v>
      </c>
      <c r="M323" s="34">
        <f>IF($J323="TZ",INDEX(Xtradata!R$2:R$397,$D323),IF($J323="clip",INDEX(Xtradata!M$2:M$397,$D323),""))</f>
        <v>15</v>
      </c>
      <c r="N323" s="2">
        <v>0</v>
      </c>
      <c r="O323" s="34">
        <f>INDEX(Xtradata!T$2:T$397,$D323)</f>
        <v>0</v>
      </c>
      <c r="P323" s="38">
        <f t="shared" ref="P323:P354" si="43">IF(G323=0,K323-SUM(L323,M323,N323,O323),G323-SUM(H323,I323,L323,M323,N323,O323))</f>
        <v>0</v>
      </c>
      <c r="Q323" s="48">
        <f t="shared" ref="Q323:Q354" si="44">IF($G323=0,"",H323/$G323)</f>
        <v>0.79</v>
      </c>
      <c r="R323" s="48">
        <f t="shared" ref="R323:R354" si="45">IF($G323=0,"",IF(J323="clip",(H323+I323+L323)/$G323,(H323+I323)/$G323))</f>
        <v>0.79</v>
      </c>
      <c r="S323" s="48">
        <f t="shared" si="42"/>
        <v>0.06</v>
      </c>
      <c r="T323" s="48">
        <f t="shared" ref="T323:T354" si="46">IF($G323=0,IF(J323="TZ",(L323)/$K323,""),IF(J323="N/A",(H323+I323)/$G323, (H323+I323+L323)/$G323))</f>
        <v>0.85</v>
      </c>
      <c r="U323" s="48">
        <f t="shared" ref="U323:U354" si="47">IFERROR(N323/G323,IFERROR(N323/K323,""))</f>
        <v>0</v>
      </c>
      <c r="V323" s="48">
        <f t="shared" ref="V323:V354" si="48">IFERROR(1-T323-U323,IFERROR(1-T323,""))</f>
        <v>0.15000000000000002</v>
      </c>
      <c r="W323" s="48">
        <f t="shared" si="41"/>
        <v>1</v>
      </c>
      <c r="X323" s="14">
        <f>MATCH(C323,'Weights and Seed Amounts'!C$2:C$400,0)</f>
        <v>322</v>
      </c>
      <c r="Y323" s="58">
        <f>INDEX('Weights and Seed Amounts'!D$2:D$400,$X323)</f>
        <v>1.7999999999999999E-2</v>
      </c>
      <c r="Z323" s="34">
        <f>INDEX(Xtradata!U$2:U$397,$D323)</f>
        <v>0</v>
      </c>
    </row>
    <row r="324" spans="1:26" x14ac:dyDescent="0.25">
      <c r="A324" s="2" t="s">
        <v>532</v>
      </c>
      <c r="B324" s="2" t="s">
        <v>288</v>
      </c>
      <c r="C324" s="2" t="s">
        <v>536</v>
      </c>
      <c r="D324" s="32">
        <f>MATCH(Xtradata!C324,Xtradata!C$2:C722,0)</f>
        <v>323</v>
      </c>
      <c r="E324" s="33">
        <f>INDEX(Xtradata!G$2:G$397,$D324)</f>
        <v>44344</v>
      </c>
      <c r="F324" s="33">
        <f>INDEX(Xtradata!H$2:H$397,$D324)</f>
        <v>44406</v>
      </c>
      <c r="G324" s="2">
        <v>100</v>
      </c>
      <c r="H324" s="2">
        <v>13</v>
      </c>
      <c r="I324" s="2">
        <v>0</v>
      </c>
      <c r="J324" s="33" t="str">
        <f>INDEX(Xtradata!J$2:J$397,$D324)</f>
        <v>TZ</v>
      </c>
      <c r="K324" s="34">
        <f>IF(J324="TZ",INDEX(Xtradata!P$2:P$397,$D324),IF(J324="clip",INDEX(Xtradata!K$2:K$397,$D324),""))</f>
        <v>87</v>
      </c>
      <c r="L324" s="34">
        <f>IF($J324="TZ",INDEX(Xtradata!Q$2:Q$397,$D324),IF($J324="clip",INDEX(Xtradata!L$2:L$397,$D324),""))</f>
        <v>29</v>
      </c>
      <c r="M324" s="34">
        <f>IF($J324="TZ",INDEX(Xtradata!R$2:R$397,$D324),IF($J324="clip",INDEX(Xtradata!M$2:M$397,$D324),""))</f>
        <v>58</v>
      </c>
      <c r="N324" s="2">
        <v>0</v>
      </c>
      <c r="O324" s="34">
        <f>INDEX(Xtradata!T$2:T$397,$D324)</f>
        <v>0</v>
      </c>
      <c r="P324" s="38">
        <f t="shared" si="43"/>
        <v>0</v>
      </c>
      <c r="Q324" s="48">
        <f t="shared" si="44"/>
        <v>0.13</v>
      </c>
      <c r="R324" s="48">
        <f t="shared" si="45"/>
        <v>0.13</v>
      </c>
      <c r="S324" s="48">
        <f t="shared" si="42"/>
        <v>0.28999999999999998</v>
      </c>
      <c r="T324" s="48">
        <f t="shared" si="46"/>
        <v>0.42</v>
      </c>
      <c r="U324" s="48">
        <f t="shared" si="47"/>
        <v>0</v>
      </c>
      <c r="V324" s="48">
        <f t="shared" si="48"/>
        <v>0.58000000000000007</v>
      </c>
      <c r="W324" s="48">
        <f t="shared" si="41"/>
        <v>1</v>
      </c>
      <c r="X324" s="14">
        <f>MATCH(C324,'Weights and Seed Amounts'!C$2:C$400,0)</f>
        <v>323</v>
      </c>
      <c r="Y324" s="58">
        <f>INDEX('Weights and Seed Amounts'!D$2:D$400,$X324)</f>
        <v>1.12E-2</v>
      </c>
      <c r="Z324" s="34">
        <f>INDEX(Xtradata!U$2:U$397,$D324)</f>
        <v>0</v>
      </c>
    </row>
    <row r="325" spans="1:26" x14ac:dyDescent="0.25">
      <c r="A325" s="2" t="s">
        <v>532</v>
      </c>
      <c r="B325" s="2" t="s">
        <v>288</v>
      </c>
      <c r="C325" s="2" t="s">
        <v>537</v>
      </c>
      <c r="D325" s="32">
        <f>MATCH(Xtradata!C325,Xtradata!C$2:C723,0)</f>
        <v>324</v>
      </c>
      <c r="E325" s="33">
        <f>INDEX(Xtradata!G$2:G$397,$D325)</f>
        <v>44344</v>
      </c>
      <c r="F325" s="33">
        <f>INDEX(Xtradata!H$2:H$397,$D325)</f>
        <v>44406</v>
      </c>
      <c r="G325" s="2">
        <v>100</v>
      </c>
      <c r="H325" s="2">
        <v>20</v>
      </c>
      <c r="I325" s="2">
        <v>0</v>
      </c>
      <c r="J325" s="33" t="str">
        <f>INDEX(Xtradata!J$2:J$397,$D325)</f>
        <v>TZ</v>
      </c>
      <c r="K325" s="34">
        <f>IF(J325="TZ",INDEX(Xtradata!P$2:P$397,$D325),IF(J325="clip",INDEX(Xtradata!K$2:K$397,$D325),""))</f>
        <v>80</v>
      </c>
      <c r="L325" s="34">
        <f>IF($J325="TZ",INDEX(Xtradata!Q$2:Q$397,$D325),IF($J325="clip",INDEX(Xtradata!L$2:L$397,$D325),""))</f>
        <v>26</v>
      </c>
      <c r="M325" s="34">
        <f>IF($J325="TZ",INDEX(Xtradata!R$2:R$397,$D325),IF($J325="clip",INDEX(Xtradata!M$2:M$397,$D325),""))</f>
        <v>54</v>
      </c>
      <c r="N325" s="2">
        <v>0</v>
      </c>
      <c r="O325" s="34">
        <f>INDEX(Xtradata!T$2:T$397,$D325)</f>
        <v>0</v>
      </c>
      <c r="P325" s="38">
        <f t="shared" si="43"/>
        <v>0</v>
      </c>
      <c r="Q325" s="48">
        <f t="shared" si="44"/>
        <v>0.2</v>
      </c>
      <c r="R325" s="48">
        <f t="shared" si="45"/>
        <v>0.2</v>
      </c>
      <c r="S325" s="48">
        <f t="shared" si="42"/>
        <v>0.26</v>
      </c>
      <c r="T325" s="48">
        <f t="shared" si="46"/>
        <v>0.46</v>
      </c>
      <c r="U325" s="48">
        <f t="shared" si="47"/>
        <v>0</v>
      </c>
      <c r="V325" s="48">
        <f t="shared" si="48"/>
        <v>0.54</v>
      </c>
      <c r="W325" s="48">
        <f t="shared" ref="W325:W354" si="49">SUM(R325,S325,U325,V325)</f>
        <v>1</v>
      </c>
      <c r="X325" s="14">
        <f>MATCH(C325,'Weights and Seed Amounts'!C$2:C$400,0)</f>
        <v>324</v>
      </c>
      <c r="Y325" s="58">
        <f>INDEX('Weights and Seed Amounts'!D$2:D$400,$X325)</f>
        <v>1.9400000000000001E-2</v>
      </c>
      <c r="Z325" s="34">
        <f>INDEX(Xtradata!U$2:U$397,$D325)</f>
        <v>0</v>
      </c>
    </row>
    <row r="326" spans="1:26" x14ac:dyDescent="0.25">
      <c r="A326" s="2" t="s">
        <v>532</v>
      </c>
      <c r="B326" s="2" t="s">
        <v>288</v>
      </c>
      <c r="C326" s="2" t="s">
        <v>538</v>
      </c>
      <c r="D326" s="32">
        <f>MATCH(Xtradata!C326,Xtradata!C$2:C724,0)</f>
        <v>325</v>
      </c>
      <c r="E326" s="33">
        <f>INDEX(Xtradata!G$2:G$397,$D326)</f>
        <v>44344</v>
      </c>
      <c r="F326" s="33">
        <f>INDEX(Xtradata!H$2:H$397,$D326)</f>
        <v>44406</v>
      </c>
      <c r="G326" s="2">
        <v>100</v>
      </c>
      <c r="H326" s="2">
        <v>69</v>
      </c>
      <c r="I326" s="2">
        <v>0</v>
      </c>
      <c r="J326" s="33" t="str">
        <f>INDEX(Xtradata!J$2:J$397,$D326)</f>
        <v>TZ</v>
      </c>
      <c r="K326" s="34">
        <f>IF(J326="TZ",INDEX(Xtradata!P$2:P$397,$D326),IF(J326="clip",INDEX(Xtradata!K$2:K$397,$D326),""))</f>
        <v>31</v>
      </c>
      <c r="L326" s="34">
        <f>IF($J326="TZ",INDEX(Xtradata!Q$2:Q$397,$D326),IF($J326="clip",INDEX(Xtradata!L$2:L$397,$D326),""))</f>
        <v>13</v>
      </c>
      <c r="M326" s="34">
        <f>IF($J326="TZ",INDEX(Xtradata!R$2:R$397,$D326),IF($J326="clip",INDEX(Xtradata!M$2:M$397,$D326),""))</f>
        <v>18</v>
      </c>
      <c r="N326" s="2">
        <v>0</v>
      </c>
      <c r="O326" s="34">
        <f>INDEX(Xtradata!T$2:T$397,$D326)</f>
        <v>0</v>
      </c>
      <c r="P326" s="38">
        <f t="shared" si="43"/>
        <v>0</v>
      </c>
      <c r="Q326" s="48">
        <f t="shared" si="44"/>
        <v>0.69</v>
      </c>
      <c r="R326" s="48">
        <f t="shared" si="45"/>
        <v>0.69</v>
      </c>
      <c r="S326" s="48">
        <f t="shared" si="42"/>
        <v>0.13</v>
      </c>
      <c r="T326" s="48">
        <f t="shared" si="46"/>
        <v>0.82</v>
      </c>
      <c r="U326" s="48">
        <f t="shared" si="47"/>
        <v>0</v>
      </c>
      <c r="V326" s="48">
        <f t="shared" si="48"/>
        <v>0.18000000000000005</v>
      </c>
      <c r="W326" s="48">
        <f t="shared" si="49"/>
        <v>1</v>
      </c>
      <c r="X326" s="14">
        <f>MATCH(C326,'Weights and Seed Amounts'!C$2:C$400,0)</f>
        <v>325</v>
      </c>
      <c r="Y326" s="58">
        <f>INDEX('Weights and Seed Amounts'!D$2:D$400,$X326)</f>
        <v>2.6100000000000002E-2</v>
      </c>
      <c r="Z326" s="34">
        <f>INDEX(Xtradata!U$2:U$397,$D326)</f>
        <v>0</v>
      </c>
    </row>
    <row r="327" spans="1:26" x14ac:dyDescent="0.25">
      <c r="A327" s="2" t="s">
        <v>532</v>
      </c>
      <c r="B327" s="2" t="s">
        <v>288</v>
      </c>
      <c r="C327" s="2" t="s">
        <v>539</v>
      </c>
      <c r="D327" s="32">
        <f>MATCH(Xtradata!C327,Xtradata!C$2:C725,0)</f>
        <v>326</v>
      </c>
      <c r="E327" s="33">
        <f>INDEX(Xtradata!G$2:G$397,$D327)</f>
        <v>44344</v>
      </c>
      <c r="F327" s="33">
        <f>INDEX(Xtradata!H$2:H$397,$D327)</f>
        <v>44406</v>
      </c>
      <c r="G327" s="2">
        <v>100</v>
      </c>
      <c r="H327" s="2">
        <v>9</v>
      </c>
      <c r="I327" s="2">
        <v>0</v>
      </c>
      <c r="J327" s="33" t="str">
        <f>INDEX(Xtradata!J$2:J$397,$D327)</f>
        <v>TZ</v>
      </c>
      <c r="K327" s="34">
        <f>IF(J327="TZ",INDEX(Xtradata!P$2:P$397,$D327),IF(J327="clip",INDEX(Xtradata!K$2:K$397,$D327),""))</f>
        <v>91</v>
      </c>
      <c r="L327" s="34">
        <f>IF($J327="TZ",INDEX(Xtradata!Q$2:Q$397,$D327),IF($J327="clip",INDEX(Xtradata!L$2:L$397,$D327),""))</f>
        <v>25</v>
      </c>
      <c r="M327" s="34">
        <f>IF($J327="TZ",INDEX(Xtradata!R$2:R$397,$D327),IF($J327="clip",INDEX(Xtradata!M$2:M$397,$D327),""))</f>
        <v>66</v>
      </c>
      <c r="N327" s="2">
        <v>0</v>
      </c>
      <c r="O327" s="34">
        <f>INDEX(Xtradata!T$2:T$397,$D327)</f>
        <v>0</v>
      </c>
      <c r="P327" s="38">
        <f t="shared" si="43"/>
        <v>0</v>
      </c>
      <c r="Q327" s="48">
        <f t="shared" si="44"/>
        <v>0.09</v>
      </c>
      <c r="R327" s="48">
        <f t="shared" si="45"/>
        <v>0.09</v>
      </c>
      <c r="S327" s="48">
        <f t="shared" si="42"/>
        <v>0.25</v>
      </c>
      <c r="T327" s="48">
        <f t="shared" si="46"/>
        <v>0.34</v>
      </c>
      <c r="U327" s="48">
        <f t="shared" si="47"/>
        <v>0</v>
      </c>
      <c r="V327" s="48">
        <f t="shared" si="48"/>
        <v>0.65999999999999992</v>
      </c>
      <c r="W327" s="48">
        <f t="shared" si="49"/>
        <v>0.99999999999999989</v>
      </c>
      <c r="X327" s="14">
        <f>MATCH(C327,'Weights and Seed Amounts'!C$2:C$400,0)</f>
        <v>326</v>
      </c>
      <c r="Y327" s="58">
        <f>INDEX('Weights and Seed Amounts'!D$2:D$400,$X327)</f>
        <v>1.9400000000000001E-2</v>
      </c>
      <c r="Z327" s="34">
        <f>INDEX(Xtradata!U$2:U$397,$D327)</f>
        <v>0</v>
      </c>
    </row>
    <row r="328" spans="1:26" x14ac:dyDescent="0.25">
      <c r="A328" s="2" t="s">
        <v>532</v>
      </c>
      <c r="B328" s="2" t="s">
        <v>288</v>
      </c>
      <c r="C328" s="2" t="s">
        <v>540</v>
      </c>
      <c r="D328" s="32">
        <f>MATCH(Xtradata!C328,Xtradata!C$2:C726,0)</f>
        <v>327</v>
      </c>
      <c r="E328" s="33">
        <f>INDEX(Xtradata!G$2:G$397,$D328)</f>
        <v>44344</v>
      </c>
      <c r="F328" s="33">
        <f>INDEX(Xtradata!H$2:H$397,$D328)</f>
        <v>44406</v>
      </c>
      <c r="G328" s="2">
        <v>100</v>
      </c>
      <c r="H328" s="2">
        <v>30</v>
      </c>
      <c r="I328" s="2">
        <v>0</v>
      </c>
      <c r="J328" s="33" t="str">
        <f>INDEX(Xtradata!J$2:J$397,$D328)</f>
        <v>TZ</v>
      </c>
      <c r="K328" s="34">
        <f>IF(J328="TZ",INDEX(Xtradata!P$2:P$397,$D328),IF(J328="clip",INDEX(Xtradata!K$2:K$397,$D328),""))</f>
        <v>70</v>
      </c>
      <c r="L328" s="34">
        <f>IF($J328="TZ",INDEX(Xtradata!Q$2:Q$397,$D328),IF($J328="clip",INDEX(Xtradata!L$2:L$397,$D328),""))</f>
        <v>19</v>
      </c>
      <c r="M328" s="34">
        <f>IF($J328="TZ",INDEX(Xtradata!R$2:R$397,$D328),IF($J328="clip",INDEX(Xtradata!M$2:M$397,$D328),""))</f>
        <v>51</v>
      </c>
      <c r="N328" s="2">
        <v>0</v>
      </c>
      <c r="O328" s="34">
        <f>INDEX(Xtradata!T$2:T$397,$D328)</f>
        <v>0</v>
      </c>
      <c r="P328" s="38">
        <f t="shared" si="43"/>
        <v>0</v>
      </c>
      <c r="Q328" s="48">
        <f t="shared" si="44"/>
        <v>0.3</v>
      </c>
      <c r="R328" s="48">
        <f t="shared" si="45"/>
        <v>0.3</v>
      </c>
      <c r="S328" s="48">
        <f t="shared" ref="S328:S354" si="50">IF($G328=0,"",IF(J328="N/A",0,L328/$G328))</f>
        <v>0.19</v>
      </c>
      <c r="T328" s="48">
        <f t="shared" si="46"/>
        <v>0.49</v>
      </c>
      <c r="U328" s="48">
        <f t="shared" si="47"/>
        <v>0</v>
      </c>
      <c r="V328" s="48">
        <f t="shared" si="48"/>
        <v>0.51</v>
      </c>
      <c r="W328" s="48">
        <f t="shared" si="49"/>
        <v>1</v>
      </c>
      <c r="X328" s="14">
        <f>MATCH(C328,'Weights and Seed Amounts'!C$2:C$400,0)</f>
        <v>327</v>
      </c>
      <c r="Y328" s="58">
        <f>INDEX('Weights and Seed Amounts'!D$2:D$400,$X328)</f>
        <v>2.3400000000000001E-2</v>
      </c>
      <c r="Z328" s="34">
        <f>INDEX(Xtradata!U$2:U$397,$D328)</f>
        <v>0</v>
      </c>
    </row>
    <row r="329" spans="1:26" x14ac:dyDescent="0.25">
      <c r="A329" s="2" t="s">
        <v>532</v>
      </c>
      <c r="B329" s="2" t="s">
        <v>288</v>
      </c>
      <c r="C329" s="2" t="s">
        <v>541</v>
      </c>
      <c r="D329" s="32">
        <f>MATCH(Xtradata!C329,Xtradata!C$2:C727,0)</f>
        <v>328</v>
      </c>
      <c r="E329" s="33">
        <f>INDEX(Xtradata!G$2:G$397,$D329)</f>
        <v>44344</v>
      </c>
      <c r="F329" s="33">
        <f>INDEX(Xtradata!H$2:H$397,$D329)</f>
        <v>44406</v>
      </c>
      <c r="G329" s="2">
        <v>100</v>
      </c>
      <c r="H329" s="2">
        <v>40</v>
      </c>
      <c r="I329" s="2">
        <v>0</v>
      </c>
      <c r="J329" s="33" t="str">
        <f>INDEX(Xtradata!J$2:J$397,$D329)</f>
        <v>TZ</v>
      </c>
      <c r="K329" s="34">
        <f>IF(J329="TZ",INDEX(Xtradata!P$2:P$397,$D329),IF(J329="clip",INDEX(Xtradata!K$2:K$397,$D329),""))</f>
        <v>60</v>
      </c>
      <c r="L329" s="34">
        <f>IF($J329="TZ",INDEX(Xtradata!Q$2:Q$397,$D329),IF($J329="clip",INDEX(Xtradata!L$2:L$397,$D329),""))</f>
        <v>32</v>
      </c>
      <c r="M329" s="34">
        <f>IF($J329="TZ",INDEX(Xtradata!R$2:R$397,$D329),IF($J329="clip",INDEX(Xtradata!M$2:M$397,$D329),""))</f>
        <v>28</v>
      </c>
      <c r="N329" s="2">
        <v>0</v>
      </c>
      <c r="O329" s="34">
        <f>INDEX(Xtradata!T$2:T$397,$D329)</f>
        <v>0</v>
      </c>
      <c r="P329" s="38">
        <f t="shared" si="43"/>
        <v>0</v>
      </c>
      <c r="Q329" s="48">
        <f t="shared" si="44"/>
        <v>0.4</v>
      </c>
      <c r="R329" s="48">
        <f t="shared" si="45"/>
        <v>0.4</v>
      </c>
      <c r="S329" s="48">
        <f t="shared" si="50"/>
        <v>0.32</v>
      </c>
      <c r="T329" s="48">
        <f t="shared" si="46"/>
        <v>0.72</v>
      </c>
      <c r="U329" s="48">
        <f t="shared" si="47"/>
        <v>0</v>
      </c>
      <c r="V329" s="48">
        <f t="shared" si="48"/>
        <v>0.28000000000000003</v>
      </c>
      <c r="W329" s="48">
        <f t="shared" si="49"/>
        <v>1</v>
      </c>
      <c r="X329" s="14">
        <f>MATCH(C329,'Weights and Seed Amounts'!C$2:C$400,0)</f>
        <v>328</v>
      </c>
      <c r="Y329" s="58">
        <f>INDEX('Weights and Seed Amounts'!D$2:D$400,$X329)</f>
        <v>1.35E-2</v>
      </c>
      <c r="Z329" s="34">
        <f>INDEX(Xtradata!U$2:U$397,$D329)</f>
        <v>0</v>
      </c>
    </row>
    <row r="330" spans="1:26" x14ac:dyDescent="0.25">
      <c r="A330" s="2" t="s">
        <v>532</v>
      </c>
      <c r="B330" s="2" t="s">
        <v>288</v>
      </c>
      <c r="C330" s="2" t="s">
        <v>542</v>
      </c>
      <c r="D330" s="32">
        <f>MATCH(Xtradata!C330,Xtradata!C$2:C728,0)</f>
        <v>329</v>
      </c>
      <c r="E330" s="33">
        <f>INDEX(Xtradata!G$2:G$397,$D330)</f>
        <v>44344</v>
      </c>
      <c r="F330" s="33">
        <f>INDEX(Xtradata!H$2:H$397,$D330)</f>
        <v>44406</v>
      </c>
      <c r="G330" s="2">
        <v>100</v>
      </c>
      <c r="H330" s="2">
        <v>15</v>
      </c>
      <c r="I330" s="2">
        <v>0</v>
      </c>
      <c r="J330" s="33" t="str">
        <f>INDEX(Xtradata!J$2:J$397,$D330)</f>
        <v>TZ</v>
      </c>
      <c r="K330" s="34">
        <f>IF(J330="TZ",INDEX(Xtradata!P$2:P$397,$D330),IF(J330="clip",INDEX(Xtradata!K$2:K$397,$D330),""))</f>
        <v>85</v>
      </c>
      <c r="L330" s="34">
        <f>IF($J330="TZ",INDEX(Xtradata!Q$2:Q$397,$D330),IF($J330="clip",INDEX(Xtradata!L$2:L$397,$D330),""))</f>
        <v>70</v>
      </c>
      <c r="M330" s="34">
        <f>IF($J330="TZ",INDEX(Xtradata!R$2:R$397,$D330),IF($J330="clip",INDEX(Xtradata!M$2:M$397,$D330),""))</f>
        <v>15</v>
      </c>
      <c r="N330" s="2">
        <v>0</v>
      </c>
      <c r="O330" s="34">
        <f>INDEX(Xtradata!T$2:T$397,$D330)</f>
        <v>0</v>
      </c>
      <c r="P330" s="38">
        <f t="shared" si="43"/>
        <v>0</v>
      </c>
      <c r="Q330" s="48">
        <f t="shared" si="44"/>
        <v>0.15</v>
      </c>
      <c r="R330" s="48">
        <f t="shared" si="45"/>
        <v>0.15</v>
      </c>
      <c r="S330" s="48">
        <f t="shared" si="50"/>
        <v>0.7</v>
      </c>
      <c r="T330" s="48">
        <f t="shared" si="46"/>
        <v>0.85</v>
      </c>
      <c r="U330" s="48">
        <f t="shared" si="47"/>
        <v>0</v>
      </c>
      <c r="V330" s="48">
        <f t="shared" si="48"/>
        <v>0.15000000000000002</v>
      </c>
      <c r="W330" s="48">
        <f t="shared" si="49"/>
        <v>1</v>
      </c>
      <c r="X330" s="14">
        <f>MATCH(C330,'Weights and Seed Amounts'!C$2:C$400,0)</f>
        <v>329</v>
      </c>
      <c r="Y330" s="58">
        <f>INDEX('Weights and Seed Amounts'!D$2:D$400,$X330)</f>
        <v>1.0699999999999999E-2</v>
      </c>
      <c r="Z330" s="34">
        <f>INDEX(Xtradata!U$2:U$397,$D330)</f>
        <v>0</v>
      </c>
    </row>
    <row r="331" spans="1:26" x14ac:dyDescent="0.25">
      <c r="A331" s="2" t="s">
        <v>532</v>
      </c>
      <c r="B331" s="2" t="s">
        <v>288</v>
      </c>
      <c r="C331" s="2" t="s">
        <v>543</v>
      </c>
      <c r="D331" s="32">
        <f>MATCH(Xtradata!C331,Xtradata!C$2:C729,0)</f>
        <v>330</v>
      </c>
      <c r="E331" s="33">
        <f>INDEX(Xtradata!G$2:G$397,$D331)</f>
        <v>44344</v>
      </c>
      <c r="F331" s="33">
        <f>INDEX(Xtradata!H$2:H$397,$D331)</f>
        <v>44406</v>
      </c>
      <c r="G331" s="2">
        <v>100</v>
      </c>
      <c r="H331" s="2">
        <v>38</v>
      </c>
      <c r="I331" s="2">
        <v>0</v>
      </c>
      <c r="J331" s="33" t="str">
        <f>INDEX(Xtradata!J$2:J$397,$D331)</f>
        <v>TZ</v>
      </c>
      <c r="K331" s="34">
        <f>IF(J331="TZ",INDEX(Xtradata!P$2:P$397,$D331),IF(J331="clip",INDEX(Xtradata!K$2:K$397,$D331),""))</f>
        <v>62</v>
      </c>
      <c r="L331" s="34">
        <f>IF($J331="TZ",INDEX(Xtradata!Q$2:Q$397,$D331),IF($J331="clip",INDEX(Xtradata!L$2:L$397,$D331),""))</f>
        <v>41</v>
      </c>
      <c r="M331" s="34">
        <f>IF($J331="TZ",INDEX(Xtradata!R$2:R$397,$D331),IF($J331="clip",INDEX(Xtradata!M$2:M$397,$D331),""))</f>
        <v>21</v>
      </c>
      <c r="N331" s="2">
        <v>0</v>
      </c>
      <c r="O331" s="34">
        <f>INDEX(Xtradata!T$2:T$397,$D331)</f>
        <v>0</v>
      </c>
      <c r="P331" s="38">
        <f t="shared" si="43"/>
        <v>0</v>
      </c>
      <c r="Q331" s="48">
        <f t="shared" si="44"/>
        <v>0.38</v>
      </c>
      <c r="R331" s="48">
        <f t="shared" si="45"/>
        <v>0.38</v>
      </c>
      <c r="S331" s="48">
        <f t="shared" si="50"/>
        <v>0.41</v>
      </c>
      <c r="T331" s="48">
        <f t="shared" si="46"/>
        <v>0.79</v>
      </c>
      <c r="U331" s="48">
        <f t="shared" si="47"/>
        <v>0</v>
      </c>
      <c r="V331" s="48">
        <f t="shared" si="48"/>
        <v>0.20999999999999996</v>
      </c>
      <c r="W331" s="48">
        <f t="shared" si="49"/>
        <v>1</v>
      </c>
      <c r="X331" s="14">
        <f>MATCH(C331,'Weights and Seed Amounts'!C$2:C$400,0)</f>
        <v>330</v>
      </c>
      <c r="Y331" s="58">
        <f>INDEX('Weights and Seed Amounts'!D$2:D$400,$X331)</f>
        <v>1.6799999999999999E-2</v>
      </c>
      <c r="Z331" s="34">
        <f>INDEX(Xtradata!U$2:U$397,$D331)</f>
        <v>0</v>
      </c>
    </row>
    <row r="332" spans="1:26" x14ac:dyDescent="0.25">
      <c r="A332" s="2" t="s">
        <v>532</v>
      </c>
      <c r="B332" s="2" t="s">
        <v>544</v>
      </c>
      <c r="C332" s="2" t="s">
        <v>545</v>
      </c>
      <c r="D332" s="32">
        <f>MATCH(Xtradata!C332,Xtradata!C$2:C730,0)</f>
        <v>331</v>
      </c>
      <c r="E332" s="33">
        <f>INDEX(Xtradata!G$2:G$397,$D332)</f>
        <v>44344</v>
      </c>
      <c r="F332" s="33">
        <f>INDEX(Xtradata!H$2:H$397,$D332)</f>
        <v>44406</v>
      </c>
      <c r="G332" s="2">
        <v>100</v>
      </c>
      <c r="H332" s="2">
        <v>22</v>
      </c>
      <c r="I332" s="2">
        <v>0</v>
      </c>
      <c r="J332" s="33" t="str">
        <f>INDEX(Xtradata!J$2:J$397,$D332)</f>
        <v>TZ</v>
      </c>
      <c r="K332" s="34">
        <f>IF(J332="TZ",INDEX(Xtradata!P$2:P$397,$D332),IF(J332="clip",INDEX(Xtradata!K$2:K$397,$D332),""))</f>
        <v>78</v>
      </c>
      <c r="L332" s="34">
        <f>IF($J332="TZ",INDEX(Xtradata!Q$2:Q$397,$D332),IF($J332="clip",INDEX(Xtradata!L$2:L$397,$D332),""))</f>
        <v>23</v>
      </c>
      <c r="M332" s="34">
        <f>IF($J332="TZ",INDEX(Xtradata!R$2:R$397,$D332),IF($J332="clip",INDEX(Xtradata!M$2:M$397,$D332),""))</f>
        <v>55</v>
      </c>
      <c r="N332" s="2">
        <v>0</v>
      </c>
      <c r="O332" s="34">
        <f>INDEX(Xtradata!T$2:T$397,$D332)</f>
        <v>0</v>
      </c>
      <c r="P332" s="38">
        <f t="shared" si="43"/>
        <v>0</v>
      </c>
      <c r="Q332" s="48">
        <f t="shared" si="44"/>
        <v>0.22</v>
      </c>
      <c r="R332" s="48">
        <f t="shared" si="45"/>
        <v>0.22</v>
      </c>
      <c r="S332" s="48">
        <f t="shared" si="50"/>
        <v>0.23</v>
      </c>
      <c r="T332" s="48">
        <f t="shared" si="46"/>
        <v>0.45</v>
      </c>
      <c r="U332" s="48">
        <f t="shared" si="47"/>
        <v>0</v>
      </c>
      <c r="V332" s="48">
        <f t="shared" si="48"/>
        <v>0.55000000000000004</v>
      </c>
      <c r="W332" s="48">
        <f t="shared" si="49"/>
        <v>1</v>
      </c>
      <c r="X332" s="14">
        <f>MATCH(C332,'Weights and Seed Amounts'!C$2:C$400,0)</f>
        <v>331</v>
      </c>
      <c r="Y332" s="58">
        <f>INDEX('Weights and Seed Amounts'!D$2:D$400,$X332)</f>
        <v>1.5100000000000001E-2</v>
      </c>
      <c r="Z332" s="34">
        <f>INDEX(Xtradata!U$2:U$397,$D332)</f>
        <v>0</v>
      </c>
    </row>
    <row r="333" spans="1:26" x14ac:dyDescent="0.25">
      <c r="A333" s="2" t="s">
        <v>532</v>
      </c>
      <c r="B333" s="2" t="s">
        <v>544</v>
      </c>
      <c r="C333" s="2" t="s">
        <v>546</v>
      </c>
      <c r="D333" s="32">
        <f>MATCH(Xtradata!C333,Xtradata!C$2:C731,0)</f>
        <v>332</v>
      </c>
      <c r="E333" s="33">
        <f>INDEX(Xtradata!G$2:G$397,$D333)</f>
        <v>44344</v>
      </c>
      <c r="F333" s="33">
        <f>INDEX(Xtradata!H$2:H$397,$D333)</f>
        <v>44406</v>
      </c>
      <c r="G333" s="2">
        <v>100</v>
      </c>
      <c r="H333" s="2">
        <v>47</v>
      </c>
      <c r="I333" s="2">
        <v>0</v>
      </c>
      <c r="J333" s="33" t="str">
        <f>INDEX(Xtradata!J$2:J$397,$D333)</f>
        <v>TZ</v>
      </c>
      <c r="K333" s="34">
        <f>IF(J333="TZ",INDEX(Xtradata!P$2:P$397,$D333),IF(J333="clip",INDEX(Xtradata!K$2:K$397,$D333),""))</f>
        <v>53</v>
      </c>
      <c r="L333" s="34">
        <f>IF($J333="TZ",INDEX(Xtradata!Q$2:Q$397,$D333),IF($J333="clip",INDEX(Xtradata!L$2:L$397,$D333),""))</f>
        <v>51</v>
      </c>
      <c r="M333" s="34">
        <f>IF($J333="TZ",INDEX(Xtradata!R$2:R$397,$D333),IF($J333="clip",INDEX(Xtradata!M$2:M$397,$D333),""))</f>
        <v>2</v>
      </c>
      <c r="N333" s="2">
        <v>0</v>
      </c>
      <c r="O333" s="34">
        <f>INDEX(Xtradata!T$2:T$397,$D333)</f>
        <v>0</v>
      </c>
      <c r="P333" s="38">
        <f t="shared" si="43"/>
        <v>0</v>
      </c>
      <c r="Q333" s="48">
        <f t="shared" si="44"/>
        <v>0.47</v>
      </c>
      <c r="R333" s="48">
        <f t="shared" si="45"/>
        <v>0.47</v>
      </c>
      <c r="S333" s="48">
        <f t="shared" si="50"/>
        <v>0.51</v>
      </c>
      <c r="T333" s="48">
        <f t="shared" si="46"/>
        <v>0.98</v>
      </c>
      <c r="U333" s="48">
        <f t="shared" si="47"/>
        <v>0</v>
      </c>
      <c r="V333" s="48">
        <f t="shared" si="48"/>
        <v>2.0000000000000018E-2</v>
      </c>
      <c r="W333" s="48">
        <f t="shared" si="49"/>
        <v>1</v>
      </c>
      <c r="X333" s="14">
        <f>MATCH(C333,'Weights and Seed Amounts'!C$2:C$400,0)</f>
        <v>332</v>
      </c>
      <c r="Y333" s="58">
        <f>INDEX('Weights and Seed Amounts'!D$2:D$400,$X333)</f>
        <v>3.5999999999999997E-2</v>
      </c>
      <c r="Z333" s="34">
        <f>INDEX(Xtradata!U$2:U$397,$D333)</f>
        <v>0</v>
      </c>
    </row>
    <row r="334" spans="1:26" x14ac:dyDescent="0.25">
      <c r="A334" s="2" t="s">
        <v>532</v>
      </c>
      <c r="B334" s="2" t="s">
        <v>544</v>
      </c>
      <c r="C334" s="2" t="s">
        <v>547</v>
      </c>
      <c r="D334" s="32">
        <f>MATCH(Xtradata!C334,Xtradata!C$2:C732,0)</f>
        <v>333</v>
      </c>
      <c r="E334" s="33">
        <f>INDEX(Xtradata!G$2:G$397,$D334)</f>
        <v>44344</v>
      </c>
      <c r="F334" s="33">
        <f>INDEX(Xtradata!H$2:H$397,$D334)</f>
        <v>44406</v>
      </c>
      <c r="G334" s="2">
        <v>100</v>
      </c>
      <c r="H334" s="2">
        <v>17</v>
      </c>
      <c r="I334" s="2">
        <v>0</v>
      </c>
      <c r="J334" s="33" t="str">
        <f>INDEX(Xtradata!J$2:J$397,$D334)</f>
        <v>TZ</v>
      </c>
      <c r="K334" s="34">
        <f>IF(J334="TZ",INDEX(Xtradata!P$2:P$397,$D334),IF(J334="clip",INDEX(Xtradata!K$2:K$397,$D334),""))</f>
        <v>83</v>
      </c>
      <c r="L334" s="34">
        <f>IF($J334="TZ",INDEX(Xtradata!Q$2:Q$397,$D334),IF($J334="clip",INDEX(Xtradata!L$2:L$397,$D334),""))</f>
        <v>44</v>
      </c>
      <c r="M334" s="34">
        <f>IF($J334="TZ",INDEX(Xtradata!R$2:R$397,$D334),IF($J334="clip",INDEX(Xtradata!M$2:M$397,$D334),""))</f>
        <v>39</v>
      </c>
      <c r="N334" s="2">
        <v>0</v>
      </c>
      <c r="O334" s="34">
        <f>INDEX(Xtradata!T$2:T$397,$D334)</f>
        <v>0</v>
      </c>
      <c r="P334" s="38">
        <f t="shared" si="43"/>
        <v>0</v>
      </c>
      <c r="Q334" s="48">
        <f t="shared" si="44"/>
        <v>0.17</v>
      </c>
      <c r="R334" s="48">
        <f t="shared" si="45"/>
        <v>0.17</v>
      </c>
      <c r="S334" s="48">
        <f t="shared" si="50"/>
        <v>0.44</v>
      </c>
      <c r="T334" s="48">
        <f t="shared" si="46"/>
        <v>0.61</v>
      </c>
      <c r="U334" s="48">
        <f t="shared" si="47"/>
        <v>0</v>
      </c>
      <c r="V334" s="48">
        <f t="shared" si="48"/>
        <v>0.39</v>
      </c>
      <c r="W334" s="48">
        <f t="shared" si="49"/>
        <v>1</v>
      </c>
      <c r="X334" s="14">
        <f>MATCH(C334,'Weights and Seed Amounts'!C$2:C$400,0)</f>
        <v>333</v>
      </c>
      <c r="Y334" s="58">
        <f>INDEX('Weights and Seed Amounts'!D$2:D$400,$X334)</f>
        <v>1.04E-2</v>
      </c>
      <c r="Z334" s="34">
        <f>INDEX(Xtradata!U$2:U$397,$D334)</f>
        <v>0</v>
      </c>
    </row>
    <row r="335" spans="1:26" x14ac:dyDescent="0.25">
      <c r="A335" s="2" t="s">
        <v>532</v>
      </c>
      <c r="B335" s="2" t="s">
        <v>544</v>
      </c>
      <c r="C335" s="2" t="s">
        <v>548</v>
      </c>
      <c r="D335" s="32">
        <f>MATCH(Xtradata!C335,Xtradata!C$2:C733,0)</f>
        <v>334</v>
      </c>
      <c r="E335" s="33">
        <f>INDEX(Xtradata!G$2:G$397,$D335)</f>
        <v>44344</v>
      </c>
      <c r="F335" s="33">
        <f>INDEX(Xtradata!H$2:H$397,$D335)</f>
        <v>44406</v>
      </c>
      <c r="G335" s="2">
        <v>100</v>
      </c>
      <c r="H335" s="2">
        <v>0</v>
      </c>
      <c r="I335" s="2">
        <v>0</v>
      </c>
      <c r="J335" s="33" t="str">
        <f>INDEX(Xtradata!J$2:J$397,$D335)</f>
        <v>TZ</v>
      </c>
      <c r="K335" s="34">
        <f>IF(J335="TZ",INDEX(Xtradata!P$2:P$397,$D335),IF(J335="clip",INDEX(Xtradata!K$2:K$397,$D335),""))</f>
        <v>100</v>
      </c>
      <c r="L335" s="34">
        <f>IF($J335="TZ",INDEX(Xtradata!Q$2:Q$397,$D335),IF($J335="clip",INDEX(Xtradata!L$2:L$397,$D335),""))</f>
        <v>11</v>
      </c>
      <c r="M335" s="34">
        <f>IF($J335="TZ",INDEX(Xtradata!R$2:R$397,$D335),IF($J335="clip",INDEX(Xtradata!M$2:M$397,$D335),""))</f>
        <v>89</v>
      </c>
      <c r="N335" s="2">
        <v>0</v>
      </c>
      <c r="O335" s="34">
        <f>INDEX(Xtradata!T$2:T$397,$D335)</f>
        <v>0</v>
      </c>
      <c r="P335" s="38">
        <f t="shared" si="43"/>
        <v>0</v>
      </c>
      <c r="Q335" s="48">
        <f t="shared" si="44"/>
        <v>0</v>
      </c>
      <c r="R335" s="48">
        <f t="shared" si="45"/>
        <v>0</v>
      </c>
      <c r="S335" s="48">
        <f t="shared" si="50"/>
        <v>0.11</v>
      </c>
      <c r="T335" s="48">
        <f t="shared" si="46"/>
        <v>0.11</v>
      </c>
      <c r="U335" s="48">
        <f t="shared" si="47"/>
        <v>0</v>
      </c>
      <c r="V335" s="48">
        <f t="shared" si="48"/>
        <v>0.89</v>
      </c>
      <c r="W335" s="48">
        <f t="shared" si="49"/>
        <v>1</v>
      </c>
      <c r="X335" s="14">
        <f>MATCH(C335,'Weights and Seed Amounts'!C$2:C$400,0)</f>
        <v>334</v>
      </c>
      <c r="Y335" s="58">
        <f>INDEX('Weights and Seed Amounts'!D$2:D$400,$X335)</f>
        <v>8.2000000000000007E-3</v>
      </c>
      <c r="Z335" s="34">
        <f>INDEX(Xtradata!U$2:U$397,$D335)</f>
        <v>0</v>
      </c>
    </row>
    <row r="336" spans="1:26" x14ac:dyDescent="0.25">
      <c r="A336" s="2" t="s">
        <v>532</v>
      </c>
      <c r="B336" s="2" t="s">
        <v>544</v>
      </c>
      <c r="C336" s="2" t="s">
        <v>549</v>
      </c>
      <c r="D336" s="32">
        <f>MATCH(Xtradata!C336,Xtradata!C$2:C734,0)</f>
        <v>335</v>
      </c>
      <c r="E336" s="33">
        <f>INDEX(Xtradata!G$2:G$397,$D336)</f>
        <v>44344</v>
      </c>
      <c r="F336" s="33">
        <f>INDEX(Xtradata!H$2:H$397,$D336)</f>
        <v>44406</v>
      </c>
      <c r="G336" s="2">
        <v>100</v>
      </c>
      <c r="H336" s="2">
        <v>10</v>
      </c>
      <c r="I336" s="2">
        <v>0</v>
      </c>
      <c r="J336" s="33" t="str">
        <f>INDEX(Xtradata!J$2:J$397,$D336)</f>
        <v>TZ</v>
      </c>
      <c r="K336" s="34">
        <f>IF(J336="TZ",INDEX(Xtradata!P$2:P$397,$D336),IF(J336="clip",INDEX(Xtradata!K$2:K$397,$D336),""))</f>
        <v>90</v>
      </c>
      <c r="L336" s="34">
        <f>IF($J336="TZ",INDEX(Xtradata!Q$2:Q$397,$D336),IF($J336="clip",INDEX(Xtradata!L$2:L$397,$D336),""))</f>
        <v>35</v>
      </c>
      <c r="M336" s="34">
        <f>IF($J336="TZ",INDEX(Xtradata!R$2:R$397,$D336),IF($J336="clip",INDEX(Xtradata!M$2:M$397,$D336),""))</f>
        <v>55</v>
      </c>
      <c r="N336" s="2">
        <v>0</v>
      </c>
      <c r="O336" s="34">
        <f>INDEX(Xtradata!T$2:T$397,$D336)</f>
        <v>0</v>
      </c>
      <c r="P336" s="38">
        <f t="shared" si="43"/>
        <v>0</v>
      </c>
      <c r="Q336" s="48">
        <f t="shared" si="44"/>
        <v>0.1</v>
      </c>
      <c r="R336" s="48">
        <f t="shared" si="45"/>
        <v>0.1</v>
      </c>
      <c r="S336" s="48">
        <f t="shared" si="50"/>
        <v>0.35</v>
      </c>
      <c r="T336" s="48">
        <f t="shared" si="46"/>
        <v>0.45</v>
      </c>
      <c r="U336" s="48">
        <f t="shared" si="47"/>
        <v>0</v>
      </c>
      <c r="V336" s="48">
        <f t="shared" si="48"/>
        <v>0.55000000000000004</v>
      </c>
      <c r="W336" s="48">
        <f t="shared" si="49"/>
        <v>1</v>
      </c>
      <c r="X336" s="14">
        <f>MATCH(C336,'Weights and Seed Amounts'!C$2:C$400,0)</f>
        <v>335</v>
      </c>
      <c r="Y336" s="58">
        <f>INDEX('Weights and Seed Amounts'!D$2:D$400,$X336)</f>
        <v>2.3199999999999998E-2</v>
      </c>
      <c r="Z336" s="34">
        <f>INDEX(Xtradata!U$2:U$397,$D336)</f>
        <v>0</v>
      </c>
    </row>
    <row r="337" spans="1:26" x14ac:dyDescent="0.25">
      <c r="A337" s="2" t="s">
        <v>532</v>
      </c>
      <c r="B337" s="2" t="s">
        <v>544</v>
      </c>
      <c r="C337" s="2" t="s">
        <v>550</v>
      </c>
      <c r="D337" s="32">
        <f>MATCH(Xtradata!C337,Xtradata!C$2:C735,0)</f>
        <v>336</v>
      </c>
      <c r="E337" s="33">
        <f>INDEX(Xtradata!G$2:G$397,$D337)</f>
        <v>44344</v>
      </c>
      <c r="F337" s="33">
        <f>INDEX(Xtradata!H$2:H$397,$D337)</f>
        <v>44406</v>
      </c>
      <c r="G337" s="2">
        <v>100</v>
      </c>
      <c r="H337" s="2">
        <v>14</v>
      </c>
      <c r="I337" s="2">
        <v>0</v>
      </c>
      <c r="J337" s="33" t="str">
        <f>INDEX(Xtradata!J$2:J$397,$D337)</f>
        <v>TZ</v>
      </c>
      <c r="K337" s="34">
        <f>IF(J337="TZ",INDEX(Xtradata!P$2:P$397,$D337),IF(J337="clip",INDEX(Xtradata!K$2:K$397,$D337),""))</f>
        <v>86</v>
      </c>
      <c r="L337" s="34">
        <f>IF($J337="TZ",INDEX(Xtradata!Q$2:Q$397,$D337),IF($J337="clip",INDEX(Xtradata!L$2:L$397,$D337),""))</f>
        <v>9</v>
      </c>
      <c r="M337" s="34">
        <f>IF($J337="TZ",INDEX(Xtradata!R$2:R$397,$D337),IF($J337="clip",INDEX(Xtradata!M$2:M$397,$D337),""))</f>
        <v>77</v>
      </c>
      <c r="N337" s="2">
        <v>0</v>
      </c>
      <c r="O337" s="34">
        <f>INDEX(Xtradata!T$2:T$397,$D337)</f>
        <v>0</v>
      </c>
      <c r="P337" s="38">
        <f t="shared" si="43"/>
        <v>0</v>
      </c>
      <c r="Q337" s="48">
        <f t="shared" si="44"/>
        <v>0.14000000000000001</v>
      </c>
      <c r="R337" s="48">
        <f t="shared" si="45"/>
        <v>0.14000000000000001</v>
      </c>
      <c r="S337" s="48">
        <f t="shared" si="50"/>
        <v>0.09</v>
      </c>
      <c r="T337" s="48">
        <f t="shared" si="46"/>
        <v>0.23</v>
      </c>
      <c r="U337" s="48">
        <f t="shared" si="47"/>
        <v>0</v>
      </c>
      <c r="V337" s="48">
        <f t="shared" si="48"/>
        <v>0.77</v>
      </c>
      <c r="W337" s="48">
        <f t="shared" si="49"/>
        <v>1</v>
      </c>
      <c r="X337" s="14">
        <f>MATCH(C337,'Weights and Seed Amounts'!C$2:C$400,0)</f>
        <v>336</v>
      </c>
      <c r="Y337" s="58">
        <f>INDEX('Weights and Seed Amounts'!D$2:D$400,$X337)</f>
        <v>1.4800000000000001E-2</v>
      </c>
      <c r="Z337" s="34">
        <f>INDEX(Xtradata!U$2:U$397,$D337)</f>
        <v>0</v>
      </c>
    </row>
    <row r="338" spans="1:26" x14ac:dyDescent="0.25">
      <c r="A338" s="2" t="s">
        <v>532</v>
      </c>
      <c r="B338" s="2" t="s">
        <v>544</v>
      </c>
      <c r="C338" s="2" t="s">
        <v>551</v>
      </c>
      <c r="D338" s="32">
        <f>MATCH(Xtradata!C338,Xtradata!C$2:C736,0)</f>
        <v>337</v>
      </c>
      <c r="E338" s="33">
        <f>INDEX(Xtradata!G$2:G$397,$D338)</f>
        <v>44344</v>
      </c>
      <c r="F338" s="33">
        <f>INDEX(Xtradata!H$2:H$397,$D338)</f>
        <v>44406</v>
      </c>
      <c r="G338" s="2">
        <v>100</v>
      </c>
      <c r="H338" s="2">
        <v>54</v>
      </c>
      <c r="I338" s="2">
        <v>0</v>
      </c>
      <c r="J338" s="33" t="str">
        <f>INDEX(Xtradata!J$2:J$397,$D338)</f>
        <v>TZ</v>
      </c>
      <c r="K338" s="34">
        <f>IF(J338="TZ",INDEX(Xtradata!P$2:P$397,$D338),IF(J338="clip",INDEX(Xtradata!K$2:K$397,$D338),""))</f>
        <v>46</v>
      </c>
      <c r="L338" s="34">
        <f>IF($J338="TZ",INDEX(Xtradata!Q$2:Q$397,$D338),IF($J338="clip",INDEX(Xtradata!L$2:L$397,$D338),""))</f>
        <v>7</v>
      </c>
      <c r="M338" s="34">
        <f>IF($J338="TZ",INDEX(Xtradata!R$2:R$397,$D338),IF($J338="clip",INDEX(Xtradata!M$2:M$397,$D338),""))</f>
        <v>39</v>
      </c>
      <c r="N338" s="2">
        <v>0</v>
      </c>
      <c r="O338" s="34">
        <f>INDEX(Xtradata!T$2:T$397,$D338)</f>
        <v>0</v>
      </c>
      <c r="P338" s="38">
        <f t="shared" si="43"/>
        <v>0</v>
      </c>
      <c r="Q338" s="48">
        <f t="shared" si="44"/>
        <v>0.54</v>
      </c>
      <c r="R338" s="48">
        <f t="shared" si="45"/>
        <v>0.54</v>
      </c>
      <c r="S338" s="48">
        <f t="shared" si="50"/>
        <v>7.0000000000000007E-2</v>
      </c>
      <c r="T338" s="48">
        <f t="shared" si="46"/>
        <v>0.61</v>
      </c>
      <c r="U338" s="48">
        <f t="shared" si="47"/>
        <v>0</v>
      </c>
      <c r="V338" s="48">
        <f t="shared" si="48"/>
        <v>0.39</v>
      </c>
      <c r="W338" s="48">
        <f t="shared" si="49"/>
        <v>1</v>
      </c>
      <c r="X338" s="14">
        <f>MATCH(C338,'Weights and Seed Amounts'!C$2:C$400,0)</f>
        <v>337</v>
      </c>
      <c r="Y338" s="58">
        <f>INDEX('Weights and Seed Amounts'!D$2:D$400,$X338)</f>
        <v>0.02</v>
      </c>
      <c r="Z338" s="34">
        <f>INDEX(Xtradata!U$2:U$397,$D338)</f>
        <v>0</v>
      </c>
    </row>
    <row r="339" spans="1:26" x14ac:dyDescent="0.25">
      <c r="A339" s="2" t="s">
        <v>532</v>
      </c>
      <c r="B339" s="2" t="s">
        <v>544</v>
      </c>
      <c r="C339" s="2" t="s">
        <v>552</v>
      </c>
      <c r="D339" s="32">
        <f>MATCH(Xtradata!C339,Xtradata!C$2:C737,0)</f>
        <v>338</v>
      </c>
      <c r="E339" s="33">
        <f>INDEX(Xtradata!G$2:G$397,$D339)</f>
        <v>44344</v>
      </c>
      <c r="F339" s="33">
        <f>INDEX(Xtradata!H$2:H$397,$D339)</f>
        <v>44406</v>
      </c>
      <c r="G339" s="2">
        <v>100</v>
      </c>
      <c r="H339" s="2">
        <v>64</v>
      </c>
      <c r="I339" s="2">
        <v>0</v>
      </c>
      <c r="J339" s="33" t="str">
        <f>INDEX(Xtradata!J$2:J$397,$D339)</f>
        <v>TZ</v>
      </c>
      <c r="K339" s="34">
        <f>IF(J339="TZ",INDEX(Xtradata!P$2:P$397,$D339),IF(J339="clip",INDEX(Xtradata!K$2:K$397,$D339),""))</f>
        <v>36</v>
      </c>
      <c r="L339" s="34">
        <f>IF($J339="TZ",INDEX(Xtradata!Q$2:Q$397,$D339),IF($J339="clip",INDEX(Xtradata!L$2:L$397,$D339),""))</f>
        <v>29</v>
      </c>
      <c r="M339" s="34">
        <f>IF($J339="TZ",INDEX(Xtradata!R$2:R$397,$D339),IF($J339="clip",INDEX(Xtradata!M$2:M$397,$D339),""))</f>
        <v>7</v>
      </c>
      <c r="N339" s="2">
        <v>0</v>
      </c>
      <c r="O339" s="34">
        <f>INDEX(Xtradata!T$2:T$397,$D339)</f>
        <v>0</v>
      </c>
      <c r="P339" s="38">
        <f t="shared" si="43"/>
        <v>0</v>
      </c>
      <c r="Q339" s="48">
        <f t="shared" si="44"/>
        <v>0.64</v>
      </c>
      <c r="R339" s="48">
        <f t="shared" si="45"/>
        <v>0.64</v>
      </c>
      <c r="S339" s="48">
        <f t="shared" si="50"/>
        <v>0.28999999999999998</v>
      </c>
      <c r="T339" s="48">
        <f t="shared" si="46"/>
        <v>0.93</v>
      </c>
      <c r="U339" s="48">
        <f t="shared" si="47"/>
        <v>0</v>
      </c>
      <c r="V339" s="48">
        <f t="shared" si="48"/>
        <v>6.9999999999999951E-2</v>
      </c>
      <c r="W339" s="48">
        <f t="shared" si="49"/>
        <v>0.99999999999999989</v>
      </c>
      <c r="X339" s="14">
        <f>MATCH(C339,'Weights and Seed Amounts'!C$2:C$400,0)</f>
        <v>338</v>
      </c>
      <c r="Y339" s="58">
        <f>INDEX('Weights and Seed Amounts'!D$2:D$400,$X339)</f>
        <v>1.0500000000000001E-2</v>
      </c>
      <c r="Z339" s="34">
        <f>INDEX(Xtradata!U$2:U$397,$D339)</f>
        <v>0</v>
      </c>
    </row>
    <row r="340" spans="1:26" x14ac:dyDescent="0.25">
      <c r="A340" s="2" t="s">
        <v>532</v>
      </c>
      <c r="B340" s="2" t="s">
        <v>544</v>
      </c>
      <c r="C340" s="2" t="s">
        <v>553</v>
      </c>
      <c r="D340" s="32">
        <f>MATCH(Xtradata!C340,Xtradata!C$2:C738,0)</f>
        <v>339</v>
      </c>
      <c r="E340" s="33">
        <f>INDEX(Xtradata!G$2:G$397,$D340)</f>
        <v>44344</v>
      </c>
      <c r="F340" s="33">
        <f>INDEX(Xtradata!H$2:H$397,$D340)</f>
        <v>44406</v>
      </c>
      <c r="G340" s="2">
        <v>100</v>
      </c>
      <c r="H340" s="2">
        <v>62</v>
      </c>
      <c r="I340" s="2">
        <v>0</v>
      </c>
      <c r="J340" s="33" t="str">
        <f>INDEX(Xtradata!J$2:J$397,$D340)</f>
        <v>TZ</v>
      </c>
      <c r="K340" s="34">
        <f>IF(J340="TZ",INDEX(Xtradata!P$2:P$397,$D340),IF(J340="clip",INDEX(Xtradata!K$2:K$397,$D340),""))</f>
        <v>38</v>
      </c>
      <c r="L340" s="34">
        <f>IF($J340="TZ",INDEX(Xtradata!Q$2:Q$397,$D340),IF($J340="clip",INDEX(Xtradata!L$2:L$397,$D340),""))</f>
        <v>15</v>
      </c>
      <c r="M340" s="34">
        <f>IF($J340="TZ",INDEX(Xtradata!R$2:R$397,$D340),IF($J340="clip",INDEX(Xtradata!M$2:M$397,$D340),""))</f>
        <v>23</v>
      </c>
      <c r="N340" s="2">
        <v>0</v>
      </c>
      <c r="O340" s="34">
        <f>INDEX(Xtradata!T$2:T$397,$D340)</f>
        <v>0</v>
      </c>
      <c r="P340" s="38">
        <f t="shared" si="43"/>
        <v>0</v>
      </c>
      <c r="Q340" s="48">
        <f t="shared" si="44"/>
        <v>0.62</v>
      </c>
      <c r="R340" s="48">
        <f t="shared" si="45"/>
        <v>0.62</v>
      </c>
      <c r="S340" s="48">
        <f t="shared" si="50"/>
        <v>0.15</v>
      </c>
      <c r="T340" s="48">
        <f t="shared" si="46"/>
        <v>0.77</v>
      </c>
      <c r="U340" s="48">
        <f t="shared" si="47"/>
        <v>0</v>
      </c>
      <c r="V340" s="48">
        <f t="shared" si="48"/>
        <v>0.22999999999999998</v>
      </c>
      <c r="W340" s="48">
        <f t="shared" si="49"/>
        <v>1</v>
      </c>
      <c r="X340" s="14">
        <f>MATCH(C340,'Weights and Seed Amounts'!C$2:C$400,0)</f>
        <v>339</v>
      </c>
      <c r="Y340" s="58">
        <f>INDEX('Weights and Seed Amounts'!D$2:D$400,$X340)</f>
        <v>1.11E-2</v>
      </c>
      <c r="Z340" s="34">
        <f>INDEX(Xtradata!U$2:U$397,$D340)</f>
        <v>0</v>
      </c>
    </row>
    <row r="341" spans="1:26" x14ac:dyDescent="0.25">
      <c r="A341" s="2" t="s">
        <v>554</v>
      </c>
      <c r="B341" s="2" t="s">
        <v>555</v>
      </c>
      <c r="C341" s="2" t="s">
        <v>556</v>
      </c>
      <c r="D341" s="32">
        <f>MATCH(Xtradata!C341,Xtradata!C$2:C739,0)</f>
        <v>340</v>
      </c>
      <c r="E341" s="33">
        <f>INDEX(Xtradata!G$2:G$397,$D341)</f>
        <v>44343</v>
      </c>
      <c r="F341" s="33">
        <f>INDEX(Xtradata!H$2:H$397,$D341)</f>
        <v>44405</v>
      </c>
      <c r="G341" s="41">
        <f>120-20</f>
        <v>100</v>
      </c>
      <c r="H341" s="2">
        <v>71</v>
      </c>
      <c r="I341" s="2">
        <v>12</v>
      </c>
      <c r="J341" s="33" t="str">
        <f>INDEX(Xtradata!J$2:J$397,$D341)</f>
        <v>TZ</v>
      </c>
      <c r="K341" s="34">
        <f>IF(J341="TZ",INDEX(Xtradata!P$2:P$397,$D341),IF(J341="clip",INDEX(Xtradata!K$2:K$397,$D341),""))</f>
        <v>17</v>
      </c>
      <c r="L341" s="34">
        <f>IF($J341="TZ",INDEX(Xtradata!Q$2:Q$397,$D341),IF($J341="clip",INDEX(Xtradata!L$2:L$397,$D341),""))</f>
        <v>3</v>
      </c>
      <c r="M341" s="34">
        <f>IF($J341="TZ",INDEX(Xtradata!R$2:R$397,$D341),IF($J341="clip",INDEX(Xtradata!M$2:M$397,$D341),""))</f>
        <v>14</v>
      </c>
      <c r="N341" s="2">
        <v>0</v>
      </c>
      <c r="O341" s="34">
        <f>INDEX(Xtradata!T$2:T$397,$D341)</f>
        <v>0</v>
      </c>
      <c r="P341" s="38">
        <f t="shared" si="43"/>
        <v>0</v>
      </c>
      <c r="Q341" s="48">
        <f t="shared" si="44"/>
        <v>0.71</v>
      </c>
      <c r="R341" s="48">
        <f t="shared" si="45"/>
        <v>0.83</v>
      </c>
      <c r="S341" s="48">
        <f t="shared" si="50"/>
        <v>0.03</v>
      </c>
      <c r="T341" s="48">
        <f t="shared" si="46"/>
        <v>0.86</v>
      </c>
      <c r="U341" s="48">
        <f t="shared" si="47"/>
        <v>0</v>
      </c>
      <c r="V341" s="48">
        <f t="shared" si="48"/>
        <v>0.14000000000000001</v>
      </c>
      <c r="W341" s="48">
        <f t="shared" si="49"/>
        <v>1</v>
      </c>
      <c r="X341" s="14">
        <f>MATCH(C341,'Weights and Seed Amounts'!C$2:C$400,0)</f>
        <v>340</v>
      </c>
      <c r="Y341" s="58">
        <f>INDEX('Weights and Seed Amounts'!D$2:D$400,$X341)</f>
        <v>0.495</v>
      </c>
      <c r="Z341" s="34">
        <f>INDEX(Xtradata!U$2:U$397,$D341)</f>
        <v>0</v>
      </c>
    </row>
    <row r="342" spans="1:26" x14ac:dyDescent="0.25">
      <c r="A342" s="2" t="s">
        <v>557</v>
      </c>
      <c r="B342" s="2" t="s">
        <v>288</v>
      </c>
      <c r="C342" s="2" t="s">
        <v>558</v>
      </c>
      <c r="D342" s="32">
        <f>MATCH(Xtradata!C342,Xtradata!C$2:C740,0)</f>
        <v>341</v>
      </c>
      <c r="E342" s="33">
        <f>INDEX(Xtradata!G$2:G$397,$D342)</f>
        <v>44350</v>
      </c>
      <c r="F342" s="33">
        <f>INDEX(Xtradata!H$2:H$397,$D342)</f>
        <v>44385</v>
      </c>
      <c r="G342" s="2">
        <f>100-4</f>
        <v>96</v>
      </c>
      <c r="H342" s="2">
        <v>1</v>
      </c>
      <c r="I342" s="2">
        <v>0</v>
      </c>
      <c r="J342" s="33" t="str">
        <f>INDEX(Xtradata!J$2:J$397,$D342)</f>
        <v>TZ</v>
      </c>
      <c r="K342" s="34">
        <f>IF(J342="TZ",INDEX(Xtradata!P$2:P$397,$D342),IF(J342="clip",INDEX(Xtradata!K$2:K$397,$D342),""))</f>
        <v>68</v>
      </c>
      <c r="L342" s="34">
        <f>IF($J342="TZ",INDEX(Xtradata!Q$2:Q$397,$D342),IF($J342="clip",INDEX(Xtradata!L$2:L$397,$D342),""))</f>
        <v>7</v>
      </c>
      <c r="M342" s="34">
        <f>IF($J342="TZ",INDEX(Xtradata!R$2:R$397,$D342),IF($J342="clip",INDEX(Xtradata!M$2:M$397,$D342),""))</f>
        <v>61</v>
      </c>
      <c r="N342" s="2">
        <v>27</v>
      </c>
      <c r="O342" s="34">
        <f>INDEX(Xtradata!T$2:T$397,$D342)</f>
        <v>0</v>
      </c>
      <c r="P342" s="38">
        <f t="shared" si="43"/>
        <v>0</v>
      </c>
      <c r="Q342" s="48">
        <f t="shared" si="44"/>
        <v>1.0416666666666666E-2</v>
      </c>
      <c r="R342" s="48">
        <f t="shared" si="45"/>
        <v>1.0416666666666666E-2</v>
      </c>
      <c r="S342" s="48">
        <f t="shared" si="50"/>
        <v>7.2916666666666671E-2</v>
      </c>
      <c r="T342" s="48">
        <f t="shared" si="46"/>
        <v>8.3333333333333329E-2</v>
      </c>
      <c r="U342" s="48">
        <f t="shared" si="47"/>
        <v>0.28125</v>
      </c>
      <c r="V342" s="48">
        <f t="shared" si="48"/>
        <v>0.63541666666666663</v>
      </c>
      <c r="W342" s="48">
        <f t="shared" si="49"/>
        <v>1</v>
      </c>
      <c r="X342" s="14">
        <f>MATCH(C342,'Weights and Seed Amounts'!C$2:C$400,0)</f>
        <v>341</v>
      </c>
      <c r="Y342" s="58">
        <f>INDEX('Weights and Seed Amounts'!D$2:D$400,$X342)</f>
        <v>2.3599999999999999E-2</v>
      </c>
      <c r="Z342" s="34">
        <f>INDEX(Xtradata!U$2:U$397,$D342)</f>
        <v>0</v>
      </c>
    </row>
    <row r="343" spans="1:26" x14ac:dyDescent="0.25">
      <c r="A343" s="2" t="s">
        <v>557</v>
      </c>
      <c r="B343" s="2" t="s">
        <v>288</v>
      </c>
      <c r="C343" s="2" t="s">
        <v>559</v>
      </c>
      <c r="D343" s="32">
        <f>MATCH(Xtradata!C343,Xtradata!C$2:C741,0)</f>
        <v>342</v>
      </c>
      <c r="E343" s="33">
        <f>INDEX(Xtradata!G$2:G$397,$D343)</f>
        <v>44350</v>
      </c>
      <c r="F343" s="33">
        <f>INDEX(Xtradata!H$2:H$397,$D343)</f>
        <v>44385</v>
      </c>
      <c r="G343" s="2">
        <f>100-9</f>
        <v>91</v>
      </c>
      <c r="H343" s="2">
        <v>0</v>
      </c>
      <c r="I343" s="2">
        <v>1</v>
      </c>
      <c r="J343" s="33" t="str">
        <f>INDEX(Xtradata!J$2:J$397,$D343)</f>
        <v>TZ</v>
      </c>
      <c r="K343" s="34">
        <f>IF(J343="TZ",INDEX(Xtradata!P$2:P$397,$D343),IF(J343="clip",INDEX(Xtradata!K$2:K$397,$D343),""))</f>
        <v>61</v>
      </c>
      <c r="L343" s="34">
        <f>IF($J343="TZ",INDEX(Xtradata!Q$2:Q$397,$D343),IF($J343="clip",INDEX(Xtradata!L$2:L$397,$D343),""))</f>
        <v>21</v>
      </c>
      <c r="M343" s="34">
        <f>IF($J343="TZ",INDEX(Xtradata!R$2:R$397,$D343),IF($J343="clip",INDEX(Xtradata!M$2:M$397,$D343),""))</f>
        <v>40</v>
      </c>
      <c r="N343" s="2">
        <v>29</v>
      </c>
      <c r="O343" s="34">
        <f>INDEX(Xtradata!T$2:T$397,$D343)</f>
        <v>0</v>
      </c>
      <c r="P343" s="38">
        <f t="shared" si="43"/>
        <v>0</v>
      </c>
      <c r="Q343" s="48">
        <f t="shared" si="44"/>
        <v>0</v>
      </c>
      <c r="R343" s="48">
        <f t="shared" si="45"/>
        <v>1.098901098901099E-2</v>
      </c>
      <c r="S343" s="48">
        <f t="shared" si="50"/>
        <v>0.23076923076923078</v>
      </c>
      <c r="T343" s="48">
        <f t="shared" si="46"/>
        <v>0.24175824175824176</v>
      </c>
      <c r="U343" s="48">
        <f t="shared" si="47"/>
        <v>0.31868131868131866</v>
      </c>
      <c r="V343" s="48">
        <f t="shared" si="48"/>
        <v>0.43956043956043955</v>
      </c>
      <c r="W343" s="48">
        <f t="shared" si="49"/>
        <v>1</v>
      </c>
      <c r="X343" s="14">
        <f>MATCH(C343,'Weights and Seed Amounts'!C$2:C$400,0)</f>
        <v>342</v>
      </c>
      <c r="Y343" s="58">
        <f>INDEX('Weights and Seed Amounts'!D$2:D$400,$X343)</f>
        <v>1.6799999999999999E-2</v>
      </c>
      <c r="Z343" s="34">
        <f>INDEX(Xtradata!U$2:U$397,$D343)</f>
        <v>0</v>
      </c>
    </row>
    <row r="344" spans="1:26" x14ac:dyDescent="0.25">
      <c r="A344" s="2" t="s">
        <v>557</v>
      </c>
      <c r="B344" s="2" t="s">
        <v>560</v>
      </c>
      <c r="C344" s="2" t="s">
        <v>561</v>
      </c>
      <c r="D344" s="32">
        <f>MATCH(Xtradata!C344,Xtradata!C$2:C742,0)</f>
        <v>343</v>
      </c>
      <c r="E344" s="33" t="str">
        <f>INDEX(Xtradata!G$2:G$397,$D344)</f>
        <v>N/A</v>
      </c>
      <c r="F344" s="33" t="str">
        <f>INDEX(Xtradata!H$2:H$397,$D344)</f>
        <v>N/A</v>
      </c>
      <c r="G344" s="2">
        <v>0</v>
      </c>
      <c r="H344" s="2" t="s">
        <v>581</v>
      </c>
      <c r="I344" s="2" t="s">
        <v>581</v>
      </c>
      <c r="J344" s="33" t="str">
        <f>INDEX(Xtradata!J$2:J$397,$D344)</f>
        <v>N/A</v>
      </c>
      <c r="K344" s="34" t="str">
        <f>IF(J344="TZ",INDEX(Xtradata!P$2:P$397,$D344),IF(J344="clip",INDEX(Xtradata!K$2:K$397,$D344),""))</f>
        <v/>
      </c>
      <c r="L344" s="34" t="str">
        <f>IF($J344="TZ",INDEX(Xtradata!Q$2:Q$397,$D344),IF($J344="clip",INDEX(Xtradata!L$2:L$397,$D344),""))</f>
        <v/>
      </c>
      <c r="M344" s="34" t="str">
        <f>IF($J344="TZ",INDEX(Xtradata!R$2:R$397,$D344),IF($J344="clip",INDEX(Xtradata!M$2:M$397,$D344),""))</f>
        <v/>
      </c>
      <c r="N344" s="2" t="s">
        <v>581</v>
      </c>
      <c r="O344" s="34" t="str">
        <f>INDEX(Xtradata!T$2:T$397,$D344)</f>
        <v>N/A</v>
      </c>
      <c r="P344" s="38" t="e">
        <f t="shared" si="43"/>
        <v>#VALUE!</v>
      </c>
      <c r="Q344" s="48" t="str">
        <f t="shared" si="44"/>
        <v/>
      </c>
      <c r="R344" s="48" t="str">
        <f t="shared" si="45"/>
        <v/>
      </c>
      <c r="S344" s="48" t="str">
        <f t="shared" si="50"/>
        <v/>
      </c>
      <c r="T344" s="48" t="str">
        <f t="shared" si="46"/>
        <v/>
      </c>
      <c r="U344" s="48" t="str">
        <f t="shared" si="47"/>
        <v/>
      </c>
      <c r="V344" s="48" t="str">
        <f t="shared" si="48"/>
        <v/>
      </c>
      <c r="W344" s="48">
        <f t="shared" si="49"/>
        <v>0</v>
      </c>
      <c r="X344" s="14">
        <f>MATCH(C344,'Weights and Seed Amounts'!C$2:C$400,0)</f>
        <v>343</v>
      </c>
      <c r="Y344" s="58">
        <f>INDEX('Weights and Seed Amounts'!D$2:D$400,$X344)</f>
        <v>0</v>
      </c>
      <c r="Z344" s="34" t="str">
        <f>INDEX(Xtradata!U$2:U$397,$D344)</f>
        <v xml:space="preserve">Seeds were  found to be too moldy to clean and test. The sample was discarded. </v>
      </c>
    </row>
    <row r="345" spans="1:26" x14ac:dyDescent="0.25">
      <c r="A345" s="2" t="s">
        <v>557</v>
      </c>
      <c r="B345" s="2" t="s">
        <v>562</v>
      </c>
      <c r="C345" s="2" t="s">
        <v>563</v>
      </c>
      <c r="D345" s="32">
        <f>MATCH(Xtradata!C345,Xtradata!C$2:C743,0)</f>
        <v>344</v>
      </c>
      <c r="E345" s="33" t="str">
        <f>INDEX(Xtradata!G$2:G$397,$D345)</f>
        <v>N/A</v>
      </c>
      <c r="F345" s="33" t="str">
        <f>INDEX(Xtradata!H$2:H$397,$D345)</f>
        <v>N/A</v>
      </c>
      <c r="G345" s="2">
        <v>0</v>
      </c>
      <c r="H345" s="2" t="s">
        <v>581</v>
      </c>
      <c r="I345" s="2" t="s">
        <v>581</v>
      </c>
      <c r="J345" s="33" t="str">
        <f>INDEX(Xtradata!J$2:J$397,$D345)</f>
        <v>N/A</v>
      </c>
      <c r="K345" s="34" t="str">
        <f>IF(J345="TZ",INDEX(Xtradata!P$2:P$397,$D345),IF(J345="clip",INDEX(Xtradata!K$2:K$397,$D345),""))</f>
        <v/>
      </c>
      <c r="L345" s="34" t="str">
        <f>IF($J345="TZ",INDEX(Xtradata!Q$2:Q$397,$D345),IF($J345="clip",INDEX(Xtradata!L$2:L$397,$D345),""))</f>
        <v/>
      </c>
      <c r="M345" s="34" t="str">
        <f>IF($J345="TZ",INDEX(Xtradata!R$2:R$397,$D345),IF($J345="clip",INDEX(Xtradata!M$2:M$397,$D345),""))</f>
        <v/>
      </c>
      <c r="N345" s="2" t="s">
        <v>581</v>
      </c>
      <c r="O345" s="34" t="str">
        <f>INDEX(Xtradata!T$2:T$397,$D345)</f>
        <v>N/A</v>
      </c>
      <c r="P345" s="38" t="e">
        <f t="shared" si="43"/>
        <v>#VALUE!</v>
      </c>
      <c r="Q345" s="48" t="str">
        <f t="shared" si="44"/>
        <v/>
      </c>
      <c r="R345" s="48" t="str">
        <f t="shared" si="45"/>
        <v/>
      </c>
      <c r="S345" s="48" t="str">
        <f t="shared" si="50"/>
        <v/>
      </c>
      <c r="T345" s="48" t="str">
        <f t="shared" si="46"/>
        <v/>
      </c>
      <c r="U345" s="48" t="str">
        <f t="shared" si="47"/>
        <v/>
      </c>
      <c r="V345" s="48" t="str">
        <f t="shared" si="48"/>
        <v/>
      </c>
      <c r="W345" s="48">
        <f t="shared" si="49"/>
        <v>0</v>
      </c>
      <c r="X345" s="14">
        <f>MATCH(C345,'Weights and Seed Amounts'!C$2:C$400,0)</f>
        <v>344</v>
      </c>
      <c r="Y345" s="58">
        <f>INDEX('Weights and Seed Amounts'!D$2:D$400,$X345)</f>
        <v>0</v>
      </c>
      <c r="Z345" s="34" t="str">
        <f>INDEX(Xtradata!U$2:U$397,$D345)</f>
        <v xml:space="preserve">Seeds were  found to be too moldy to clean and test. The sample was discarded. </v>
      </c>
    </row>
    <row r="346" spans="1:26" x14ac:dyDescent="0.25">
      <c r="A346" s="2" t="s">
        <v>557</v>
      </c>
      <c r="B346" s="2" t="s">
        <v>562</v>
      </c>
      <c r="C346" s="2" t="s">
        <v>564</v>
      </c>
      <c r="D346" s="32">
        <f>MATCH(Xtradata!C346,Xtradata!C$2:C744,0)</f>
        <v>345</v>
      </c>
      <c r="E346" s="33" t="str">
        <f>INDEX(Xtradata!G$2:G$397,$D346)</f>
        <v>N/A</v>
      </c>
      <c r="F346" s="33" t="str">
        <f>INDEX(Xtradata!H$2:H$397,$D346)</f>
        <v>N/A</v>
      </c>
      <c r="G346" s="2">
        <v>0</v>
      </c>
      <c r="H346" s="2" t="s">
        <v>581</v>
      </c>
      <c r="I346" s="2" t="s">
        <v>581</v>
      </c>
      <c r="J346" s="33" t="str">
        <f>INDEX(Xtradata!J$2:J$397,$D346)</f>
        <v>N/A</v>
      </c>
      <c r="K346" s="34" t="str">
        <f>IF(J346="TZ",INDEX(Xtradata!P$2:P$397,$D346),IF(J346="clip",INDEX(Xtradata!K$2:K$397,$D346),""))</f>
        <v/>
      </c>
      <c r="L346" s="34" t="str">
        <f>IF($J346="TZ",INDEX(Xtradata!Q$2:Q$397,$D346),IF($J346="clip",INDEX(Xtradata!L$2:L$397,$D346),""))</f>
        <v/>
      </c>
      <c r="M346" s="34" t="str">
        <f>IF($J346="TZ",INDEX(Xtradata!R$2:R$397,$D346),IF($J346="clip",INDEX(Xtradata!M$2:M$397,$D346),""))</f>
        <v/>
      </c>
      <c r="N346" s="2" t="s">
        <v>581</v>
      </c>
      <c r="O346" s="34" t="str">
        <f>INDEX(Xtradata!T$2:T$397,$D346)</f>
        <v>N/A</v>
      </c>
      <c r="P346" s="38" t="e">
        <f t="shared" si="43"/>
        <v>#VALUE!</v>
      </c>
      <c r="Q346" s="48" t="str">
        <f t="shared" si="44"/>
        <v/>
      </c>
      <c r="R346" s="48" t="str">
        <f t="shared" si="45"/>
        <v/>
      </c>
      <c r="S346" s="48" t="str">
        <f t="shared" si="50"/>
        <v/>
      </c>
      <c r="T346" s="48" t="str">
        <f t="shared" si="46"/>
        <v/>
      </c>
      <c r="U346" s="48" t="str">
        <f t="shared" si="47"/>
        <v/>
      </c>
      <c r="V346" s="48" t="str">
        <f t="shared" si="48"/>
        <v/>
      </c>
      <c r="W346" s="48">
        <f t="shared" si="49"/>
        <v>0</v>
      </c>
      <c r="X346" s="14">
        <f>MATCH(C346,'Weights and Seed Amounts'!C$2:C$400,0)</f>
        <v>345</v>
      </c>
      <c r="Y346" s="58">
        <f>INDEX('Weights and Seed Amounts'!D$2:D$400,$X346)</f>
        <v>0</v>
      </c>
      <c r="Z346" s="34" t="str">
        <f>INDEX(Xtradata!U$2:U$397,$D346)</f>
        <v xml:space="preserve">Seeds were  found to be too moldy to clean and test. The sample was discarded. </v>
      </c>
    </row>
    <row r="347" spans="1:26" x14ac:dyDescent="0.25">
      <c r="A347" s="2" t="s">
        <v>557</v>
      </c>
      <c r="B347" s="2" t="s">
        <v>562</v>
      </c>
      <c r="C347" s="2" t="s">
        <v>565</v>
      </c>
      <c r="D347" s="32">
        <f>MATCH(Xtradata!C347,Xtradata!C$2:C745,0)</f>
        <v>346</v>
      </c>
      <c r="E347" s="33" t="str">
        <f>INDEX(Xtradata!G$2:G$397,$D347)</f>
        <v>N/A</v>
      </c>
      <c r="F347" s="33" t="str">
        <f>INDEX(Xtradata!H$2:H$397,$D347)</f>
        <v>N/A</v>
      </c>
      <c r="G347" s="2">
        <v>0</v>
      </c>
      <c r="H347" s="2" t="s">
        <v>581</v>
      </c>
      <c r="I347" s="2" t="s">
        <v>581</v>
      </c>
      <c r="J347" s="33" t="str">
        <f>INDEX(Xtradata!J$2:J$397,$D347)</f>
        <v>N/A</v>
      </c>
      <c r="K347" s="34" t="str">
        <f>IF(J347="TZ",INDEX(Xtradata!P$2:P$397,$D347),IF(J347="clip",INDEX(Xtradata!K$2:K$397,$D347),""))</f>
        <v/>
      </c>
      <c r="L347" s="34" t="str">
        <f>IF($J347="TZ",INDEX(Xtradata!Q$2:Q$397,$D347),IF($J347="clip",INDEX(Xtradata!L$2:L$397,$D347),""))</f>
        <v/>
      </c>
      <c r="M347" s="34" t="str">
        <f>IF($J347="TZ",INDEX(Xtradata!R$2:R$397,$D347),IF($J347="clip",INDEX(Xtradata!M$2:M$397,$D347),""))</f>
        <v/>
      </c>
      <c r="N347" s="2" t="s">
        <v>581</v>
      </c>
      <c r="O347" s="34" t="str">
        <f>INDEX(Xtradata!T$2:T$397,$D347)</f>
        <v>N/A</v>
      </c>
      <c r="P347" s="38" t="e">
        <f t="shared" si="43"/>
        <v>#VALUE!</v>
      </c>
      <c r="Q347" s="48" t="str">
        <f t="shared" si="44"/>
        <v/>
      </c>
      <c r="R347" s="48" t="str">
        <f t="shared" si="45"/>
        <v/>
      </c>
      <c r="S347" s="48" t="str">
        <f t="shared" si="50"/>
        <v/>
      </c>
      <c r="T347" s="48" t="str">
        <f t="shared" si="46"/>
        <v/>
      </c>
      <c r="U347" s="48" t="str">
        <f t="shared" si="47"/>
        <v/>
      </c>
      <c r="V347" s="48" t="str">
        <f t="shared" si="48"/>
        <v/>
      </c>
      <c r="W347" s="48">
        <f t="shared" si="49"/>
        <v>0</v>
      </c>
      <c r="X347" s="14">
        <f>MATCH(C347,'Weights and Seed Amounts'!C$2:C$400,0)</f>
        <v>346</v>
      </c>
      <c r="Y347" s="58">
        <f>INDEX('Weights and Seed Amounts'!D$2:D$400,$X347)</f>
        <v>0</v>
      </c>
      <c r="Z347" s="34" t="str">
        <f>INDEX(Xtradata!U$2:U$397,$D347)</f>
        <v xml:space="preserve">Seeds were  found to be too moldy to clean and test. The sample was discarded. </v>
      </c>
    </row>
    <row r="348" spans="1:26" x14ac:dyDescent="0.25">
      <c r="A348" s="2" t="s">
        <v>557</v>
      </c>
      <c r="B348" s="2" t="s">
        <v>566</v>
      </c>
      <c r="C348" s="2" t="s">
        <v>567</v>
      </c>
      <c r="D348" s="32">
        <f>MATCH(Xtradata!C348,Xtradata!C$2:C746,0)</f>
        <v>347</v>
      </c>
      <c r="E348" s="33" t="str">
        <f>INDEX(Xtradata!G$2:G$397,$D348)</f>
        <v>N/A</v>
      </c>
      <c r="F348" s="33" t="str">
        <f>INDEX(Xtradata!H$2:H$397,$D348)</f>
        <v>N/A</v>
      </c>
      <c r="G348" s="2">
        <v>0</v>
      </c>
      <c r="H348" s="2" t="s">
        <v>581</v>
      </c>
      <c r="I348" s="2" t="s">
        <v>581</v>
      </c>
      <c r="J348" s="33" t="str">
        <f>INDEX(Xtradata!J$2:J$397,$D348)</f>
        <v>N/A</v>
      </c>
      <c r="K348" s="34" t="str">
        <f>IF(J348="TZ",INDEX(Xtradata!P$2:P$397,$D348),IF(J348="clip",INDEX(Xtradata!K$2:K$397,$D348),""))</f>
        <v/>
      </c>
      <c r="L348" s="34" t="str">
        <f>IF($J348="TZ",INDEX(Xtradata!Q$2:Q$397,$D348),IF($J348="clip",INDEX(Xtradata!L$2:L$397,$D348),""))</f>
        <v/>
      </c>
      <c r="M348" s="34" t="str">
        <f>IF($J348="TZ",INDEX(Xtradata!R$2:R$397,$D348),IF($J348="clip",INDEX(Xtradata!M$2:M$397,$D348),""))</f>
        <v/>
      </c>
      <c r="N348" s="2" t="s">
        <v>581</v>
      </c>
      <c r="O348" s="34" t="str">
        <f>INDEX(Xtradata!T$2:T$397,$D348)</f>
        <v>N/A</v>
      </c>
      <c r="P348" s="38" t="e">
        <f t="shared" si="43"/>
        <v>#VALUE!</v>
      </c>
      <c r="Q348" s="48" t="str">
        <f t="shared" si="44"/>
        <v/>
      </c>
      <c r="R348" s="48" t="str">
        <f t="shared" si="45"/>
        <v/>
      </c>
      <c r="S348" s="48" t="str">
        <f t="shared" si="50"/>
        <v/>
      </c>
      <c r="T348" s="48" t="str">
        <f t="shared" si="46"/>
        <v/>
      </c>
      <c r="U348" s="48" t="str">
        <f t="shared" si="47"/>
        <v/>
      </c>
      <c r="V348" s="48" t="str">
        <f t="shared" si="48"/>
        <v/>
      </c>
      <c r="W348" s="48">
        <f t="shared" si="49"/>
        <v>0</v>
      </c>
      <c r="X348" s="14">
        <f>MATCH(C348,'Weights and Seed Amounts'!C$2:C$400,0)</f>
        <v>347</v>
      </c>
      <c r="Y348" s="58">
        <f>INDEX('Weights and Seed Amounts'!D$2:D$400,$X348)</f>
        <v>0</v>
      </c>
      <c r="Z348" s="34" t="str">
        <f>INDEX(Xtradata!U$2:U$397,$D348)</f>
        <v xml:space="preserve">Seeds were  found to be too moldy to clean and test. The sample was discarded. </v>
      </c>
    </row>
    <row r="349" spans="1:26" x14ac:dyDescent="0.25">
      <c r="A349" s="2" t="s">
        <v>568</v>
      </c>
      <c r="B349" s="2" t="s">
        <v>569</v>
      </c>
      <c r="C349" s="2" t="s">
        <v>570</v>
      </c>
      <c r="D349" s="32">
        <f>MATCH(Xtradata!C349,Xtradata!C$2:C747,0)</f>
        <v>348</v>
      </c>
      <c r="E349" s="33">
        <f>INDEX(Xtradata!G$2:G$397,$D349)</f>
        <v>44336</v>
      </c>
      <c r="F349" s="33">
        <f>INDEX(Xtradata!H$2:H$397,$D349)</f>
        <v>44377</v>
      </c>
      <c r="G349" s="2">
        <v>104</v>
      </c>
      <c r="H349" s="2">
        <v>0</v>
      </c>
      <c r="I349" s="2">
        <v>0</v>
      </c>
      <c r="J349" s="33" t="str">
        <f>INDEX(Xtradata!J$2:J$397,$D349)</f>
        <v>TZ</v>
      </c>
      <c r="K349" s="34">
        <f>IF(J349="TZ",INDEX(Xtradata!P$2:P$397,$D349),IF(J349="clip",INDEX(Xtradata!K$2:K$397,$D349),""))</f>
        <v>104</v>
      </c>
      <c r="L349" s="34">
        <f>IF($J349="TZ",INDEX(Xtradata!Q$2:Q$397,$D349),IF($J349="clip",INDEX(Xtradata!L$2:L$397,$D349),""))</f>
        <v>30</v>
      </c>
      <c r="M349" s="34">
        <f>IF($J349="TZ",INDEX(Xtradata!R$2:R$397,$D349),IF($J349="clip",INDEX(Xtradata!M$2:M$397,$D349),""))</f>
        <v>74</v>
      </c>
      <c r="N349" s="2">
        <v>0</v>
      </c>
      <c r="O349" s="34">
        <f>INDEX(Xtradata!T$2:T$397,$D349)</f>
        <v>0</v>
      </c>
      <c r="P349" s="38">
        <f t="shared" si="43"/>
        <v>0</v>
      </c>
      <c r="Q349" s="48">
        <f t="shared" si="44"/>
        <v>0</v>
      </c>
      <c r="R349" s="48">
        <f t="shared" si="45"/>
        <v>0</v>
      </c>
      <c r="S349" s="48">
        <f t="shared" si="50"/>
        <v>0.28846153846153844</v>
      </c>
      <c r="T349" s="48">
        <f t="shared" si="46"/>
        <v>0.28846153846153844</v>
      </c>
      <c r="U349" s="48">
        <f t="shared" si="47"/>
        <v>0</v>
      </c>
      <c r="V349" s="48">
        <f t="shared" si="48"/>
        <v>0.71153846153846156</v>
      </c>
      <c r="W349" s="48">
        <f t="shared" si="49"/>
        <v>1</v>
      </c>
      <c r="X349" s="14">
        <f>MATCH(C349,'Weights and Seed Amounts'!C$2:C$400,0)</f>
        <v>348</v>
      </c>
      <c r="Y349" s="58">
        <f>INDEX('Weights and Seed Amounts'!D$2:D$400,$X349)</f>
        <v>3.3399999999999999E-2</v>
      </c>
      <c r="Z349" s="34">
        <f>INDEX(Xtradata!U$2:U$397,$D349)</f>
        <v>0</v>
      </c>
    </row>
    <row r="350" spans="1:26" x14ac:dyDescent="0.25">
      <c r="A350" s="2" t="s">
        <v>568</v>
      </c>
      <c r="B350" s="2" t="s">
        <v>569</v>
      </c>
      <c r="C350" s="2" t="s">
        <v>571</v>
      </c>
      <c r="D350" s="32">
        <f>MATCH(Xtradata!C350,Xtradata!C$2:C748,0)</f>
        <v>349</v>
      </c>
      <c r="E350" s="33">
        <f>INDEX(Xtradata!G$2:G$397,$D350)</f>
        <v>44336</v>
      </c>
      <c r="F350" s="33">
        <f>INDEX(Xtradata!H$2:H$397,$D350)</f>
        <v>44377</v>
      </c>
      <c r="G350" s="2">
        <v>104</v>
      </c>
      <c r="H350" s="2">
        <v>0</v>
      </c>
      <c r="I350" s="2">
        <v>0</v>
      </c>
      <c r="J350" s="33" t="str">
        <f>INDEX(Xtradata!J$2:J$397,$D350)</f>
        <v>TZ</v>
      </c>
      <c r="K350" s="34">
        <f>IF(J350="TZ",INDEX(Xtradata!P$2:P$397,$D350),IF(J350="clip",INDEX(Xtradata!K$2:K$397,$D350),""))</f>
        <v>104</v>
      </c>
      <c r="L350" s="34">
        <f>IF($J350="TZ",INDEX(Xtradata!Q$2:Q$397,$D350),IF($J350="clip",INDEX(Xtradata!L$2:L$397,$D350),""))</f>
        <v>36</v>
      </c>
      <c r="M350" s="34">
        <f>IF($J350="TZ",INDEX(Xtradata!R$2:R$397,$D350),IF($J350="clip",INDEX(Xtradata!M$2:M$397,$D350),""))</f>
        <v>68</v>
      </c>
      <c r="N350" s="2">
        <v>0</v>
      </c>
      <c r="O350" s="34">
        <f>INDEX(Xtradata!T$2:T$397,$D350)</f>
        <v>0</v>
      </c>
      <c r="P350" s="38">
        <f t="shared" si="43"/>
        <v>0</v>
      </c>
      <c r="Q350" s="48">
        <f t="shared" si="44"/>
        <v>0</v>
      </c>
      <c r="R350" s="48">
        <f t="shared" si="45"/>
        <v>0</v>
      </c>
      <c r="S350" s="48">
        <f t="shared" si="50"/>
        <v>0.34615384615384615</v>
      </c>
      <c r="T350" s="48">
        <f t="shared" si="46"/>
        <v>0.34615384615384615</v>
      </c>
      <c r="U350" s="48">
        <f t="shared" si="47"/>
        <v>0</v>
      </c>
      <c r="V350" s="48">
        <f t="shared" si="48"/>
        <v>0.65384615384615385</v>
      </c>
      <c r="W350" s="48">
        <f t="shared" si="49"/>
        <v>1</v>
      </c>
      <c r="X350" s="14">
        <f>MATCH(C350,'Weights and Seed Amounts'!C$2:C$400,0)</f>
        <v>349</v>
      </c>
      <c r="Y350" s="58">
        <f>INDEX('Weights and Seed Amounts'!D$2:D$400,$X350)</f>
        <v>2.4799999999999999E-2</v>
      </c>
      <c r="Z350" s="34">
        <f>INDEX(Xtradata!U$2:U$397,$D350)</f>
        <v>0</v>
      </c>
    </row>
    <row r="351" spans="1:26" x14ac:dyDescent="0.25">
      <c r="A351" s="2" t="s">
        <v>568</v>
      </c>
      <c r="B351" s="2" t="s">
        <v>569</v>
      </c>
      <c r="C351" s="2" t="s">
        <v>572</v>
      </c>
      <c r="D351" s="32">
        <f>MATCH(Xtradata!C351,Xtradata!C$2:C749,0)</f>
        <v>350</v>
      </c>
      <c r="E351" s="33">
        <f>INDEX(Xtradata!G$2:G$397,$D351)</f>
        <v>44336</v>
      </c>
      <c r="F351" s="33">
        <f>INDEX(Xtradata!H$2:H$397,$D351)</f>
        <v>44377</v>
      </c>
      <c r="G351" s="2">
        <v>104</v>
      </c>
      <c r="H351" s="2">
        <v>0</v>
      </c>
      <c r="I351" s="2">
        <v>0</v>
      </c>
      <c r="J351" s="33" t="str">
        <f>INDEX(Xtradata!J$2:J$397,$D351)</f>
        <v>TZ</v>
      </c>
      <c r="K351" s="34">
        <f>IF(J351="TZ",INDEX(Xtradata!P$2:P$397,$D351),IF(J351="clip",INDEX(Xtradata!K$2:K$397,$D351),""))</f>
        <v>104</v>
      </c>
      <c r="L351" s="34">
        <f>IF($J351="TZ",INDEX(Xtradata!Q$2:Q$397,$D351),IF($J351="clip",INDEX(Xtradata!L$2:L$397,$D351),""))</f>
        <v>32</v>
      </c>
      <c r="M351" s="34">
        <f>IF($J351="TZ",INDEX(Xtradata!R$2:R$397,$D351),IF($J351="clip",INDEX(Xtradata!M$2:M$397,$D351),""))</f>
        <v>72</v>
      </c>
      <c r="N351" s="2">
        <v>0</v>
      </c>
      <c r="O351" s="34">
        <f>INDEX(Xtradata!T$2:T$397,$D351)</f>
        <v>0</v>
      </c>
      <c r="P351" s="38">
        <f t="shared" si="43"/>
        <v>0</v>
      </c>
      <c r="Q351" s="48">
        <f t="shared" si="44"/>
        <v>0</v>
      </c>
      <c r="R351" s="48">
        <f t="shared" si="45"/>
        <v>0</v>
      </c>
      <c r="S351" s="48">
        <f t="shared" si="50"/>
        <v>0.30769230769230771</v>
      </c>
      <c r="T351" s="48">
        <f t="shared" si="46"/>
        <v>0.30769230769230771</v>
      </c>
      <c r="U351" s="48">
        <f t="shared" si="47"/>
        <v>0</v>
      </c>
      <c r="V351" s="48">
        <f t="shared" si="48"/>
        <v>0.69230769230769229</v>
      </c>
      <c r="W351" s="48">
        <f t="shared" si="49"/>
        <v>1</v>
      </c>
      <c r="X351" s="14">
        <f>MATCH(C351,'Weights and Seed Amounts'!C$2:C$400,0)</f>
        <v>350</v>
      </c>
      <c r="Y351" s="58">
        <f>INDEX('Weights and Seed Amounts'!D$2:D$400,$X351)</f>
        <v>2.81E-2</v>
      </c>
      <c r="Z351" s="34">
        <f>INDEX(Xtradata!U$2:U$397,$D351)</f>
        <v>0</v>
      </c>
    </row>
    <row r="352" spans="1:26" x14ac:dyDescent="0.25">
      <c r="A352" s="2" t="s">
        <v>573</v>
      </c>
      <c r="B352" s="2" t="s">
        <v>574</v>
      </c>
      <c r="C352" s="2" t="s">
        <v>575</v>
      </c>
      <c r="D352" s="32">
        <f>MATCH(Xtradata!C352,Xtradata!C$2:C750,0)</f>
        <v>351</v>
      </c>
      <c r="E352" s="33">
        <f>INDEX(Xtradata!G$2:G$397,$D352)</f>
        <v>44340</v>
      </c>
      <c r="F352" s="33">
        <f>INDEX(Xtradata!H$2:H$397,$D352)</f>
        <v>44431</v>
      </c>
      <c r="G352" s="2">
        <v>100</v>
      </c>
      <c r="H352" s="2">
        <v>0</v>
      </c>
      <c r="I352" s="2">
        <v>0</v>
      </c>
      <c r="J352" s="33" t="str">
        <f>INDEX(Xtradata!J$2:J$397,$D352)</f>
        <v>TZ</v>
      </c>
      <c r="K352" s="34">
        <f>IF(J352="TZ",INDEX(Xtradata!P$2:P$397,$D352),IF(J352="clip",INDEX(Xtradata!K$2:K$397,$D352),""))</f>
        <v>76</v>
      </c>
      <c r="L352" s="34">
        <f>IF($J352="TZ",INDEX(Xtradata!Q$2:Q$397,$D352),IF($J352="clip",INDEX(Xtradata!L$2:L$397,$D352),""))</f>
        <v>46</v>
      </c>
      <c r="M352" s="34">
        <f>IF($J352="TZ",INDEX(Xtradata!R$2:R$397,$D352),IF($J352="clip",INDEX(Xtradata!M$2:M$397,$D352),""))</f>
        <v>30</v>
      </c>
      <c r="N352" s="2">
        <v>24</v>
      </c>
      <c r="O352" s="34">
        <f>INDEX(Xtradata!T$2:T$397,$D352)</f>
        <v>0</v>
      </c>
      <c r="P352" s="38">
        <f t="shared" si="43"/>
        <v>0</v>
      </c>
      <c r="Q352" s="48">
        <f t="shared" si="44"/>
        <v>0</v>
      </c>
      <c r="R352" s="48">
        <f t="shared" si="45"/>
        <v>0</v>
      </c>
      <c r="S352" s="48">
        <f t="shared" si="50"/>
        <v>0.46</v>
      </c>
      <c r="T352" s="48">
        <f t="shared" si="46"/>
        <v>0.46</v>
      </c>
      <c r="U352" s="48">
        <f t="shared" si="47"/>
        <v>0.24</v>
      </c>
      <c r="V352" s="48">
        <f t="shared" si="48"/>
        <v>0.30000000000000004</v>
      </c>
      <c r="W352" s="48">
        <f t="shared" si="49"/>
        <v>1</v>
      </c>
      <c r="X352" s="14">
        <f>MATCH(C352,'Weights and Seed Amounts'!C$2:C$400,0)</f>
        <v>351</v>
      </c>
      <c r="Y352" s="58">
        <f>INDEX('Weights and Seed Amounts'!D$2:D$400,$X352)</f>
        <v>1.3949</v>
      </c>
      <c r="Z352" s="34">
        <f>INDEX(Xtradata!U$2:U$397,$D352)</f>
        <v>0</v>
      </c>
    </row>
    <row r="353" spans="1:26" x14ac:dyDescent="0.25">
      <c r="A353" s="2" t="s">
        <v>576</v>
      </c>
      <c r="B353" s="2" t="s">
        <v>577</v>
      </c>
      <c r="C353" s="2" t="s">
        <v>578</v>
      </c>
      <c r="D353" s="32">
        <f>MATCH(Xtradata!C353,Xtradata!C$2:C751,0)</f>
        <v>352</v>
      </c>
      <c r="E353" s="33">
        <f>INDEX(Xtradata!G$2:G$397,$D353)</f>
        <v>44329</v>
      </c>
      <c r="F353" s="33">
        <f>INDEX(Xtradata!H$2:H$397,$D353)</f>
        <v>44391</v>
      </c>
      <c r="G353" s="2">
        <v>100</v>
      </c>
      <c r="H353" s="2">
        <v>2</v>
      </c>
      <c r="I353" s="2">
        <v>0</v>
      </c>
      <c r="J353" s="33" t="str">
        <f>INDEX(Xtradata!J$2:J$397,$D353)</f>
        <v>TZ</v>
      </c>
      <c r="K353" s="34">
        <f>IF(J353="TZ",INDEX(Xtradata!P$2:P$397,$D353),IF(J353="clip",INDEX(Xtradata!K$2:K$397,$D353),""))</f>
        <v>98</v>
      </c>
      <c r="L353" s="34">
        <f>IF($J353="TZ",INDEX(Xtradata!Q$2:Q$397,$D353),IF($J353="clip",INDEX(Xtradata!L$2:L$397,$D353),""))</f>
        <v>89</v>
      </c>
      <c r="M353" s="34">
        <f>IF($J353="TZ",INDEX(Xtradata!R$2:R$397,$D353),IF($J353="clip",INDEX(Xtradata!M$2:M$397,$D353),""))</f>
        <v>9</v>
      </c>
      <c r="N353" s="2">
        <v>0</v>
      </c>
      <c r="O353" s="34">
        <f>INDEX(Xtradata!T$2:T$397,$D353)</f>
        <v>0</v>
      </c>
      <c r="P353" s="38">
        <f t="shared" si="43"/>
        <v>0</v>
      </c>
      <c r="Q353" s="48">
        <f t="shared" si="44"/>
        <v>0.02</v>
      </c>
      <c r="R353" s="48">
        <f t="shared" si="45"/>
        <v>0.02</v>
      </c>
      <c r="S353" s="48">
        <f t="shared" si="50"/>
        <v>0.89</v>
      </c>
      <c r="T353" s="48">
        <f t="shared" si="46"/>
        <v>0.91</v>
      </c>
      <c r="U353" s="48">
        <f t="shared" si="47"/>
        <v>0</v>
      </c>
      <c r="V353" s="48">
        <f t="shared" si="48"/>
        <v>8.9999999999999969E-2</v>
      </c>
      <c r="W353" s="48">
        <f t="shared" si="49"/>
        <v>1</v>
      </c>
      <c r="X353" s="14">
        <f>MATCH(C353,'Weights and Seed Amounts'!C$2:C$400,0)</f>
        <v>352</v>
      </c>
      <c r="Y353" s="58">
        <f>INDEX('Weights and Seed Amounts'!D$2:D$400,$X353)</f>
        <v>2.5999999999999999E-3</v>
      </c>
      <c r="Z353" s="34">
        <f>INDEX(Xtradata!U$2:U$397,$D353)</f>
        <v>0</v>
      </c>
    </row>
    <row r="354" spans="1:26" x14ac:dyDescent="0.25">
      <c r="A354" s="2" t="s">
        <v>576</v>
      </c>
      <c r="B354" s="2" t="s">
        <v>577</v>
      </c>
      <c r="C354" s="2" t="s">
        <v>579</v>
      </c>
      <c r="D354" s="32">
        <f>MATCH(Xtradata!C354,Xtradata!C$2:C752,0)</f>
        <v>353</v>
      </c>
      <c r="E354" s="33">
        <f>INDEX(Xtradata!G$2:G$397,$D354)</f>
        <v>44329</v>
      </c>
      <c r="F354" s="33">
        <f>INDEX(Xtradata!H$2:H$397,$D354)</f>
        <v>44391</v>
      </c>
      <c r="G354" s="2">
        <v>100</v>
      </c>
      <c r="H354" s="2">
        <v>0</v>
      </c>
      <c r="I354" s="2">
        <v>0</v>
      </c>
      <c r="J354" s="33" t="str">
        <f>INDEX(Xtradata!J$2:J$397,$D354)</f>
        <v>TZ</v>
      </c>
      <c r="K354" s="34">
        <f>IF(J354="TZ",INDEX(Xtradata!P$2:P$397,$D354),IF(J354="clip",INDEX(Xtradata!K$2:K$397,$D354),""))</f>
        <v>100</v>
      </c>
      <c r="L354" s="34">
        <f>IF($J354="TZ",INDEX(Xtradata!Q$2:Q$397,$D354),IF($J354="clip",INDEX(Xtradata!L$2:L$397,$D354),""))</f>
        <v>96</v>
      </c>
      <c r="M354" s="34">
        <f>IF($J354="TZ",INDEX(Xtradata!R$2:R$397,$D354),IF($J354="clip",INDEX(Xtradata!M$2:M$397,$D354),""))</f>
        <v>4</v>
      </c>
      <c r="N354" s="2">
        <v>0</v>
      </c>
      <c r="O354" s="34">
        <f>INDEX(Xtradata!T$2:T$397,$D354)</f>
        <v>0</v>
      </c>
      <c r="P354" s="38">
        <f t="shared" si="43"/>
        <v>0</v>
      </c>
      <c r="Q354" s="48">
        <f t="shared" si="44"/>
        <v>0</v>
      </c>
      <c r="R354" s="48">
        <f t="shared" si="45"/>
        <v>0</v>
      </c>
      <c r="S354" s="48">
        <f t="shared" si="50"/>
        <v>0.96</v>
      </c>
      <c r="T354" s="48">
        <f t="shared" si="46"/>
        <v>0.96</v>
      </c>
      <c r="U354" s="48">
        <f t="shared" si="47"/>
        <v>0</v>
      </c>
      <c r="V354" s="48">
        <f t="shared" si="48"/>
        <v>4.0000000000000036E-2</v>
      </c>
      <c r="W354" s="48">
        <f t="shared" si="49"/>
        <v>1</v>
      </c>
      <c r="X354" s="14">
        <f>MATCH(C354,'Weights and Seed Amounts'!C$2:C$400,0)</f>
        <v>353</v>
      </c>
      <c r="Y354" s="58">
        <f>INDEX('Weights and Seed Amounts'!D$2:D$400,$X354)</f>
        <v>2.7000000000000001E-3</v>
      </c>
      <c r="Z354" s="34">
        <f>INDEX(Xtradata!U$2:U$397,$D354)</f>
        <v>0</v>
      </c>
    </row>
  </sheetData>
  <autoFilter ref="A1:AF1" xr:uid="{6358076D-5513-4A5D-8EE2-15B4D34A6920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Weights and Seed Amounts</vt:lpstr>
      <vt:lpstr>Pullman shipment</vt:lpstr>
      <vt:lpstr>Germination Protocol</vt:lpstr>
      <vt:lpstr>Xtradata</vt:lpstr>
      <vt:lpstr>Germination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Visintin, Jaelyn - ARS</dc:creator>
  <cp:lastModifiedBy>Hill, Lisa</cp:lastModifiedBy>
  <cp:lastPrinted>2021-07-30T14:59:29Z</cp:lastPrinted>
  <dcterms:created xsi:type="dcterms:W3CDTF">2021-07-15T14:41:21Z</dcterms:created>
  <dcterms:modified xsi:type="dcterms:W3CDTF">2022-01-11T01:32:44Z</dcterms:modified>
</cp:coreProperties>
</file>