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ccarlson\Downloads\"/>
    </mc:Choice>
  </mc:AlternateContent>
  <xr:revisionPtr revIDLastSave="0" documentId="8_{83BE04FD-5BB4-4895-A2FD-C54A86B56161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Budget Analysis" sheetId="1" r:id="rId1"/>
    <sheet name="Ward Budget Summary" sheetId="2" r:id="rId2"/>
    <sheet name="Missionary Balances" sheetId="10" r:id="rId3"/>
    <sheet name="RS" sheetId="3" r:id="rId4"/>
    <sheet name="EQ" sheetId="4" r:id="rId5"/>
    <sheet name="Pri" sheetId="5" r:id="rId6"/>
    <sheet name="YM" sheetId="6" r:id="rId7"/>
    <sheet name="YW" sheetId="7" r:id="rId8"/>
    <sheet name="SS" sheetId="8" r:id="rId9"/>
  </sheets>
  <definedNames>
    <definedName name="_xlnm._FilterDatabase" localSheetId="4" hidden="1">EQ!$A$4:$F$7</definedName>
    <definedName name="_xlnm._FilterDatabase" localSheetId="2" hidden="1">'Missionary Balances'!$A$4:$F$7</definedName>
    <definedName name="_xlnm._FilterDatabase" localSheetId="5" hidden="1">Pri!$A$4:$F$7</definedName>
    <definedName name="_xlnm._FilterDatabase" localSheetId="3" hidden="1">RS!$A$4:$F$7</definedName>
    <definedName name="_xlnm._FilterDatabase" localSheetId="8" hidden="1">SS!$A$4:$F$6</definedName>
    <definedName name="_xlnm._FilterDatabase" localSheetId="1" hidden="1">'Ward Budget Summary'!$A$4:$F$32</definedName>
    <definedName name="_xlnm._FilterDatabase" localSheetId="6" hidden="1">YM!$A$4:$F$11</definedName>
    <definedName name="_xlnm._FilterDatabase" localSheetId="7" hidden="1">YW!$A$4:$F$9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w4TzuuaLXHhtIjn/N9WQenCg9IiqTqtS+HPivc+Qrcs="/>
    </ext>
  </extLst>
</workbook>
</file>

<file path=xl/calcChain.xml><?xml version="1.0" encoding="utf-8"?>
<calcChain xmlns="http://schemas.openxmlformats.org/spreadsheetml/2006/main">
  <c r="B29" i="10" l="1"/>
  <c r="F7" i="10"/>
  <c r="H7" i="10" s="1"/>
  <c r="F8" i="10"/>
  <c r="H8" i="10" s="1"/>
  <c r="F9" i="10"/>
  <c r="H9" i="10" s="1"/>
  <c r="F10" i="10"/>
  <c r="H10" i="10" s="1"/>
  <c r="F6" i="10"/>
  <c r="H6" i="10" s="1"/>
  <c r="C1" i="10"/>
  <c r="P43" i="1"/>
  <c r="P44" i="1"/>
  <c r="L43" i="1"/>
  <c r="L44" i="1"/>
  <c r="L42" i="1"/>
  <c r="K9" i="1"/>
  <c r="C6" i="8"/>
  <c r="D5" i="8"/>
  <c r="C5" i="8"/>
  <c r="C1" i="8"/>
  <c r="D9" i="7"/>
  <c r="C9" i="7"/>
  <c r="B9" i="7"/>
  <c r="D8" i="7"/>
  <c r="C8" i="7"/>
  <c r="C7" i="7"/>
  <c r="D6" i="7"/>
  <c r="C6" i="7"/>
  <c r="B6" i="7"/>
  <c r="D5" i="7"/>
  <c r="C5" i="7"/>
  <c r="B5" i="7"/>
  <c r="C1" i="7"/>
  <c r="D11" i="6"/>
  <c r="C11" i="6"/>
  <c r="C10" i="6"/>
  <c r="B10" i="6"/>
  <c r="C9" i="6"/>
  <c r="C8" i="6"/>
  <c r="D7" i="6"/>
  <c r="C7" i="6"/>
  <c r="C6" i="6"/>
  <c r="B6" i="6"/>
  <c r="F5" i="6"/>
  <c r="C5" i="6"/>
  <c r="C1" i="6"/>
  <c r="C7" i="5"/>
  <c r="C6" i="5"/>
  <c r="C5" i="5"/>
  <c r="B5" i="5"/>
  <c r="C1" i="5"/>
  <c r="D7" i="4"/>
  <c r="C7" i="4"/>
  <c r="B7" i="4"/>
  <c r="D6" i="4"/>
  <c r="C6" i="4"/>
  <c r="B6" i="4"/>
  <c r="C5" i="4"/>
  <c r="C1" i="4"/>
  <c r="D7" i="3"/>
  <c r="C7" i="3"/>
  <c r="C6" i="3"/>
  <c r="B6" i="3"/>
  <c r="D5" i="3"/>
  <c r="C5" i="3"/>
  <c r="B5" i="3"/>
  <c r="C1" i="3"/>
  <c r="C32" i="2"/>
  <c r="F31" i="2"/>
  <c r="D31" i="2"/>
  <c r="E31" i="2" s="1"/>
  <c r="B31" i="2"/>
  <c r="D30" i="2"/>
  <c r="B30" i="2"/>
  <c r="F30" i="2" s="1"/>
  <c r="F9" i="7" s="1"/>
  <c r="D29" i="2"/>
  <c r="B29" i="2"/>
  <c r="B8" i="7" s="1"/>
  <c r="F28" i="2"/>
  <c r="F7" i="7" s="1"/>
  <c r="E28" i="2"/>
  <c r="E7" i="7" s="1"/>
  <c r="D28" i="2"/>
  <c r="D7" i="7" s="1"/>
  <c r="B28" i="2"/>
  <c r="B7" i="7" s="1"/>
  <c r="F27" i="2"/>
  <c r="F10" i="6" s="1"/>
  <c r="D27" i="2"/>
  <c r="D10" i="6" s="1"/>
  <c r="B27" i="2"/>
  <c r="E27" i="2" s="1"/>
  <c r="E10" i="6" s="1"/>
  <c r="D26" i="2"/>
  <c r="F26" i="2" s="1"/>
  <c r="F11" i="6" s="1"/>
  <c r="B26" i="2"/>
  <c r="B11" i="6" s="1"/>
  <c r="D25" i="2"/>
  <c r="D9" i="6" s="1"/>
  <c r="B25" i="2"/>
  <c r="F25" i="2" s="1"/>
  <c r="F9" i="6" s="1"/>
  <c r="D24" i="2"/>
  <c r="D8" i="6" s="1"/>
  <c r="B24" i="2"/>
  <c r="E24" i="2" s="1"/>
  <c r="E8" i="6" s="1"/>
  <c r="F23" i="2"/>
  <c r="F7" i="6" s="1"/>
  <c r="E23" i="2"/>
  <c r="E7" i="6" s="1"/>
  <c r="D23" i="2"/>
  <c r="B23" i="2"/>
  <c r="B7" i="6" s="1"/>
  <c r="F22" i="2"/>
  <c r="F6" i="8" s="1"/>
  <c r="D22" i="2"/>
  <c r="D6" i="8" s="1"/>
  <c r="B22" i="2"/>
  <c r="E22" i="2" s="1"/>
  <c r="E6" i="8" s="1"/>
  <c r="F21" i="2"/>
  <c r="D21" i="2"/>
  <c r="E21" i="2" s="1"/>
  <c r="B21" i="2"/>
  <c r="D20" i="2"/>
  <c r="B20" i="2"/>
  <c r="B7" i="3" s="1"/>
  <c r="D19" i="2"/>
  <c r="D7" i="5" s="1"/>
  <c r="B19" i="2"/>
  <c r="F19" i="2" s="1"/>
  <c r="F7" i="5" s="1"/>
  <c r="D18" i="2"/>
  <c r="D6" i="5" s="1"/>
  <c r="B18" i="2"/>
  <c r="B6" i="5" s="1"/>
  <c r="F17" i="2"/>
  <c r="F5" i="5" s="1"/>
  <c r="D17" i="2"/>
  <c r="D5" i="5" s="1"/>
  <c r="B17" i="2"/>
  <c r="E17" i="2" s="1"/>
  <c r="E5" i="5" s="1"/>
  <c r="F16" i="2"/>
  <c r="D16" i="2"/>
  <c r="E16" i="2" s="1"/>
  <c r="B16" i="2"/>
  <c r="D15" i="2"/>
  <c r="B15" i="2"/>
  <c r="B5" i="8" s="1"/>
  <c r="D14" i="2"/>
  <c r="B14" i="2"/>
  <c r="F14" i="2" s="1"/>
  <c r="F13" i="2"/>
  <c r="F7" i="4" s="1"/>
  <c r="E13" i="2"/>
  <c r="E7" i="4" s="1"/>
  <c r="D13" i="2"/>
  <c r="B13" i="2"/>
  <c r="D12" i="2"/>
  <c r="F11" i="2"/>
  <c r="D11" i="2"/>
  <c r="E11" i="2" s="1"/>
  <c r="B11" i="2"/>
  <c r="D10" i="2"/>
  <c r="B10" i="2"/>
  <c r="F10" i="2" s="1"/>
  <c r="D9" i="2"/>
  <c r="B9" i="2"/>
  <c r="E9" i="2" s="1"/>
  <c r="F8" i="2"/>
  <c r="F6" i="6" s="1"/>
  <c r="E8" i="2"/>
  <c r="E6" i="7" s="1"/>
  <c r="D8" i="2"/>
  <c r="D6" i="6" s="1"/>
  <c r="B8" i="2"/>
  <c r="F7" i="2"/>
  <c r="F5" i="7" s="1"/>
  <c r="D7" i="2"/>
  <c r="D5" i="6" s="1"/>
  <c r="B7" i="2"/>
  <c r="E7" i="2" s="1"/>
  <c r="D6" i="2"/>
  <c r="E6" i="2" s="1"/>
  <c r="B6" i="2"/>
  <c r="D5" i="2"/>
  <c r="D5" i="4" s="1"/>
  <c r="B5" i="2"/>
  <c r="B5" i="4" s="1"/>
  <c r="C1" i="2"/>
  <c r="P39" i="1"/>
  <c r="O39" i="1"/>
  <c r="P40" i="1" s="1"/>
  <c r="N39" i="1"/>
  <c r="L39" i="1"/>
  <c r="K39" i="1"/>
  <c r="L40" i="1" s="1"/>
  <c r="J39" i="1"/>
  <c r="H39" i="1"/>
  <c r="G39" i="1"/>
  <c r="H40" i="1" s="1"/>
  <c r="D39" i="1"/>
  <c r="C39" i="1"/>
  <c r="D40" i="1" s="1"/>
  <c r="B12" i="2"/>
  <c r="G9" i="1"/>
  <c r="G40" i="1" s="1"/>
  <c r="C9" i="1"/>
  <c r="C40" i="1" s="1"/>
  <c r="O7" i="1"/>
  <c r="O6" i="1"/>
  <c r="O5" i="1"/>
  <c r="O4" i="1"/>
  <c r="B30" i="10" l="1"/>
  <c r="F18" i="2"/>
  <c r="F6" i="5" s="1"/>
  <c r="E18" i="2"/>
  <c r="E6" i="5" s="1"/>
  <c r="E6" i="4"/>
  <c r="E6" i="3"/>
  <c r="E5" i="6"/>
  <c r="E5" i="7"/>
  <c r="F12" i="2"/>
  <c r="E12" i="2"/>
  <c r="D41" i="1"/>
  <c r="D42" i="1" s="1"/>
  <c r="H41" i="1"/>
  <c r="H42" i="1" s="1"/>
  <c r="D6" i="3"/>
  <c r="E5" i="2"/>
  <c r="E10" i="2"/>
  <c r="E15" i="2"/>
  <c r="E5" i="8" s="1"/>
  <c r="E20" i="2"/>
  <c r="E7" i="3" s="1"/>
  <c r="E25" i="2"/>
  <c r="E9" i="6" s="1"/>
  <c r="E30" i="2"/>
  <c r="E9" i="7" s="1"/>
  <c r="B5" i="6"/>
  <c r="B9" i="6"/>
  <c r="F5" i="2"/>
  <c r="F15" i="2"/>
  <c r="F5" i="8" s="1"/>
  <c r="F20" i="2"/>
  <c r="F7" i="3" s="1"/>
  <c r="F6" i="2"/>
  <c r="B32" i="2"/>
  <c r="F9" i="2"/>
  <c r="F24" i="2"/>
  <c r="F8" i="6" s="1"/>
  <c r="K40" i="1"/>
  <c r="L41" i="1" s="1"/>
  <c r="E26" i="2"/>
  <c r="E11" i="6" s="1"/>
  <c r="F6" i="7"/>
  <c r="B6" i="8"/>
  <c r="E14" i="2"/>
  <c r="E19" i="2"/>
  <c r="E7" i="5" s="1"/>
  <c r="E29" i="2"/>
  <c r="E8" i="7" s="1"/>
  <c r="D32" i="2"/>
  <c r="E6" i="6"/>
  <c r="B8" i="6"/>
  <c r="B7" i="5"/>
  <c r="F29" i="2"/>
  <c r="F8" i="7" s="1"/>
  <c r="O3" i="1" l="1"/>
  <c r="O9" i="1" s="1"/>
  <c r="O40" i="1" s="1"/>
  <c r="P41" i="1" s="1"/>
  <c r="F5" i="4"/>
  <c r="F5" i="3"/>
  <c r="E5" i="4"/>
  <c r="E5" i="3"/>
  <c r="E32" i="2"/>
  <c r="F32" i="2" s="1"/>
  <c r="F6" i="4"/>
  <c r="F6" i="3"/>
  <c r="P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3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ID#AAABBu9sObc
    (2023-12-21 23:49:13)
Unallocated funds were assigned here to offset the overbudget expenses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+9DmkzoMBhI/+T53/Z+6ne3cskA=="/>
    </ext>
  </extLst>
</comments>
</file>

<file path=xl/sharedStrings.xml><?xml version="1.0" encoding="utf-8"?>
<sst xmlns="http://schemas.openxmlformats.org/spreadsheetml/2006/main" count="393" uniqueCount="141">
  <si>
    <t>Income</t>
  </si>
  <si>
    <t>Balance Forward</t>
  </si>
  <si>
    <t>Actual</t>
  </si>
  <si>
    <t>Estimate</t>
  </si>
  <si>
    <t>Q1</t>
  </si>
  <si>
    <t>Q2</t>
  </si>
  <si>
    <t>Q3</t>
  </si>
  <si>
    <t xml:space="preserve">Actual </t>
  </si>
  <si>
    <t>Q4</t>
  </si>
  <si>
    <t>Other</t>
  </si>
  <si>
    <t>Budget</t>
  </si>
  <si>
    <t>Actual YTD</t>
  </si>
  <si>
    <t>Activities</t>
  </si>
  <si>
    <t>Funeral</t>
  </si>
  <si>
    <t>YM/YW Combined</t>
  </si>
  <si>
    <t>Youth Conference</t>
  </si>
  <si>
    <t>Administration</t>
  </si>
  <si>
    <t>Contingency</t>
  </si>
  <si>
    <t>Curriculum</t>
  </si>
  <si>
    <t>Distribution Center</t>
  </si>
  <si>
    <t>Elders Quorum</t>
  </si>
  <si>
    <t>FSY</t>
  </si>
  <si>
    <t>Library</t>
  </si>
  <si>
    <t>Miscellaneous</t>
  </si>
  <si>
    <t>Primary</t>
  </si>
  <si>
    <t>Activities-Boys</t>
  </si>
  <si>
    <t>Activities-Girls</t>
  </si>
  <si>
    <t>Relief Society</t>
  </si>
  <si>
    <t>Single Adults</t>
  </si>
  <si>
    <t>Sunday School</t>
  </si>
  <si>
    <t>Young Men</t>
  </si>
  <si>
    <t>Boys Camp</t>
  </si>
  <si>
    <t>Deacons</t>
  </si>
  <si>
    <t>Teachers</t>
  </si>
  <si>
    <t>Priests</t>
  </si>
  <si>
    <t>Young Women</t>
  </si>
  <si>
    <t>Girls Camp</t>
  </si>
  <si>
    <t>YW 12-14</t>
  </si>
  <si>
    <t>YW 12-18</t>
  </si>
  <si>
    <t>YW 15-18</t>
  </si>
  <si>
    <t>Unallocated</t>
  </si>
  <si>
    <t>Total Balance</t>
  </si>
  <si>
    <t>Cross Check</t>
  </si>
  <si>
    <t>Forward to Stake</t>
  </si>
  <si>
    <t>Budget Summary Report</t>
  </si>
  <si>
    <t>Ammon 23rd Ward (495123)</t>
  </si>
  <si>
    <t>Ward Budget YTD</t>
  </si>
  <si>
    <t>Ammon Idaho North Stake (568961)</t>
  </si>
  <si>
    <t>FOR CHURCH USE ONLY</t>
  </si>
  <si>
    <t>CATEGORY</t>
  </si>
  <si>
    <t>BUDGET</t>
  </si>
  <si>
    <t>INCOME</t>
  </si>
  <si>
    <t>EXPENSES</t>
  </si>
  <si>
    <t>BALANCE</t>
  </si>
  <si>
    <t>% SPENT</t>
  </si>
  <si>
    <t>Distribution Center Charges</t>
  </si>
  <si>
    <t>Activities - Boys</t>
  </si>
  <si>
    <t>Activities - Girls</t>
  </si>
  <si>
    <t>Total</t>
  </si>
  <si>
    <t>Relief Society YTD</t>
  </si>
  <si>
    <t>Megan Jentzsch</t>
  </si>
  <si>
    <t>Relief Society First Counselor</t>
  </si>
  <si>
    <t>megan.jentzsch@gmail.com</t>
  </si>
  <si>
    <t>Nelson, Heidi</t>
  </si>
  <si>
    <t>Relief Society President</t>
  </si>
  <si>
    <t>Khgnelson@gmail.com</t>
  </si>
  <si>
    <t>Hill, Sheena</t>
  </si>
  <si>
    <t>Relief Society Second Counselor</t>
  </si>
  <si>
    <t>1720.sheena@gmail.com</t>
  </si>
  <si>
    <t>Elders Quorum YTD</t>
  </si>
  <si>
    <t>Murdock, Chad S</t>
  </si>
  <si>
    <t>Elders Quorum First Counselor</t>
  </si>
  <si>
    <t>chadmurdock98@gmail.com</t>
  </si>
  <si>
    <t>Murray, Blake M</t>
  </si>
  <si>
    <t>Elders Quorum President</t>
  </si>
  <si>
    <t>bmurrz271@gmail.com</t>
  </si>
  <si>
    <t>Potter, Aaron Ryan</t>
  </si>
  <si>
    <t>Elders Quorum Second Counselor</t>
  </si>
  <si>
    <t>potter.aaron22@gmail.com</t>
  </si>
  <si>
    <t>Primary YTD</t>
  </si>
  <si>
    <t>Peterson, Emilie</t>
  </si>
  <si>
    <t>Primary First Counselor</t>
  </si>
  <si>
    <t>emiliemoncur@gmail.com</t>
  </si>
  <si>
    <t>Neville, Lacey Nora</t>
  </si>
  <si>
    <t>Primary President</t>
  </si>
  <si>
    <t>lelkington22@gmail.com</t>
  </si>
  <si>
    <t>Winegardner, Amy</t>
  </si>
  <si>
    <t>Primary Second Counselor</t>
  </si>
  <si>
    <t>squantogirl@gmail.com</t>
  </si>
  <si>
    <t>Young Men YTD</t>
  </si>
  <si>
    <t>Bell, Justin</t>
  </si>
  <si>
    <t>BishopPriests Quorum President</t>
  </si>
  <si>
    <t>drjbell@gmail.com</t>
  </si>
  <si>
    <t>Jardine, Michael</t>
  </si>
  <si>
    <t>Bishopric First Counselor</t>
  </si>
  <si>
    <t>mdavisj23@gmail.com</t>
  </si>
  <si>
    <t>Evans, Chad</t>
  </si>
  <si>
    <t>Bishopric Second Counselor</t>
  </si>
  <si>
    <t>chadhevans@gmail.com</t>
  </si>
  <si>
    <t>Young Women YTD</t>
  </si>
  <si>
    <t>Peterson, Katie</t>
  </si>
  <si>
    <t>Young Women First Counselor</t>
  </si>
  <si>
    <t>ktlords@hotmail.com</t>
  </si>
  <si>
    <t>Slack, Kara</t>
  </si>
  <si>
    <t>Young Women President</t>
  </si>
  <si>
    <t>karaslack@hotmail.com</t>
  </si>
  <si>
    <t>Bush, Carly Renae</t>
  </si>
  <si>
    <t>Young Women Second Counselor</t>
  </si>
  <si>
    <t>willcarly11@gmail.com</t>
  </si>
  <si>
    <t>Sunday School YTD</t>
  </si>
  <si>
    <t>Trejo, Oscar Sergio</t>
  </si>
  <si>
    <t>Sunday School First Counselor</t>
  </si>
  <si>
    <t>otrejo.3103@gmail.com</t>
  </si>
  <si>
    <t>Sloan, Jared</t>
  </si>
  <si>
    <t>Sunday School President</t>
  </si>
  <si>
    <t>jsloan3452@gmail.com</t>
  </si>
  <si>
    <t>Robison, Brett</t>
  </si>
  <si>
    <t>Sunday School Second Counselor</t>
  </si>
  <si>
    <t>brobison2@gmail.com</t>
  </si>
  <si>
    <t>50% Budget</t>
  </si>
  <si>
    <t>Missionary Balance Summary</t>
  </si>
  <si>
    <t>Ward Missionary</t>
  </si>
  <si>
    <t>Allysa Bagley</t>
  </si>
  <si>
    <t>TRANSFERS</t>
  </si>
  <si>
    <t>Mason Benson</t>
  </si>
  <si>
    <t>Ty Murdock</t>
  </si>
  <si>
    <t>Paige Murray</t>
  </si>
  <si>
    <t>Caleb O'Connor</t>
  </si>
  <si>
    <t>End</t>
  </si>
  <si>
    <t>Req Funds</t>
  </si>
  <si>
    <t>Remaining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</si>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</sst>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&quot;$&quot;#,##0.00"/>
    <numFmt numFmtId="166" formatCode="0.0"/>
    <numFmt numFmtId="167" formatCode="mm/dd/yy;@"/>
  </numFmts>
  <fonts count="24" x14ac:knownFonts="1">
    <font>
      <sz val="11"/>
      <color theme="1"/>
      <name val="Calibri"/>
      <scheme val="minor"/>
    </font>
    <font>
      <b/>
      <sz val="18"/>
      <color theme="1"/>
      <name val="Aptos"/>
    </font>
    <font>
      <sz val="11"/>
      <name val="Calibri"/>
    </font>
    <font>
      <b/>
      <sz val="12"/>
      <color theme="1"/>
      <name val="Aptos"/>
    </font>
    <font>
      <sz val="11"/>
      <color theme="1"/>
      <name val="Aptos"/>
    </font>
    <font>
      <sz val="8"/>
      <color theme="1"/>
      <name val="Aptos"/>
    </font>
    <font>
      <sz val="11"/>
      <color theme="1"/>
      <name val="Calibri"/>
    </font>
    <font>
      <sz val="11"/>
      <color theme="1"/>
      <name val="Arial"/>
    </font>
    <font>
      <sz val="8"/>
      <color theme="1"/>
      <name val="Arial"/>
    </font>
    <font>
      <b/>
      <sz val="11"/>
      <color theme="1"/>
      <name val="Aptos"/>
    </font>
    <font>
      <b/>
      <sz val="14"/>
      <color theme="1"/>
      <name val="Aptos"/>
    </font>
    <font>
      <sz val="11"/>
      <color rgb="FF000000"/>
      <name val="Aptos"/>
    </font>
    <font>
      <strike/>
      <sz val="11"/>
      <color theme="1"/>
      <name val="Aptos"/>
    </font>
    <font>
      <b/>
      <sz val="14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strike/>
      <sz val="11"/>
      <color theme="1"/>
      <name val="Arial"/>
    </font>
    <font>
      <sz val="11"/>
      <color theme="1"/>
      <name val="Calibri"/>
      <scheme val="minor"/>
    </font>
    <font>
      <sz val="11"/>
      <color theme="1"/>
      <name val="Aptos"/>
      <family val="2"/>
    </font>
    <font>
      <b/>
      <sz val="14"/>
      <color theme="1"/>
      <name val="Aptos"/>
      <family val="2"/>
    </font>
    <font>
      <sz val="10"/>
      <color theme="1"/>
      <name val="Aptos"/>
      <family val="2"/>
    </font>
    <font>
      <sz val="8"/>
      <color theme="1"/>
      <name val="Aptos"/>
      <family val="2"/>
    </font>
    <font>
      <b/>
      <sz val="11"/>
      <color theme="1"/>
      <name val="Aptos"/>
      <family val="2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103">
    <xf numFmtId="0" fontId="0" fillId="0" borderId="0" xfId="0"/>
    <xf numFmtId="0" fontId="3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3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0" borderId="13" xfId="0" applyFont="1" applyBorder="1"/>
    <xf numFmtId="0" fontId="4" fillId="0" borderId="0" xfId="0" applyFont="1" applyAlignment="1">
      <alignment horizontal="right"/>
    </xf>
    <xf numFmtId="44" fontId="4" fillId="0" borderId="0" xfId="0" applyNumberFormat="1" applyFont="1"/>
    <xf numFmtId="0" fontId="5" fillId="0" borderId="14" xfId="0" applyFont="1" applyBorder="1" applyAlignment="1">
      <alignment horizontal="center"/>
    </xf>
    <xf numFmtId="0" fontId="4" fillId="2" borderId="15" xfId="0" applyFont="1" applyFill="1" applyBorder="1"/>
    <xf numFmtId="0" fontId="4" fillId="2" borderId="16" xfId="0" applyFont="1" applyFill="1" applyBorder="1" applyAlignment="1">
      <alignment horizontal="right"/>
    </xf>
    <xf numFmtId="44" fontId="4" fillId="2" borderId="16" xfId="0" applyNumberFormat="1" applyFont="1" applyFill="1" applyBorder="1"/>
    <xf numFmtId="0" fontId="5" fillId="2" borderId="17" xfId="0" applyFont="1" applyFill="1" applyBorder="1" applyAlignment="1">
      <alignment horizontal="center"/>
    </xf>
    <xf numFmtId="44" fontId="6" fillId="0" borderId="0" xfId="0" applyNumberFormat="1" applyFont="1"/>
    <xf numFmtId="44" fontId="7" fillId="0" borderId="0" xfId="0" applyNumberFormat="1" applyFont="1"/>
    <xf numFmtId="0" fontId="8" fillId="0" borderId="14" xfId="0" applyFont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 applyAlignment="1">
      <alignment horizontal="right"/>
    </xf>
    <xf numFmtId="44" fontId="4" fillId="0" borderId="19" xfId="0" applyNumberFormat="1" applyFont="1" applyBorder="1"/>
    <xf numFmtId="0" fontId="5" fillId="0" borderId="20" xfId="0" applyFont="1" applyBorder="1" applyAlignment="1">
      <alignment horizontal="center"/>
    </xf>
    <xf numFmtId="0" fontId="4" fillId="2" borderId="21" xfId="0" applyFont="1" applyFill="1" applyBorder="1"/>
    <xf numFmtId="0" fontId="4" fillId="2" borderId="22" xfId="0" applyFont="1" applyFill="1" applyBorder="1" applyAlignment="1">
      <alignment horizontal="right"/>
    </xf>
    <xf numFmtId="44" fontId="4" fillId="2" borderId="22" xfId="0" applyNumberFormat="1" applyFont="1" applyFill="1" applyBorder="1"/>
    <xf numFmtId="0" fontId="5" fillId="2" borderId="23" xfId="0" applyFont="1" applyFill="1" applyBorder="1" applyAlignment="1">
      <alignment horizontal="center"/>
    </xf>
    <xf numFmtId="0" fontId="4" fillId="0" borderId="14" xfId="0" applyFont="1" applyBorder="1"/>
    <xf numFmtId="0" fontId="4" fillId="2" borderId="17" xfId="0" applyFont="1" applyFill="1" applyBorder="1"/>
    <xf numFmtId="0" fontId="4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4" fillId="0" borderId="0" xfId="0" applyFont="1"/>
    <xf numFmtId="44" fontId="4" fillId="0" borderId="14" xfId="0" applyNumberFormat="1" applyFont="1" applyBorder="1"/>
    <xf numFmtId="0" fontId="4" fillId="2" borderId="16" xfId="0" applyFont="1" applyFill="1" applyBorder="1"/>
    <xf numFmtId="44" fontId="4" fillId="2" borderId="17" xfId="0" applyNumberFormat="1" applyFont="1" applyFill="1" applyBorder="1"/>
    <xf numFmtId="44" fontId="11" fillId="0" borderId="0" xfId="0" applyNumberFormat="1" applyFont="1"/>
    <xf numFmtId="44" fontId="11" fillId="2" borderId="16" xfId="0" applyNumberFormat="1" applyFont="1" applyFill="1" applyBorder="1"/>
    <xf numFmtId="44" fontId="7" fillId="0" borderId="14" xfId="0" applyNumberFormat="1" applyFont="1" applyBorder="1"/>
    <xf numFmtId="0" fontId="4" fillId="0" borderId="19" xfId="0" applyFont="1" applyBorder="1"/>
    <xf numFmtId="44" fontId="4" fillId="0" borderId="20" xfId="0" applyNumberFormat="1" applyFont="1" applyBorder="1"/>
    <xf numFmtId="0" fontId="12" fillId="0" borderId="18" xfId="0" applyFont="1" applyBorder="1"/>
    <xf numFmtId="0" fontId="12" fillId="2" borderId="21" xfId="0" applyFont="1" applyFill="1" applyBorder="1"/>
    <xf numFmtId="0" fontId="4" fillId="2" borderId="22" xfId="0" applyFont="1" applyFill="1" applyBorder="1"/>
    <xf numFmtId="44" fontId="4" fillId="2" borderId="23" xfId="0" applyNumberFormat="1" applyFont="1" applyFill="1" applyBorder="1"/>
    <xf numFmtId="0" fontId="6" fillId="0" borderId="0" xfId="0" applyFont="1"/>
    <xf numFmtId="0" fontId="4" fillId="0" borderId="7" xfId="0" applyFont="1" applyBorder="1" applyAlignment="1">
      <alignment horizontal="right"/>
    </xf>
    <xf numFmtId="44" fontId="4" fillId="0" borderId="9" xfId="0" applyNumberFormat="1" applyFont="1" applyBorder="1"/>
    <xf numFmtId="0" fontId="4" fillId="2" borderId="10" xfId="0" applyFont="1" applyFill="1" applyBorder="1" applyAlignment="1">
      <alignment horizontal="right"/>
    </xf>
    <xf numFmtId="44" fontId="4" fillId="2" borderId="12" xfId="0" applyNumberFormat="1" applyFont="1" applyFill="1" applyBorder="1"/>
    <xf numFmtId="164" fontId="4" fillId="0" borderId="0" xfId="0" applyNumberFormat="1" applyFont="1"/>
    <xf numFmtId="164" fontId="4" fillId="2" borderId="16" xfId="0" applyNumberFormat="1" applyFont="1" applyFill="1" applyBorder="1"/>
    <xf numFmtId="0" fontId="13" fillId="0" borderId="0" xfId="0" applyFont="1"/>
    <xf numFmtId="0" fontId="7" fillId="0" borderId="0" xfId="0" applyFont="1"/>
    <xf numFmtId="14" fontId="7" fillId="0" borderId="0" xfId="0" applyNumberFormat="1" applyFont="1"/>
    <xf numFmtId="0" fontId="14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left"/>
    </xf>
    <xf numFmtId="8" fontId="7" fillId="0" borderId="0" xfId="0" applyNumberFormat="1" applyFont="1" applyAlignment="1">
      <alignment horizontal="right"/>
    </xf>
    <xf numFmtId="44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0" fontId="16" fillId="0" borderId="25" xfId="0" applyFont="1" applyBorder="1"/>
    <xf numFmtId="44" fontId="7" fillId="0" borderId="25" xfId="0" applyNumberFormat="1" applyFont="1" applyBorder="1" applyAlignment="1">
      <alignment horizontal="left"/>
    </xf>
    <xf numFmtId="8" fontId="7" fillId="0" borderId="25" xfId="0" applyNumberFormat="1" applyFont="1" applyBorder="1" applyAlignment="1">
      <alignment horizontal="right"/>
    </xf>
    <xf numFmtId="44" fontId="7" fillId="0" borderId="25" xfId="0" applyNumberFormat="1" applyFont="1" applyBorder="1" applyAlignment="1">
      <alignment horizontal="right"/>
    </xf>
    <xf numFmtId="9" fontId="7" fillId="0" borderId="25" xfId="0" applyNumberFormat="1" applyFont="1" applyBorder="1" applyAlignment="1">
      <alignment horizontal="right"/>
    </xf>
    <xf numFmtId="0" fontId="15" fillId="0" borderId="0" xfId="0" applyFont="1"/>
    <xf numFmtId="44" fontId="15" fillId="0" borderId="0" xfId="0" applyNumberFormat="1" applyFont="1" applyAlignment="1">
      <alignment horizontal="right"/>
    </xf>
    <xf numFmtId="165" fontId="15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44" fontId="0" fillId="0" borderId="0" xfId="1" applyFont="1"/>
    <xf numFmtId="44" fontId="6" fillId="0" borderId="0" xfId="1" applyFont="1"/>
    <xf numFmtId="0" fontId="18" fillId="0" borderId="0" xfId="0" applyFont="1"/>
    <xf numFmtId="44" fontId="18" fillId="0" borderId="0" xfId="1" applyFont="1" applyAlignment="1">
      <alignment horizontal="right"/>
    </xf>
    <xf numFmtId="44" fontId="18" fillId="0" borderId="0" xfId="1" applyFont="1"/>
    <xf numFmtId="0" fontId="19" fillId="0" borderId="0" xfId="0" applyFont="1"/>
    <xf numFmtId="14" fontId="18" fillId="0" borderId="0" xfId="0" applyNumberFormat="1" applyFont="1"/>
    <xf numFmtId="0" fontId="20" fillId="0" borderId="0" xfId="0" applyFont="1" applyAlignment="1">
      <alignment horizontal="right"/>
    </xf>
    <xf numFmtId="0" fontId="21" fillId="0" borderId="0" xfId="0" applyFont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166" fontId="18" fillId="0" borderId="26" xfId="0" applyNumberFormat="1" applyFont="1" applyBorder="1" applyAlignment="1">
      <alignment horizontal="center"/>
    </xf>
    <xf numFmtId="167" fontId="18" fillId="0" borderId="16" xfId="0" applyNumberFormat="1" applyFont="1" applyBorder="1" applyAlignment="1">
      <alignment horizontal="center"/>
    </xf>
    <xf numFmtId="44" fontId="18" fillId="0" borderId="27" xfId="1" applyFont="1" applyBorder="1"/>
    <xf numFmtId="166" fontId="18" fillId="0" borderId="28" xfId="0" applyNumberFormat="1" applyFont="1" applyBorder="1" applyAlignment="1">
      <alignment horizontal="center"/>
    </xf>
    <xf numFmtId="167" fontId="18" fillId="0" borderId="29" xfId="0" applyNumberFormat="1" applyFont="1" applyBorder="1" applyAlignment="1">
      <alignment horizontal="center"/>
    </xf>
    <xf numFmtId="44" fontId="18" fillId="0" borderId="30" xfId="1" applyFont="1" applyBorder="1"/>
    <xf numFmtId="9" fontId="18" fillId="3" borderId="26" xfId="0" applyNumberFormat="1" applyFont="1" applyFill="1" applyBorder="1" applyAlignment="1">
      <alignment horizontal="right"/>
    </xf>
    <xf numFmtId="0" fontId="0" fillId="3" borderId="16" xfId="0" applyFill="1" applyBorder="1"/>
    <xf numFmtId="0" fontId="0" fillId="3" borderId="27" xfId="0" applyFill="1" applyBorder="1"/>
    <xf numFmtId="0" fontId="22" fillId="0" borderId="31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</cellXfs>
  <cellStyles count="2">
    <cellStyle name="Currency" xfId="1" builtinId="4"/>
    <cellStyle name="Normal" xfId="0" builtinId="0"/>
  </cellStyles>
  <dxfs count="2">
    <dxf>
      <font>
        <color rgb="FFC00000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'Missionary Balances'!$A$13:$A$22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'Missionary Balances'!$B$13:$B$22</c:f>
              <c:numCache>
                <c:formatCode>_("$"* #,##0.00_);_("$"* \(#,##0.00\);_("$"* "-"??_);_(@_)</c:formatCode>
                <c:ptCount val="10"/>
                <c:pt idx="0">
                  <c:v>17009.580000000002</c:v>
                </c:pt>
                <c:pt idx="1">
                  <c:v>17069.580000000002</c:v>
                </c:pt>
                <c:pt idx="2">
                  <c:v>17079.580000000002</c:v>
                </c:pt>
                <c:pt idx="3">
                  <c:v>17114.580000000002</c:v>
                </c:pt>
                <c:pt idx="4">
                  <c:v>17174.580000000002</c:v>
                </c:pt>
                <c:pt idx="5">
                  <c:v>17259.580000000002</c:v>
                </c:pt>
                <c:pt idx="6">
                  <c:v>17319.580000000002</c:v>
                </c:pt>
                <c:pt idx="7">
                  <c:v>17404.580000000002</c:v>
                </c:pt>
                <c:pt idx="8">
                  <c:v>14370.58</c:v>
                </c:pt>
                <c:pt idx="9">
                  <c:v>14227.58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D-4AE1-8FDA-2073ABB8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370176"/>
        <c:axId val="823363696"/>
      </c:barChart>
      <c:catAx>
        <c:axId val="8233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63696"/>
        <c:crosses val="autoZero"/>
        <c:auto val="1"/>
        <c:lblAlgn val="ctr"/>
        <c:lblOffset val="100"/>
        <c:noMultiLvlLbl val="0"/>
      </c:catAx>
      <c:valAx>
        <c:axId val="823363696"/>
        <c:scaling>
          <c:orientation val="minMax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70176"/>
        <c:crosses val="autoZero"/>
        <c:crossBetween val="between"/>
        <c:min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43</xdr:row>
      <xdr:rowOff>0</xdr:rowOff>
    </xdr:from>
    <xdr:ext cx="3190875" cy="8572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55325" y="3356138"/>
          <a:ext cx="3181350" cy="8477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Cross check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Balance forward cannot exceed 50% of annual budget.  Excess funds must be forwarded to the stake.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11</xdr:row>
      <xdr:rowOff>185737</xdr:rowOff>
    </xdr:from>
    <xdr:to>
      <xdr:col>7</xdr:col>
      <xdr:colOff>390525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9046A-0EE4-F7A5-E2E2-11FF83662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B1" workbookViewId="0">
      <selection activeCell="O3" sqref="O3"/>
    </sheetView>
  </sheetViews>
  <sheetFormatPr defaultColWidth="14.42578125" defaultRowHeight="15" customHeight="1" x14ac:dyDescent="0.25"/>
  <cols>
    <col min="1" max="5" width="12.42578125" customWidth="1"/>
    <col min="6" max="6" width="12" customWidth="1"/>
    <col min="7" max="8" width="13.140625" customWidth="1"/>
    <col min="9" max="9" width="19.5703125" customWidth="1"/>
    <col min="10" max="11" width="13.140625" customWidth="1"/>
    <col min="12" max="12" width="13.5703125" customWidth="1"/>
    <col min="13" max="13" width="19.5703125" customWidth="1"/>
    <col min="14" max="16" width="13.5703125" customWidth="1"/>
    <col min="17" max="22" width="8.7109375" customWidth="1"/>
  </cols>
  <sheetData>
    <row r="1" spans="1:17" ht="33" customHeight="1" x14ac:dyDescent="0.25">
      <c r="A1" s="97">
        <v>2022</v>
      </c>
      <c r="B1" s="98"/>
      <c r="C1" s="98"/>
      <c r="D1" s="99"/>
      <c r="E1" s="97">
        <v>2023</v>
      </c>
      <c r="F1" s="98"/>
      <c r="G1" s="98"/>
      <c r="H1" s="99"/>
      <c r="I1" s="97">
        <v>2024</v>
      </c>
      <c r="J1" s="98"/>
      <c r="K1" s="98"/>
      <c r="L1" s="99"/>
      <c r="M1" s="100">
        <v>2025</v>
      </c>
      <c r="N1" s="101"/>
      <c r="O1" s="101"/>
      <c r="P1" s="102"/>
    </row>
    <row r="2" spans="1:17" ht="15.75" x14ac:dyDescent="0.25">
      <c r="A2" s="1" t="s">
        <v>0</v>
      </c>
      <c r="B2" s="2"/>
      <c r="C2" s="2"/>
      <c r="D2" s="3"/>
      <c r="E2" s="1" t="s">
        <v>0</v>
      </c>
      <c r="F2" s="2"/>
      <c r="G2" s="2"/>
      <c r="H2" s="3"/>
      <c r="I2" s="1" t="s">
        <v>0</v>
      </c>
      <c r="J2" s="2"/>
      <c r="K2" s="2"/>
      <c r="L2" s="3"/>
      <c r="M2" s="4" t="s">
        <v>0</v>
      </c>
      <c r="N2" s="5"/>
      <c r="O2" s="5"/>
      <c r="P2" s="6"/>
    </row>
    <row r="3" spans="1:17" x14ac:dyDescent="0.25">
      <c r="A3" s="7"/>
      <c r="B3" s="8" t="s">
        <v>1</v>
      </c>
      <c r="C3" s="9">
        <v>5735.04</v>
      </c>
      <c r="D3" s="10" t="s">
        <v>2</v>
      </c>
      <c r="E3" s="7"/>
      <c r="F3" s="8" t="s">
        <v>1</v>
      </c>
      <c r="G3" s="9">
        <v>7130.48</v>
      </c>
      <c r="H3" s="10" t="s">
        <v>2</v>
      </c>
      <c r="I3" s="7"/>
      <c r="J3" s="8" t="s">
        <v>1</v>
      </c>
      <c r="K3" s="9">
        <v>73.16</v>
      </c>
      <c r="L3" s="10" t="s">
        <v>2</v>
      </c>
      <c r="M3" s="11"/>
      <c r="N3" s="12" t="s">
        <v>1</v>
      </c>
      <c r="O3" s="13">
        <f>IF(L41&gt;(K39*0.5),K39*0.5,L41)</f>
        <v>5524.7099999999982</v>
      </c>
      <c r="P3" s="14" t="s">
        <v>3</v>
      </c>
    </row>
    <row r="4" spans="1:17" x14ac:dyDescent="0.25">
      <c r="A4" s="7"/>
      <c r="B4" s="8" t="s">
        <v>4</v>
      </c>
      <c r="C4" s="9">
        <v>2155.04</v>
      </c>
      <c r="D4" s="10" t="s">
        <v>2</v>
      </c>
      <c r="E4" s="7"/>
      <c r="F4" s="8" t="s">
        <v>4</v>
      </c>
      <c r="G4" s="9">
        <v>2295.3000000000002</v>
      </c>
      <c r="H4" s="10" t="s">
        <v>2</v>
      </c>
      <c r="I4" s="7"/>
      <c r="J4" s="8" t="s">
        <v>4</v>
      </c>
      <c r="K4" s="9">
        <v>2458.1999999999998</v>
      </c>
      <c r="L4" s="10" t="s">
        <v>2</v>
      </c>
      <c r="M4" s="11"/>
      <c r="N4" s="12" t="s">
        <v>4</v>
      </c>
      <c r="O4" s="13">
        <f>AVERAGE(K4:K7)</f>
        <v>2815.7000000000003</v>
      </c>
      <c r="P4" s="14" t="s">
        <v>3</v>
      </c>
      <c r="Q4" s="15"/>
    </row>
    <row r="5" spans="1:17" x14ac:dyDescent="0.25">
      <c r="A5" s="7"/>
      <c r="B5" s="8" t="s">
        <v>5</v>
      </c>
      <c r="C5" s="9">
        <v>2162.2800000000002</v>
      </c>
      <c r="D5" s="10" t="s">
        <v>2</v>
      </c>
      <c r="E5" s="7"/>
      <c r="F5" s="8" t="s">
        <v>5</v>
      </c>
      <c r="G5" s="9">
        <v>2160.85</v>
      </c>
      <c r="H5" s="10" t="s">
        <v>2</v>
      </c>
      <c r="I5" s="7"/>
      <c r="J5" s="8" t="s">
        <v>5</v>
      </c>
      <c r="K5" s="9">
        <v>2858.4</v>
      </c>
      <c r="L5" s="10" t="s">
        <v>2</v>
      </c>
      <c r="M5" s="11"/>
      <c r="N5" s="12" t="s">
        <v>5</v>
      </c>
      <c r="O5" s="13">
        <f>AVERAGE(K4:K7)</f>
        <v>2815.7000000000003</v>
      </c>
      <c r="P5" s="14" t="s">
        <v>3</v>
      </c>
    </row>
    <row r="6" spans="1:17" x14ac:dyDescent="0.25">
      <c r="A6" s="7"/>
      <c r="B6" s="8" t="s">
        <v>6</v>
      </c>
      <c r="C6" s="9">
        <v>2070</v>
      </c>
      <c r="D6" s="10" t="s">
        <v>2</v>
      </c>
      <c r="E6" s="7"/>
      <c r="F6" s="8" t="s">
        <v>6</v>
      </c>
      <c r="G6" s="9">
        <v>2228.9</v>
      </c>
      <c r="H6" s="10" t="s">
        <v>2</v>
      </c>
      <c r="I6" s="7"/>
      <c r="J6" s="8" t="s">
        <v>6</v>
      </c>
      <c r="K6" s="9">
        <v>2927.3</v>
      </c>
      <c r="L6" s="10" t="s">
        <v>7</v>
      </c>
      <c r="M6" s="11"/>
      <c r="N6" s="12" t="s">
        <v>6</v>
      </c>
      <c r="O6" s="13">
        <f>AVERAGE(K4:K7)</f>
        <v>2815.7000000000003</v>
      </c>
      <c r="P6" s="14" t="s">
        <v>3</v>
      </c>
    </row>
    <row r="7" spans="1:17" x14ac:dyDescent="0.25">
      <c r="A7" s="7"/>
      <c r="B7" s="8" t="s">
        <v>8</v>
      </c>
      <c r="C7" s="9">
        <v>2184.4</v>
      </c>
      <c r="D7" s="10" t="s">
        <v>2</v>
      </c>
      <c r="E7" s="7"/>
      <c r="F7" s="8" t="s">
        <v>8</v>
      </c>
      <c r="G7" s="9">
        <v>2210.5500000000002</v>
      </c>
      <c r="H7" s="10" t="s">
        <v>2</v>
      </c>
      <c r="I7" s="7"/>
      <c r="J7" s="8" t="s">
        <v>8</v>
      </c>
      <c r="K7" s="16">
        <v>3018.9</v>
      </c>
      <c r="L7" s="17" t="s">
        <v>2</v>
      </c>
      <c r="M7" s="11"/>
      <c r="N7" s="12" t="s">
        <v>8</v>
      </c>
      <c r="O7" s="13">
        <f>AVERAGE(K4:K7)</f>
        <v>2815.7000000000003</v>
      </c>
      <c r="P7" s="14" t="s">
        <v>3</v>
      </c>
    </row>
    <row r="8" spans="1:17" x14ac:dyDescent="0.25">
      <c r="A8" s="18"/>
      <c r="B8" s="19"/>
      <c r="C8" s="20"/>
      <c r="D8" s="21"/>
      <c r="E8" s="18"/>
      <c r="F8" s="19"/>
      <c r="G8" s="20"/>
      <c r="H8" s="21"/>
      <c r="I8" s="18"/>
      <c r="J8" s="19" t="s">
        <v>9</v>
      </c>
      <c r="K8" s="20"/>
      <c r="L8" s="21" t="s">
        <v>2</v>
      </c>
      <c r="M8" s="22"/>
      <c r="N8" s="23" t="s">
        <v>9</v>
      </c>
      <c r="O8" s="24"/>
      <c r="P8" s="25" t="s">
        <v>2</v>
      </c>
    </row>
    <row r="9" spans="1:17" x14ac:dyDescent="0.25">
      <c r="A9" s="7"/>
      <c r="B9" s="8"/>
      <c r="C9" s="9">
        <f>SUM(C3:C7)</f>
        <v>14306.76</v>
      </c>
      <c r="D9" s="26"/>
      <c r="E9" s="7"/>
      <c r="F9" s="8"/>
      <c r="G9" s="9">
        <f>SUM(G3:G7)</f>
        <v>16026.079999999998</v>
      </c>
      <c r="H9" s="26"/>
      <c r="I9" s="7"/>
      <c r="J9" s="8"/>
      <c r="K9" s="9">
        <f>SUM(K3:K8)</f>
        <v>11335.960000000001</v>
      </c>
      <c r="L9" s="26"/>
      <c r="M9" s="11"/>
      <c r="N9" s="12"/>
      <c r="O9" s="13">
        <f>SUM(O3:O8)</f>
        <v>16787.509999999998</v>
      </c>
      <c r="P9" s="27"/>
    </row>
    <row r="10" spans="1:17" x14ac:dyDescent="0.25">
      <c r="A10" s="7"/>
      <c r="B10" s="8"/>
      <c r="C10" s="9"/>
      <c r="D10" s="26"/>
      <c r="E10" s="7"/>
      <c r="F10" s="8"/>
      <c r="G10" s="9"/>
      <c r="H10" s="26"/>
      <c r="I10" s="7"/>
      <c r="J10" s="8"/>
      <c r="K10" s="9"/>
      <c r="L10" s="26"/>
      <c r="M10" s="11"/>
      <c r="N10" s="12"/>
      <c r="O10" s="13"/>
      <c r="P10" s="27"/>
    </row>
    <row r="11" spans="1:17" ht="18.75" x14ac:dyDescent="0.3">
      <c r="A11" s="28"/>
      <c r="B11" s="2"/>
      <c r="C11" s="29" t="s">
        <v>10</v>
      </c>
      <c r="D11" s="30" t="s">
        <v>2</v>
      </c>
      <c r="E11" s="31">
        <v>2023</v>
      </c>
      <c r="F11" s="2"/>
      <c r="G11" s="29" t="s">
        <v>10</v>
      </c>
      <c r="H11" s="30" t="s">
        <v>2</v>
      </c>
      <c r="I11" s="31">
        <v>2024</v>
      </c>
      <c r="J11" s="29" t="s">
        <v>0</v>
      </c>
      <c r="K11" s="29" t="s">
        <v>10</v>
      </c>
      <c r="L11" s="30" t="s">
        <v>11</v>
      </c>
      <c r="M11" s="32">
        <v>2025</v>
      </c>
      <c r="N11" s="29" t="s">
        <v>0</v>
      </c>
      <c r="O11" s="33" t="s">
        <v>10</v>
      </c>
      <c r="P11" s="34" t="s">
        <v>11</v>
      </c>
    </row>
    <row r="12" spans="1:17" x14ac:dyDescent="0.25">
      <c r="A12" s="7" t="s">
        <v>12</v>
      </c>
      <c r="B12" s="35"/>
      <c r="C12" s="9">
        <v>700</v>
      </c>
      <c r="D12" s="36">
        <v>683.35</v>
      </c>
      <c r="E12" s="7" t="s">
        <v>12</v>
      </c>
      <c r="F12" s="35"/>
      <c r="G12" s="9">
        <v>700</v>
      </c>
      <c r="H12" s="36">
        <v>1733.57</v>
      </c>
      <c r="I12" s="7" t="s">
        <v>12</v>
      </c>
      <c r="J12" s="35"/>
      <c r="K12" s="9">
        <v>600</v>
      </c>
      <c r="L12" s="36">
        <v>62.23</v>
      </c>
      <c r="M12" s="11" t="s">
        <v>12</v>
      </c>
      <c r="N12" s="37"/>
      <c r="O12" s="13">
        <v>600</v>
      </c>
      <c r="P12" s="38">
        <v>0</v>
      </c>
    </row>
    <row r="13" spans="1:17" x14ac:dyDescent="0.25">
      <c r="A13" s="7" t="s">
        <v>13</v>
      </c>
      <c r="B13" s="35"/>
      <c r="C13" s="9">
        <v>200</v>
      </c>
      <c r="D13" s="36">
        <v>30.53</v>
      </c>
      <c r="E13" s="7" t="s">
        <v>13</v>
      </c>
      <c r="F13" s="35"/>
      <c r="G13" s="9">
        <v>350</v>
      </c>
      <c r="H13" s="36">
        <v>353.87</v>
      </c>
      <c r="I13" s="7" t="s">
        <v>13</v>
      </c>
      <c r="J13" s="35"/>
      <c r="K13" s="9">
        <v>322</v>
      </c>
      <c r="L13" s="36">
        <v>266.13</v>
      </c>
      <c r="M13" s="11" t="s">
        <v>13</v>
      </c>
      <c r="N13" s="37"/>
      <c r="O13" s="13">
        <v>200</v>
      </c>
      <c r="P13" s="38">
        <v>0</v>
      </c>
    </row>
    <row r="14" spans="1:17" x14ac:dyDescent="0.25">
      <c r="A14" s="7" t="s">
        <v>14</v>
      </c>
      <c r="B14" s="35"/>
      <c r="C14" s="9">
        <v>1000</v>
      </c>
      <c r="D14" s="36">
        <v>737.3</v>
      </c>
      <c r="E14" s="7" t="s">
        <v>14</v>
      </c>
      <c r="F14" s="35"/>
      <c r="G14" s="9">
        <v>4334.4799999999996</v>
      </c>
      <c r="H14" s="36">
        <v>4285.8899999999994</v>
      </c>
      <c r="I14" s="7" t="s">
        <v>14</v>
      </c>
      <c r="J14" s="35"/>
      <c r="K14" s="9">
        <v>800</v>
      </c>
      <c r="L14" s="36">
        <v>304.27</v>
      </c>
      <c r="M14" s="11" t="s">
        <v>14</v>
      </c>
      <c r="N14" s="37"/>
      <c r="O14" s="13">
        <v>800</v>
      </c>
      <c r="P14" s="38">
        <v>0</v>
      </c>
    </row>
    <row r="15" spans="1:17" x14ac:dyDescent="0.25">
      <c r="A15" s="7" t="s">
        <v>15</v>
      </c>
      <c r="B15" s="35"/>
      <c r="C15" s="9">
        <v>0</v>
      </c>
      <c r="D15" s="36">
        <v>0</v>
      </c>
      <c r="E15" s="7" t="s">
        <v>15</v>
      </c>
      <c r="F15" s="35"/>
      <c r="G15" s="9">
        <v>0</v>
      </c>
      <c r="H15" s="36">
        <v>0</v>
      </c>
      <c r="I15" s="7" t="s">
        <v>15</v>
      </c>
      <c r="J15" s="35"/>
      <c r="K15" s="39">
        <v>1780.43</v>
      </c>
      <c r="L15" s="36">
        <v>1780.43</v>
      </c>
      <c r="M15" s="11" t="s">
        <v>15</v>
      </c>
      <c r="N15" s="37"/>
      <c r="O15" s="40">
        <v>0</v>
      </c>
      <c r="P15" s="38">
        <v>0</v>
      </c>
    </row>
    <row r="16" spans="1:17" x14ac:dyDescent="0.25">
      <c r="A16" s="7" t="s">
        <v>16</v>
      </c>
      <c r="B16" s="35"/>
      <c r="C16" s="9">
        <v>800</v>
      </c>
      <c r="D16" s="36">
        <v>221.4</v>
      </c>
      <c r="E16" s="7" t="s">
        <v>16</v>
      </c>
      <c r="F16" s="35"/>
      <c r="G16" s="9">
        <v>600</v>
      </c>
      <c r="H16" s="36">
        <v>976.06</v>
      </c>
      <c r="I16" s="7" t="s">
        <v>16</v>
      </c>
      <c r="J16" s="35"/>
      <c r="K16" s="9">
        <v>753.53</v>
      </c>
      <c r="L16" s="36">
        <v>157.66999999999999</v>
      </c>
      <c r="M16" s="11" t="s">
        <v>16</v>
      </c>
      <c r="N16" s="37"/>
      <c r="O16" s="13">
        <v>400</v>
      </c>
      <c r="P16" s="38">
        <v>0</v>
      </c>
    </row>
    <row r="17" spans="1:16" x14ac:dyDescent="0.25">
      <c r="A17" s="7" t="s">
        <v>17</v>
      </c>
      <c r="B17" s="35"/>
      <c r="C17" s="9">
        <v>3959.97</v>
      </c>
      <c r="D17" s="36">
        <v>0</v>
      </c>
      <c r="E17" s="7" t="s">
        <v>17</v>
      </c>
      <c r="F17" s="35"/>
      <c r="G17" s="9">
        <v>0</v>
      </c>
      <c r="H17" s="36">
        <v>0</v>
      </c>
      <c r="I17" s="7" t="s">
        <v>17</v>
      </c>
      <c r="J17" s="35"/>
      <c r="K17" s="9">
        <v>0</v>
      </c>
      <c r="L17" s="36">
        <v>0</v>
      </c>
      <c r="M17" s="11" t="s">
        <v>17</v>
      </c>
      <c r="N17" s="37"/>
      <c r="O17" s="13">
        <v>0</v>
      </c>
      <c r="P17" s="38">
        <v>0</v>
      </c>
    </row>
    <row r="18" spans="1:16" x14ac:dyDescent="0.25">
      <c r="A18" s="7" t="s">
        <v>18</v>
      </c>
      <c r="B18" s="35"/>
      <c r="C18" s="9">
        <v>0</v>
      </c>
      <c r="D18" s="36">
        <v>0</v>
      </c>
      <c r="E18" s="7" t="s">
        <v>18</v>
      </c>
      <c r="F18" s="35"/>
      <c r="G18" s="9">
        <v>0</v>
      </c>
      <c r="H18" s="36">
        <v>0</v>
      </c>
      <c r="I18" s="7" t="s">
        <v>18</v>
      </c>
      <c r="J18" s="35"/>
      <c r="K18" s="9">
        <v>0</v>
      </c>
      <c r="L18" s="36">
        <v>0</v>
      </c>
      <c r="M18" s="11" t="s">
        <v>18</v>
      </c>
      <c r="N18" s="37"/>
      <c r="O18" s="13">
        <v>0</v>
      </c>
      <c r="P18" s="38">
        <v>0</v>
      </c>
    </row>
    <row r="19" spans="1:16" x14ac:dyDescent="0.25">
      <c r="A19" s="7" t="s">
        <v>19</v>
      </c>
      <c r="B19" s="35"/>
      <c r="C19" s="9">
        <v>1000</v>
      </c>
      <c r="D19" s="36">
        <v>742.15</v>
      </c>
      <c r="E19" s="7" t="s">
        <v>19</v>
      </c>
      <c r="F19" s="35"/>
      <c r="G19" s="9">
        <v>200</v>
      </c>
      <c r="H19" s="36">
        <v>45.930000000000007</v>
      </c>
      <c r="I19" s="7" t="s">
        <v>19</v>
      </c>
      <c r="J19" s="35"/>
      <c r="K19" s="9">
        <v>250</v>
      </c>
      <c r="L19" s="36">
        <v>241.18</v>
      </c>
      <c r="M19" s="11" t="s">
        <v>19</v>
      </c>
      <c r="N19" s="37"/>
      <c r="O19" s="13">
        <v>150</v>
      </c>
      <c r="P19" s="38">
        <v>0</v>
      </c>
    </row>
    <row r="20" spans="1:16" x14ac:dyDescent="0.25">
      <c r="A20" s="7" t="s">
        <v>20</v>
      </c>
      <c r="B20" s="35"/>
      <c r="C20" s="9">
        <v>300</v>
      </c>
      <c r="D20" s="36">
        <v>0</v>
      </c>
      <c r="E20" s="7" t="s">
        <v>20</v>
      </c>
      <c r="F20" s="35"/>
      <c r="G20" s="9">
        <v>900</v>
      </c>
      <c r="H20" s="36">
        <v>784.99</v>
      </c>
      <c r="I20" s="7" t="s">
        <v>20</v>
      </c>
      <c r="J20" s="35"/>
      <c r="K20" s="9">
        <v>450</v>
      </c>
      <c r="L20" s="36">
        <v>56.09</v>
      </c>
      <c r="M20" s="11" t="s">
        <v>20</v>
      </c>
      <c r="N20" s="37"/>
      <c r="O20" s="13">
        <v>200</v>
      </c>
      <c r="P20" s="38">
        <v>0</v>
      </c>
    </row>
    <row r="21" spans="1:16" x14ac:dyDescent="0.25">
      <c r="A21" s="7" t="s">
        <v>21</v>
      </c>
      <c r="B21" s="35"/>
      <c r="C21" s="9">
        <v>0</v>
      </c>
      <c r="D21" s="36">
        <v>0</v>
      </c>
      <c r="E21" s="7" t="s">
        <v>21</v>
      </c>
      <c r="F21" s="35"/>
      <c r="G21" s="9">
        <v>1050</v>
      </c>
      <c r="H21" s="36">
        <v>1050</v>
      </c>
      <c r="I21" s="7" t="s">
        <v>21</v>
      </c>
      <c r="J21" s="9">
        <v>225</v>
      </c>
      <c r="K21" s="9">
        <v>150</v>
      </c>
      <c r="L21" s="36">
        <v>300</v>
      </c>
      <c r="M21" s="11" t="s">
        <v>21</v>
      </c>
      <c r="N21" s="37"/>
      <c r="O21" s="13">
        <v>150</v>
      </c>
      <c r="P21" s="38">
        <v>0</v>
      </c>
    </row>
    <row r="22" spans="1:16" ht="15.75" customHeight="1" x14ac:dyDescent="0.25">
      <c r="A22" s="7" t="s">
        <v>22</v>
      </c>
      <c r="B22" s="35"/>
      <c r="C22" s="9">
        <v>150</v>
      </c>
      <c r="D22" s="36">
        <v>0</v>
      </c>
      <c r="E22" s="7" t="s">
        <v>22</v>
      </c>
      <c r="F22" s="35"/>
      <c r="G22" s="9">
        <v>150</v>
      </c>
      <c r="H22" s="36">
        <v>204.51</v>
      </c>
      <c r="I22" s="7" t="s">
        <v>22</v>
      </c>
      <c r="J22" s="35"/>
      <c r="K22" s="9">
        <v>160</v>
      </c>
      <c r="L22" s="36">
        <v>58.29</v>
      </c>
      <c r="M22" s="11" t="s">
        <v>22</v>
      </c>
      <c r="N22" s="37"/>
      <c r="O22" s="13">
        <v>50</v>
      </c>
      <c r="P22" s="38">
        <v>0</v>
      </c>
    </row>
    <row r="23" spans="1:16" ht="15.75" customHeight="1" x14ac:dyDescent="0.25">
      <c r="A23" s="7" t="s">
        <v>23</v>
      </c>
      <c r="B23" s="35"/>
      <c r="C23" s="9">
        <v>0</v>
      </c>
      <c r="D23" s="36">
        <v>1922.01</v>
      </c>
      <c r="E23" s="7" t="s">
        <v>23</v>
      </c>
      <c r="F23" s="35"/>
      <c r="G23" s="39">
        <v>187.45</v>
      </c>
      <c r="H23" s="36">
        <v>269.13</v>
      </c>
      <c r="I23" s="7" t="s">
        <v>23</v>
      </c>
      <c r="J23" s="35"/>
      <c r="K23" s="9">
        <v>0</v>
      </c>
      <c r="L23" s="36">
        <v>0</v>
      </c>
      <c r="M23" s="11" t="s">
        <v>23</v>
      </c>
      <c r="N23" s="37"/>
      <c r="O23" s="13">
        <v>0</v>
      </c>
      <c r="P23" s="38">
        <v>0</v>
      </c>
    </row>
    <row r="24" spans="1:16" ht="15.75" customHeight="1" x14ac:dyDescent="0.25">
      <c r="A24" s="7" t="s">
        <v>24</v>
      </c>
      <c r="B24" s="35"/>
      <c r="C24" s="9">
        <v>600</v>
      </c>
      <c r="D24" s="36">
        <v>611.84</v>
      </c>
      <c r="E24" s="7" t="s">
        <v>24</v>
      </c>
      <c r="F24" s="35"/>
      <c r="G24" s="9">
        <v>600</v>
      </c>
      <c r="H24" s="36">
        <v>693.01</v>
      </c>
      <c r="I24" s="7" t="s">
        <v>24</v>
      </c>
      <c r="J24" s="35"/>
      <c r="K24" s="9">
        <v>800</v>
      </c>
      <c r="L24" s="41">
        <v>644.09</v>
      </c>
      <c r="M24" s="11" t="s">
        <v>24</v>
      </c>
      <c r="N24" s="37"/>
      <c r="O24" s="13">
        <v>800</v>
      </c>
      <c r="P24" s="38">
        <v>0</v>
      </c>
    </row>
    <row r="25" spans="1:16" ht="15.75" customHeight="1" x14ac:dyDescent="0.25">
      <c r="A25" s="7" t="s">
        <v>25</v>
      </c>
      <c r="B25" s="35"/>
      <c r="C25" s="9">
        <v>250</v>
      </c>
      <c r="D25" s="36">
        <v>126.13</v>
      </c>
      <c r="E25" s="7" t="s">
        <v>25</v>
      </c>
      <c r="F25" s="35"/>
      <c r="G25" s="9">
        <v>370</v>
      </c>
      <c r="H25" s="36">
        <v>0</v>
      </c>
      <c r="I25" s="7" t="s">
        <v>25</v>
      </c>
      <c r="J25" s="35"/>
      <c r="K25" s="9">
        <v>400</v>
      </c>
      <c r="L25" s="41">
        <v>189.89</v>
      </c>
      <c r="M25" s="11" t="s">
        <v>25</v>
      </c>
      <c r="N25" s="37"/>
      <c r="O25" s="13">
        <v>300</v>
      </c>
      <c r="P25" s="38">
        <v>0</v>
      </c>
    </row>
    <row r="26" spans="1:16" ht="15.75" customHeight="1" x14ac:dyDescent="0.25">
      <c r="A26" s="7" t="s">
        <v>26</v>
      </c>
      <c r="B26" s="35"/>
      <c r="C26" s="9">
        <v>250</v>
      </c>
      <c r="D26" s="36">
        <v>47.7</v>
      </c>
      <c r="E26" s="7" t="s">
        <v>26</v>
      </c>
      <c r="F26" s="35"/>
      <c r="G26" s="9">
        <v>370</v>
      </c>
      <c r="H26" s="36">
        <v>154.29</v>
      </c>
      <c r="I26" s="7" t="s">
        <v>26</v>
      </c>
      <c r="J26" s="35"/>
      <c r="K26" s="9">
        <v>400</v>
      </c>
      <c r="L26" s="41">
        <v>229.82</v>
      </c>
      <c r="M26" s="11" t="s">
        <v>26</v>
      </c>
      <c r="N26" s="37"/>
      <c r="O26" s="13">
        <v>300</v>
      </c>
      <c r="P26" s="38">
        <v>0</v>
      </c>
    </row>
    <row r="27" spans="1:16" ht="15.75" customHeight="1" x14ac:dyDescent="0.25">
      <c r="A27" s="7" t="s">
        <v>27</v>
      </c>
      <c r="B27" s="35"/>
      <c r="C27" s="9">
        <v>650.51</v>
      </c>
      <c r="D27" s="36">
        <v>202.86</v>
      </c>
      <c r="E27" s="7" t="s">
        <v>27</v>
      </c>
      <c r="F27" s="35"/>
      <c r="G27" s="9">
        <v>1125</v>
      </c>
      <c r="H27" s="36">
        <v>1225.67</v>
      </c>
      <c r="I27" s="7" t="s">
        <v>27</v>
      </c>
      <c r="J27" s="35"/>
      <c r="K27" s="9">
        <v>750</v>
      </c>
      <c r="L27" s="36">
        <v>176.76</v>
      </c>
      <c r="M27" s="11" t="s">
        <v>27</v>
      </c>
      <c r="N27" s="37"/>
      <c r="O27" s="13">
        <v>650</v>
      </c>
      <c r="P27" s="38">
        <v>0</v>
      </c>
    </row>
    <row r="28" spans="1:16" ht="15.75" customHeight="1" x14ac:dyDescent="0.25">
      <c r="A28" s="7" t="s">
        <v>28</v>
      </c>
      <c r="B28" s="35"/>
      <c r="C28" s="9">
        <v>0</v>
      </c>
      <c r="D28" s="36">
        <v>0</v>
      </c>
      <c r="E28" s="7" t="s">
        <v>28</v>
      </c>
      <c r="F28" s="35"/>
      <c r="G28" s="9">
        <v>0</v>
      </c>
      <c r="H28" s="36">
        <v>0</v>
      </c>
      <c r="I28" s="7" t="s">
        <v>28</v>
      </c>
      <c r="J28" s="35"/>
      <c r="K28" s="9">
        <v>0</v>
      </c>
      <c r="L28" s="36">
        <v>0</v>
      </c>
      <c r="M28" s="11" t="s">
        <v>28</v>
      </c>
      <c r="N28" s="37"/>
      <c r="O28" s="13">
        <v>0</v>
      </c>
      <c r="P28" s="38">
        <v>0</v>
      </c>
    </row>
    <row r="29" spans="1:16" ht="15.75" customHeight="1" x14ac:dyDescent="0.25">
      <c r="A29" s="7" t="s">
        <v>29</v>
      </c>
      <c r="B29" s="35"/>
      <c r="C29" s="9">
        <v>50</v>
      </c>
      <c r="D29" s="36">
        <v>0</v>
      </c>
      <c r="E29" s="7" t="s">
        <v>29</v>
      </c>
      <c r="F29" s="35"/>
      <c r="G29" s="9">
        <v>100</v>
      </c>
      <c r="H29" s="36">
        <v>0</v>
      </c>
      <c r="I29" s="7" t="s">
        <v>29</v>
      </c>
      <c r="J29" s="35"/>
      <c r="K29" s="9">
        <v>50</v>
      </c>
      <c r="L29" s="36">
        <v>0</v>
      </c>
      <c r="M29" s="11" t="s">
        <v>29</v>
      </c>
      <c r="N29" s="37"/>
      <c r="O29" s="13">
        <v>50</v>
      </c>
      <c r="P29" s="38">
        <v>0</v>
      </c>
    </row>
    <row r="30" spans="1:16" ht="15.75" customHeight="1" x14ac:dyDescent="0.25">
      <c r="A30" s="7" t="s">
        <v>30</v>
      </c>
      <c r="B30" s="35"/>
      <c r="C30" s="9">
        <v>150</v>
      </c>
      <c r="D30" s="36">
        <v>0</v>
      </c>
      <c r="E30" s="7" t="s">
        <v>30</v>
      </c>
      <c r="F30" s="35"/>
      <c r="G30" s="9">
        <v>150</v>
      </c>
      <c r="H30" s="36">
        <v>61.89</v>
      </c>
      <c r="I30" s="7" t="s">
        <v>30</v>
      </c>
      <c r="J30" s="35"/>
      <c r="K30" s="9">
        <v>800</v>
      </c>
      <c r="L30" s="36">
        <v>727.1</v>
      </c>
      <c r="M30" s="11" t="s">
        <v>30</v>
      </c>
      <c r="N30" s="37"/>
      <c r="O30" s="13">
        <v>180</v>
      </c>
      <c r="P30" s="38">
        <v>0</v>
      </c>
    </row>
    <row r="31" spans="1:16" ht="15.75" customHeight="1" x14ac:dyDescent="0.25">
      <c r="A31" s="7" t="s">
        <v>31</v>
      </c>
      <c r="B31" s="35"/>
      <c r="C31" s="9">
        <v>2838.28</v>
      </c>
      <c r="D31" s="36">
        <v>2716.28</v>
      </c>
      <c r="E31" s="7" t="s">
        <v>31</v>
      </c>
      <c r="F31" s="35"/>
      <c r="G31" s="9">
        <v>639.15</v>
      </c>
      <c r="H31" s="36">
        <v>415.03</v>
      </c>
      <c r="I31" s="7" t="s">
        <v>31</v>
      </c>
      <c r="J31" s="35"/>
      <c r="K31" s="39">
        <v>0</v>
      </c>
      <c r="L31" s="36">
        <v>0</v>
      </c>
      <c r="M31" s="11" t="s">
        <v>31</v>
      </c>
      <c r="N31" s="37"/>
      <c r="O31" s="40">
        <v>0</v>
      </c>
      <c r="P31" s="38">
        <v>0</v>
      </c>
    </row>
    <row r="32" spans="1:16" ht="15.75" customHeight="1" x14ac:dyDescent="0.25">
      <c r="A32" s="7" t="s">
        <v>32</v>
      </c>
      <c r="B32" s="35"/>
      <c r="C32" s="9">
        <v>150</v>
      </c>
      <c r="D32" s="36">
        <v>79.64</v>
      </c>
      <c r="E32" s="7" t="s">
        <v>32</v>
      </c>
      <c r="F32" s="35"/>
      <c r="G32" s="9">
        <v>100</v>
      </c>
      <c r="H32" s="36">
        <v>140.66</v>
      </c>
      <c r="I32" s="7" t="s">
        <v>32</v>
      </c>
      <c r="J32" s="35"/>
      <c r="K32" s="9">
        <v>300</v>
      </c>
      <c r="L32" s="36">
        <v>84.22</v>
      </c>
      <c r="M32" s="11" t="s">
        <v>32</v>
      </c>
      <c r="N32" s="37"/>
      <c r="O32" s="13">
        <v>200</v>
      </c>
      <c r="P32" s="38">
        <v>0</v>
      </c>
    </row>
    <row r="33" spans="1:19" ht="15.75" customHeight="1" x14ac:dyDescent="0.25">
      <c r="A33" s="7" t="s">
        <v>33</v>
      </c>
      <c r="B33" s="35"/>
      <c r="C33" s="9">
        <v>450</v>
      </c>
      <c r="D33" s="36">
        <v>202.18</v>
      </c>
      <c r="E33" s="7" t="s">
        <v>33</v>
      </c>
      <c r="F33" s="35"/>
      <c r="G33" s="9">
        <v>400</v>
      </c>
      <c r="H33" s="36">
        <v>248.41</v>
      </c>
      <c r="I33" s="7" t="s">
        <v>33</v>
      </c>
      <c r="J33" s="35"/>
      <c r="K33" s="9">
        <v>220</v>
      </c>
      <c r="L33" s="36">
        <v>69.099999999999994</v>
      </c>
      <c r="M33" s="11" t="s">
        <v>33</v>
      </c>
      <c r="N33" s="37"/>
      <c r="O33" s="13">
        <v>120</v>
      </c>
      <c r="P33" s="38">
        <v>0</v>
      </c>
    </row>
    <row r="34" spans="1:19" ht="15.75" customHeight="1" x14ac:dyDescent="0.25">
      <c r="A34" s="7" t="s">
        <v>34</v>
      </c>
      <c r="B34" s="35"/>
      <c r="C34" s="9">
        <v>500</v>
      </c>
      <c r="D34" s="36">
        <v>134.54</v>
      </c>
      <c r="E34" s="7" t="s">
        <v>34</v>
      </c>
      <c r="F34" s="35"/>
      <c r="G34" s="9">
        <v>400</v>
      </c>
      <c r="H34" s="36">
        <v>386.24</v>
      </c>
      <c r="I34" s="7" t="s">
        <v>34</v>
      </c>
      <c r="J34" s="35"/>
      <c r="K34" s="9">
        <v>720</v>
      </c>
      <c r="L34" s="36">
        <v>158.62</v>
      </c>
      <c r="M34" s="11" t="s">
        <v>34</v>
      </c>
      <c r="N34" s="37"/>
      <c r="O34" s="13">
        <v>520</v>
      </c>
      <c r="P34" s="38">
        <v>0</v>
      </c>
    </row>
    <row r="35" spans="1:19" ht="15.75" customHeight="1" x14ac:dyDescent="0.25">
      <c r="A35" s="7" t="s">
        <v>35</v>
      </c>
      <c r="B35" s="35"/>
      <c r="C35" s="9">
        <v>260</v>
      </c>
      <c r="D35" s="36">
        <v>315.52999999999997</v>
      </c>
      <c r="E35" s="7" t="s">
        <v>35</v>
      </c>
      <c r="F35" s="35"/>
      <c r="G35" s="9">
        <v>400</v>
      </c>
      <c r="H35" s="36">
        <v>399.52</v>
      </c>
      <c r="I35" s="7" t="s">
        <v>35</v>
      </c>
      <c r="J35" s="35"/>
      <c r="K35" s="9">
        <v>350</v>
      </c>
      <c r="L35" s="41">
        <v>206.45</v>
      </c>
      <c r="M35" s="11" t="s">
        <v>35</v>
      </c>
      <c r="N35" s="37"/>
      <c r="O35" s="13">
        <v>350</v>
      </c>
      <c r="P35" s="38">
        <v>0</v>
      </c>
    </row>
    <row r="36" spans="1:19" ht="15.75" customHeight="1" x14ac:dyDescent="0.25">
      <c r="A36" s="7" t="s">
        <v>36</v>
      </c>
      <c r="B36" s="35"/>
      <c r="C36" s="9">
        <v>350</v>
      </c>
      <c r="D36" s="36">
        <v>1235.4000000000001</v>
      </c>
      <c r="E36" s="7" t="s">
        <v>36</v>
      </c>
      <c r="F36" s="35"/>
      <c r="G36" s="9">
        <v>2200</v>
      </c>
      <c r="H36" s="36">
        <v>2351.67</v>
      </c>
      <c r="I36" s="7" t="s">
        <v>36</v>
      </c>
      <c r="J36" s="35"/>
      <c r="K36" s="9">
        <v>0</v>
      </c>
      <c r="L36" s="41">
        <v>323.91000000000003</v>
      </c>
      <c r="M36" s="11" t="s">
        <v>36</v>
      </c>
      <c r="N36" s="37"/>
      <c r="O36" s="13">
        <v>0</v>
      </c>
      <c r="P36" s="38">
        <v>0</v>
      </c>
    </row>
    <row r="37" spans="1:19" ht="15.75" customHeight="1" x14ac:dyDescent="0.25">
      <c r="A37" s="7" t="s">
        <v>37</v>
      </c>
      <c r="B37" s="35"/>
      <c r="C37" s="9">
        <v>350</v>
      </c>
      <c r="D37" s="36">
        <v>168.73</v>
      </c>
      <c r="E37" s="7" t="s">
        <v>37</v>
      </c>
      <c r="F37" s="35"/>
      <c r="G37" s="9">
        <v>350</v>
      </c>
      <c r="H37" s="36">
        <v>161.13</v>
      </c>
      <c r="I37" s="7" t="s">
        <v>38</v>
      </c>
      <c r="J37" s="35"/>
      <c r="K37" s="9">
        <v>1280</v>
      </c>
      <c r="L37" s="36">
        <v>0</v>
      </c>
      <c r="M37" s="11" t="s">
        <v>38</v>
      </c>
      <c r="N37" s="37"/>
      <c r="O37" s="13">
        <v>880</v>
      </c>
      <c r="P37" s="38">
        <v>0</v>
      </c>
    </row>
    <row r="38" spans="1:19" ht="15.75" customHeight="1" x14ac:dyDescent="0.25">
      <c r="A38" s="18" t="s">
        <v>39</v>
      </c>
      <c r="B38" s="42"/>
      <c r="C38" s="20">
        <v>350</v>
      </c>
      <c r="D38" s="43">
        <v>184.71</v>
      </c>
      <c r="E38" s="18" t="s">
        <v>39</v>
      </c>
      <c r="F38" s="42"/>
      <c r="G38" s="20">
        <v>350</v>
      </c>
      <c r="H38" s="43">
        <v>91.889999999999986</v>
      </c>
      <c r="I38" s="44" t="s">
        <v>39</v>
      </c>
      <c r="J38" s="42"/>
      <c r="K38" s="20">
        <v>0</v>
      </c>
      <c r="L38" s="43">
        <v>0</v>
      </c>
      <c r="M38" s="45" t="s">
        <v>39</v>
      </c>
      <c r="N38" s="46"/>
      <c r="O38" s="24">
        <v>0</v>
      </c>
      <c r="P38" s="47">
        <v>0</v>
      </c>
    </row>
    <row r="39" spans="1:19" ht="15.75" customHeight="1" x14ac:dyDescent="0.25">
      <c r="A39" s="7"/>
      <c r="B39" s="35"/>
      <c r="C39" s="9">
        <f t="shared" ref="C39:D39" si="0">SUM(C12:C38)</f>
        <v>15308.76</v>
      </c>
      <c r="D39" s="36">
        <f t="shared" si="0"/>
        <v>10362.279999999999</v>
      </c>
      <c r="E39" s="7"/>
      <c r="F39" s="35"/>
      <c r="G39" s="9">
        <f t="shared" ref="G39:H39" si="1">SUM(G12:G38)</f>
        <v>16026.08</v>
      </c>
      <c r="H39" s="36">
        <f t="shared" si="1"/>
        <v>16033.359999999999</v>
      </c>
      <c r="I39" s="7"/>
      <c r="J39" s="9">
        <f t="shared" ref="J39:L39" si="2">SUM(J12:J38)</f>
        <v>225</v>
      </c>
      <c r="K39" s="9">
        <f t="shared" si="2"/>
        <v>11335.96</v>
      </c>
      <c r="L39" s="36">
        <f t="shared" si="2"/>
        <v>6036.2500000000009</v>
      </c>
      <c r="M39" s="11"/>
      <c r="N39" s="13">
        <f t="shared" ref="N39:P39" si="3">SUM(N12:N38)</f>
        <v>0</v>
      </c>
      <c r="O39" s="13">
        <f t="shared" si="3"/>
        <v>6900</v>
      </c>
      <c r="P39" s="38">
        <f t="shared" si="3"/>
        <v>0</v>
      </c>
      <c r="S39" s="48"/>
    </row>
    <row r="40" spans="1:19" ht="15.75" customHeight="1" x14ac:dyDescent="0.25">
      <c r="A40" s="7"/>
      <c r="B40" s="49" t="s">
        <v>40</v>
      </c>
      <c r="C40" s="50">
        <f>C9-C39</f>
        <v>-1002</v>
      </c>
      <c r="D40" s="36">
        <f>C39-D39</f>
        <v>4946.4800000000014</v>
      </c>
      <c r="E40" s="7"/>
      <c r="F40" s="49" t="s">
        <v>40</v>
      </c>
      <c r="G40" s="50">
        <f>G9-G39</f>
        <v>0</v>
      </c>
      <c r="H40" s="36">
        <f>G39-H39</f>
        <v>-7.2799999999988358</v>
      </c>
      <c r="I40" s="7"/>
      <c r="J40" s="49" t="s">
        <v>40</v>
      </c>
      <c r="K40" s="50">
        <f>K9-K39</f>
        <v>0</v>
      </c>
      <c r="L40" s="36">
        <f>K39-L39+J39</f>
        <v>5524.7099999999982</v>
      </c>
      <c r="M40" s="11"/>
      <c r="N40" s="51" t="s">
        <v>40</v>
      </c>
      <c r="O40" s="52">
        <f>O9-O39</f>
        <v>9887.5099999999984</v>
      </c>
      <c r="P40" s="38">
        <f>O39-P39+N39</f>
        <v>6900</v>
      </c>
    </row>
    <row r="41" spans="1:19" ht="15.75" customHeight="1" x14ac:dyDescent="0.25">
      <c r="A41" s="18"/>
      <c r="B41" s="19" t="s">
        <v>41</v>
      </c>
      <c r="C41" s="42"/>
      <c r="D41" s="43">
        <f>D40+C40</f>
        <v>3944.4800000000014</v>
      </c>
      <c r="E41" s="18"/>
      <c r="F41" s="19" t="s">
        <v>41</v>
      </c>
      <c r="G41" s="42"/>
      <c r="H41" s="43">
        <f>H40+G40</f>
        <v>-7.2799999999988358</v>
      </c>
      <c r="I41" s="18"/>
      <c r="J41" s="19" t="s">
        <v>41</v>
      </c>
      <c r="K41" s="42"/>
      <c r="L41" s="43">
        <f>L40+K40</f>
        <v>5524.7099999999982</v>
      </c>
      <c r="M41" s="22"/>
      <c r="N41" s="23" t="s">
        <v>41</v>
      </c>
      <c r="O41" s="46"/>
      <c r="P41" s="47">
        <f>P40+O40</f>
        <v>16787.509999999998</v>
      </c>
    </row>
    <row r="42" spans="1:19" ht="15.75" customHeight="1" x14ac:dyDescent="0.25">
      <c r="A42" s="35"/>
      <c r="B42" s="35"/>
      <c r="C42" s="35" t="s">
        <v>42</v>
      </c>
      <c r="D42" s="53">
        <f>D41/C39</f>
        <v>0.2576616264152029</v>
      </c>
      <c r="E42" s="35"/>
      <c r="F42" s="35"/>
      <c r="G42" s="35" t="s">
        <v>42</v>
      </c>
      <c r="H42" s="53">
        <f>H41/G39</f>
        <v>-4.5425955692214413E-4</v>
      </c>
      <c r="I42" s="35"/>
      <c r="J42" s="35"/>
      <c r="K42" s="35" t="s">
        <v>42</v>
      </c>
      <c r="L42" s="53">
        <f>L41/K39</f>
        <v>0.48736145857959967</v>
      </c>
      <c r="M42" s="37"/>
      <c r="N42" s="37"/>
      <c r="O42" s="37" t="s">
        <v>42</v>
      </c>
      <c r="P42" s="54">
        <f>P41/O39</f>
        <v>2.4329724637681158</v>
      </c>
    </row>
    <row r="43" spans="1:19" ht="15.75" customHeight="1" x14ac:dyDescent="0.25">
      <c r="A43" s="35"/>
      <c r="B43" s="35"/>
      <c r="C43" s="35"/>
      <c r="D43" s="35"/>
      <c r="E43" s="35"/>
      <c r="F43" s="35"/>
      <c r="G43" s="8"/>
      <c r="H43" s="35"/>
      <c r="I43" s="35"/>
      <c r="J43" s="35"/>
      <c r="K43" s="8" t="s">
        <v>43</v>
      </c>
      <c r="L43" s="9">
        <f>IF(L41&gt;L44,L41-L44,0)</f>
        <v>0</v>
      </c>
      <c r="M43" s="35"/>
      <c r="N43" s="35"/>
      <c r="O43" s="8" t="s">
        <v>43</v>
      </c>
      <c r="P43" s="9">
        <f>IF(P41&gt;P44,P41-P44,0)</f>
        <v>8393.7549999999992</v>
      </c>
    </row>
    <row r="44" spans="1:19" ht="15.75" customHeight="1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 t="s">
        <v>119</v>
      </c>
      <c r="L44" s="9">
        <f>(J39+K39+K40)/2</f>
        <v>5780.48</v>
      </c>
      <c r="M44" s="35"/>
      <c r="N44" s="35"/>
      <c r="O44" s="35" t="s">
        <v>119</v>
      </c>
      <c r="P44" s="9">
        <f>(N39+O39+O40)/2</f>
        <v>8393.7549999999992</v>
      </c>
    </row>
    <row r="45" spans="1:19" ht="15.75" customHeight="1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9" ht="15.75" customHeight="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9" ht="15.75" customHeigh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9" ht="15.75" customHeight="1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1:16" ht="15.7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1:16" ht="15.75" customHeight="1" x14ac:dyDescent="0.25"/>
    <row r="51" spans="1:16" ht="15.75" customHeight="1" x14ac:dyDescent="0.25"/>
    <row r="52" spans="1:16" ht="15.75" customHeight="1" x14ac:dyDescent="0.25"/>
    <row r="53" spans="1:16" ht="15.75" customHeight="1" x14ac:dyDescent="0.25"/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4">
    <mergeCell ref="A1:D1"/>
    <mergeCell ref="E1:H1"/>
    <mergeCell ref="I1:L1"/>
    <mergeCell ref="M1:P1"/>
  </mergeCells>
  <conditionalFormatting sqref="D42 H42 L42 P42">
    <cfRule type="cellIs" dxfId="1" priority="1" operator="greaterThan">
      <formula>0.5</formula>
    </cfRule>
  </conditionalFormatting>
  <conditionalFormatting sqref="L12:L38 P12:P38">
    <cfRule type="expression" dxfId="0" priority="2">
      <formula>L12&gt;K12</formula>
    </cfRule>
  </conditionalFormatting>
  <pageMargins left="0.7" right="0.7" top="0.75" bottom="0.75" header="0" footer="0"/>
  <pageSetup orientation="landscape"/>
  <ignoredErrors>
    <ignoredError sqref="O4 O5:O7" formulaRange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workbookViewId="0">
      <selection sqref="A1:F12"/>
    </sheetView>
  </sheetViews>
  <sheetFormatPr defaultColWidth="14.42578125" defaultRowHeight="15" customHeight="1" x14ac:dyDescent="0.25"/>
  <cols>
    <col min="1" max="1" width="28.42578125" customWidth="1"/>
    <col min="2" max="6" width="13.5703125" customWidth="1"/>
    <col min="7" max="26" width="8.7109375" customWidth="1"/>
  </cols>
  <sheetData>
    <row r="1" spans="1:26" ht="18" x14ac:dyDescent="0.25">
      <c r="A1" s="55" t="s">
        <v>44</v>
      </c>
      <c r="B1" s="56"/>
      <c r="C1" s="57">
        <f ca="1">TODAY()</f>
        <v>45600</v>
      </c>
      <c r="D1" s="56"/>
      <c r="E1" s="56"/>
      <c r="F1" s="58" t="s">
        <v>45</v>
      </c>
    </row>
    <row r="2" spans="1:26" x14ac:dyDescent="0.25">
      <c r="A2" s="56" t="s">
        <v>46</v>
      </c>
      <c r="B2" s="56"/>
      <c r="C2" s="56"/>
      <c r="D2" s="56"/>
      <c r="E2" s="56"/>
      <c r="F2" s="58" t="s">
        <v>47</v>
      </c>
    </row>
    <row r="3" spans="1:26" x14ac:dyDescent="0.25">
      <c r="A3" s="56"/>
      <c r="B3" s="56"/>
      <c r="C3" s="59" t="s">
        <v>48</v>
      </c>
      <c r="D3" s="56"/>
      <c r="E3" s="56"/>
      <c r="F3" s="56"/>
    </row>
    <row r="4" spans="1:26" ht="33" customHeight="1" x14ac:dyDescent="0.25">
      <c r="A4" s="60" t="s">
        <v>49</v>
      </c>
      <c r="B4" s="60" t="s">
        <v>50</v>
      </c>
      <c r="C4" s="60" t="s">
        <v>51</v>
      </c>
      <c r="D4" s="60" t="s">
        <v>52</v>
      </c>
      <c r="E4" s="60" t="s">
        <v>53</v>
      </c>
      <c r="F4" s="60" t="s">
        <v>54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8" customHeight="1" x14ac:dyDescent="0.25">
      <c r="A5" s="56" t="s">
        <v>12</v>
      </c>
      <c r="B5" s="62">
        <f>'Budget Analysis'!K12</f>
        <v>600</v>
      </c>
      <c r="C5" s="63">
        <v>0</v>
      </c>
      <c r="D5" s="64">
        <f>'Budget Analysis'!L12*-1</f>
        <v>-62.23</v>
      </c>
      <c r="E5" s="64">
        <f t="shared" ref="E5:E13" si="0">B5+D5</f>
        <v>537.77</v>
      </c>
      <c r="F5" s="65">
        <f t="shared" ref="F5:F31" si="1">IF(B5&gt;0,D5/B5*-1,0)</f>
        <v>0.10371666666666667</v>
      </c>
    </row>
    <row r="6" spans="1:26" ht="18" customHeight="1" x14ac:dyDescent="0.25">
      <c r="A6" s="56" t="s">
        <v>13</v>
      </c>
      <c r="B6" s="62">
        <f>'Budget Analysis'!K13</f>
        <v>322</v>
      </c>
      <c r="C6" s="63">
        <v>0</v>
      </c>
      <c r="D6" s="64">
        <f>'Budget Analysis'!L13*-1</f>
        <v>-266.13</v>
      </c>
      <c r="E6" s="64">
        <f t="shared" si="0"/>
        <v>55.870000000000005</v>
      </c>
      <c r="F6" s="65">
        <f t="shared" si="1"/>
        <v>0.82649068322981367</v>
      </c>
    </row>
    <row r="7" spans="1:26" ht="18" customHeight="1" x14ac:dyDescent="0.25">
      <c r="A7" s="56" t="s">
        <v>14</v>
      </c>
      <c r="B7" s="62">
        <f>'Budget Analysis'!K14</f>
        <v>800</v>
      </c>
      <c r="C7" s="63">
        <v>0</v>
      </c>
      <c r="D7" s="64">
        <f>'Budget Analysis'!L14*-1</f>
        <v>-304.27</v>
      </c>
      <c r="E7" s="64">
        <f t="shared" si="0"/>
        <v>495.73</v>
      </c>
      <c r="F7" s="65">
        <f t="shared" si="1"/>
        <v>0.3803375</v>
      </c>
    </row>
    <row r="8" spans="1:26" ht="18" customHeight="1" x14ac:dyDescent="0.25">
      <c r="A8" s="56" t="s">
        <v>15</v>
      </c>
      <c r="B8" s="62">
        <f>'Budget Analysis'!K15</f>
        <v>1780.43</v>
      </c>
      <c r="C8" s="63">
        <v>0</v>
      </c>
      <c r="D8" s="64">
        <f>'Budget Analysis'!L15*-1</f>
        <v>-1780.43</v>
      </c>
      <c r="E8" s="64">
        <f t="shared" si="0"/>
        <v>0</v>
      </c>
      <c r="F8" s="65">
        <f t="shared" si="1"/>
        <v>1</v>
      </c>
    </row>
    <row r="9" spans="1:26" ht="18" customHeight="1" x14ac:dyDescent="0.25">
      <c r="A9" s="56" t="s">
        <v>16</v>
      </c>
      <c r="B9" s="62">
        <f>'Budget Analysis'!K16</f>
        <v>753.53</v>
      </c>
      <c r="C9" s="63">
        <v>0</v>
      </c>
      <c r="D9" s="64">
        <f>'Budget Analysis'!L16*-1</f>
        <v>-157.66999999999999</v>
      </c>
      <c r="E9" s="64">
        <f t="shared" si="0"/>
        <v>595.86</v>
      </c>
      <c r="F9" s="65">
        <f t="shared" si="1"/>
        <v>0.20924183509614747</v>
      </c>
    </row>
    <row r="10" spans="1:26" ht="18" customHeight="1" x14ac:dyDescent="0.25">
      <c r="A10" s="56" t="s">
        <v>17</v>
      </c>
      <c r="B10" s="62">
        <f>'Budget Analysis'!K17</f>
        <v>0</v>
      </c>
      <c r="C10" s="63">
        <v>0</v>
      </c>
      <c r="D10" s="64">
        <f>'Budget Analysis'!L17*-1</f>
        <v>0</v>
      </c>
      <c r="E10" s="64">
        <f t="shared" si="0"/>
        <v>0</v>
      </c>
      <c r="F10" s="65">
        <f t="shared" si="1"/>
        <v>0</v>
      </c>
    </row>
    <row r="11" spans="1:26" ht="18" customHeight="1" x14ac:dyDescent="0.25">
      <c r="A11" s="56" t="s">
        <v>18</v>
      </c>
      <c r="B11" s="62">
        <f>'Budget Analysis'!K18</f>
        <v>0</v>
      </c>
      <c r="C11" s="63">
        <v>0</v>
      </c>
      <c r="D11" s="64">
        <f>'Budget Analysis'!L18*-1</f>
        <v>0</v>
      </c>
      <c r="E11" s="64">
        <f t="shared" si="0"/>
        <v>0</v>
      </c>
      <c r="F11" s="65">
        <f t="shared" si="1"/>
        <v>0</v>
      </c>
    </row>
    <row r="12" spans="1:26" ht="18" customHeight="1" x14ac:dyDescent="0.25">
      <c r="A12" s="56" t="s">
        <v>55</v>
      </c>
      <c r="B12" s="62">
        <f>'Budget Analysis'!K19</f>
        <v>250</v>
      </c>
      <c r="C12" s="63">
        <v>0</v>
      </c>
      <c r="D12" s="64">
        <f>'Budget Analysis'!L19*-1</f>
        <v>-241.18</v>
      </c>
      <c r="E12" s="64">
        <f t="shared" si="0"/>
        <v>8.8199999999999932</v>
      </c>
      <c r="F12" s="65">
        <f t="shared" si="1"/>
        <v>0.96472000000000002</v>
      </c>
    </row>
    <row r="13" spans="1:26" ht="18" customHeight="1" x14ac:dyDescent="0.25">
      <c r="A13" s="56" t="s">
        <v>20</v>
      </c>
      <c r="B13" s="62">
        <f>'Budget Analysis'!K20</f>
        <v>450</v>
      </c>
      <c r="C13" s="63">
        <v>0</v>
      </c>
      <c r="D13" s="64">
        <f>'Budget Analysis'!L20*-1</f>
        <v>-56.09</v>
      </c>
      <c r="E13" s="64">
        <f t="shared" si="0"/>
        <v>393.90999999999997</v>
      </c>
      <c r="F13" s="65">
        <f t="shared" si="1"/>
        <v>0.12464444444444445</v>
      </c>
    </row>
    <row r="14" spans="1:26" ht="18" customHeight="1" x14ac:dyDescent="0.25">
      <c r="A14" s="56" t="s">
        <v>21</v>
      </c>
      <c r="B14" s="62">
        <f>'Budget Analysis'!K21</f>
        <v>150</v>
      </c>
      <c r="C14" s="63">
        <v>225</v>
      </c>
      <c r="D14" s="64">
        <f>'Budget Analysis'!L21*-1</f>
        <v>-300</v>
      </c>
      <c r="E14" s="64">
        <f>B14+D14+C14</f>
        <v>75</v>
      </c>
      <c r="F14" s="65">
        <f t="shared" si="1"/>
        <v>2</v>
      </c>
    </row>
    <row r="15" spans="1:26" ht="18" customHeight="1" x14ac:dyDescent="0.25">
      <c r="A15" s="56" t="s">
        <v>22</v>
      </c>
      <c r="B15" s="62">
        <f>'Budget Analysis'!K22</f>
        <v>160</v>
      </c>
      <c r="C15" s="63">
        <v>0</v>
      </c>
      <c r="D15" s="64">
        <f>'Budget Analysis'!L22*-1</f>
        <v>-58.29</v>
      </c>
      <c r="E15" s="64">
        <f t="shared" ref="E15:E31" si="2">B15+D15</f>
        <v>101.71000000000001</v>
      </c>
      <c r="F15" s="65">
        <f t="shared" si="1"/>
        <v>0.36431249999999998</v>
      </c>
    </row>
    <row r="16" spans="1:26" ht="18" customHeight="1" x14ac:dyDescent="0.25">
      <c r="A16" s="56" t="s">
        <v>23</v>
      </c>
      <c r="B16" s="62">
        <f>'Budget Analysis'!K23</f>
        <v>0</v>
      </c>
      <c r="C16" s="63">
        <v>0</v>
      </c>
      <c r="D16" s="64">
        <f>'Budget Analysis'!L23*-1</f>
        <v>0</v>
      </c>
      <c r="E16" s="64">
        <f t="shared" si="2"/>
        <v>0</v>
      </c>
      <c r="F16" s="65">
        <f t="shared" si="1"/>
        <v>0</v>
      </c>
    </row>
    <row r="17" spans="1:6" ht="18" customHeight="1" x14ac:dyDescent="0.25">
      <c r="A17" s="56" t="s">
        <v>24</v>
      </c>
      <c r="B17" s="62">
        <f>'Budget Analysis'!K24</f>
        <v>800</v>
      </c>
      <c r="C17" s="63">
        <v>0</v>
      </c>
      <c r="D17" s="64">
        <f>'Budget Analysis'!L24*-1</f>
        <v>-644.09</v>
      </c>
      <c r="E17" s="64">
        <f t="shared" si="2"/>
        <v>155.90999999999997</v>
      </c>
      <c r="F17" s="65">
        <f t="shared" si="1"/>
        <v>0.80511250000000001</v>
      </c>
    </row>
    <row r="18" spans="1:6" ht="18" customHeight="1" x14ac:dyDescent="0.25">
      <c r="A18" s="56" t="s">
        <v>56</v>
      </c>
      <c r="B18" s="62">
        <f>'Budget Analysis'!K25</f>
        <v>400</v>
      </c>
      <c r="C18" s="63">
        <v>0</v>
      </c>
      <c r="D18" s="64">
        <f>'Budget Analysis'!L25*-1</f>
        <v>-189.89</v>
      </c>
      <c r="E18" s="64">
        <f t="shared" si="2"/>
        <v>210.11</v>
      </c>
      <c r="F18" s="65">
        <f t="shared" si="1"/>
        <v>0.47472499999999995</v>
      </c>
    </row>
    <row r="19" spans="1:6" ht="18" customHeight="1" x14ac:dyDescent="0.25">
      <c r="A19" s="56" t="s">
        <v>57</v>
      </c>
      <c r="B19" s="62">
        <f>'Budget Analysis'!K26</f>
        <v>400</v>
      </c>
      <c r="C19" s="63">
        <v>0</v>
      </c>
      <c r="D19" s="64">
        <f>'Budget Analysis'!L26*-1</f>
        <v>-229.82</v>
      </c>
      <c r="E19" s="64">
        <f t="shared" si="2"/>
        <v>170.18</v>
      </c>
      <c r="F19" s="65">
        <f t="shared" si="1"/>
        <v>0.57455000000000001</v>
      </c>
    </row>
    <row r="20" spans="1:6" ht="18" customHeight="1" x14ac:dyDescent="0.25">
      <c r="A20" s="56" t="s">
        <v>27</v>
      </c>
      <c r="B20" s="62">
        <f>'Budget Analysis'!K27</f>
        <v>750</v>
      </c>
      <c r="C20" s="63">
        <v>0</v>
      </c>
      <c r="D20" s="64">
        <f>'Budget Analysis'!L27*-1</f>
        <v>-176.76</v>
      </c>
      <c r="E20" s="64">
        <f t="shared" si="2"/>
        <v>573.24</v>
      </c>
      <c r="F20" s="65">
        <f t="shared" si="1"/>
        <v>0.23568</v>
      </c>
    </row>
    <row r="21" spans="1:6" ht="18" customHeight="1" x14ac:dyDescent="0.25">
      <c r="A21" s="56" t="s">
        <v>28</v>
      </c>
      <c r="B21" s="62">
        <f>'Budget Analysis'!K28</f>
        <v>0</v>
      </c>
      <c r="C21" s="63">
        <v>0</v>
      </c>
      <c r="D21" s="64">
        <f>'Budget Analysis'!L28*-1</f>
        <v>0</v>
      </c>
      <c r="E21" s="64">
        <f t="shared" si="2"/>
        <v>0</v>
      </c>
      <c r="F21" s="65">
        <f t="shared" si="1"/>
        <v>0</v>
      </c>
    </row>
    <row r="22" spans="1:6" ht="18" customHeight="1" x14ac:dyDescent="0.25">
      <c r="A22" s="56" t="s">
        <v>29</v>
      </c>
      <c r="B22" s="62">
        <f>'Budget Analysis'!K29</f>
        <v>50</v>
      </c>
      <c r="C22" s="63">
        <v>0</v>
      </c>
      <c r="D22" s="64">
        <f>'Budget Analysis'!L29*-1</f>
        <v>0</v>
      </c>
      <c r="E22" s="64">
        <f t="shared" si="2"/>
        <v>50</v>
      </c>
      <c r="F22" s="65">
        <f t="shared" si="1"/>
        <v>0</v>
      </c>
    </row>
    <row r="23" spans="1:6" ht="18" customHeight="1" x14ac:dyDescent="0.25">
      <c r="A23" s="56" t="s">
        <v>30</v>
      </c>
      <c r="B23" s="62">
        <f>'Budget Analysis'!K30</f>
        <v>800</v>
      </c>
      <c r="C23" s="63">
        <v>0</v>
      </c>
      <c r="D23" s="64">
        <f>'Budget Analysis'!L30*-1</f>
        <v>-727.1</v>
      </c>
      <c r="E23" s="64">
        <f t="shared" si="2"/>
        <v>72.899999999999977</v>
      </c>
      <c r="F23" s="65">
        <f t="shared" si="1"/>
        <v>0.90887499999999999</v>
      </c>
    </row>
    <row r="24" spans="1:6" ht="18" customHeight="1" x14ac:dyDescent="0.25">
      <c r="A24" s="56" t="s">
        <v>31</v>
      </c>
      <c r="B24" s="62">
        <f>'Budget Analysis'!K31</f>
        <v>0</v>
      </c>
      <c r="C24" s="63">
        <v>0</v>
      </c>
      <c r="D24" s="64">
        <f>'Budget Analysis'!L31*-1</f>
        <v>0</v>
      </c>
      <c r="E24" s="64">
        <f t="shared" si="2"/>
        <v>0</v>
      </c>
      <c r="F24" s="65">
        <f t="shared" si="1"/>
        <v>0</v>
      </c>
    </row>
    <row r="25" spans="1:6" ht="18" customHeight="1" x14ac:dyDescent="0.25">
      <c r="A25" s="56" t="s">
        <v>32</v>
      </c>
      <c r="B25" s="62">
        <f>'Budget Analysis'!K32</f>
        <v>300</v>
      </c>
      <c r="C25" s="63">
        <v>0</v>
      </c>
      <c r="D25" s="64">
        <f>'Budget Analysis'!L32*-1</f>
        <v>-84.22</v>
      </c>
      <c r="E25" s="64">
        <f t="shared" si="2"/>
        <v>215.78</v>
      </c>
      <c r="F25" s="65">
        <f t="shared" si="1"/>
        <v>0.28073333333333333</v>
      </c>
    </row>
    <row r="26" spans="1:6" ht="18" customHeight="1" x14ac:dyDescent="0.25">
      <c r="A26" s="56" t="s">
        <v>33</v>
      </c>
      <c r="B26" s="62">
        <f>'Budget Analysis'!K33</f>
        <v>220</v>
      </c>
      <c r="C26" s="63">
        <v>0</v>
      </c>
      <c r="D26" s="64">
        <f>'Budget Analysis'!L33*-1</f>
        <v>-69.099999999999994</v>
      </c>
      <c r="E26" s="64">
        <f t="shared" si="2"/>
        <v>150.9</v>
      </c>
      <c r="F26" s="65">
        <f t="shared" si="1"/>
        <v>0.31409090909090909</v>
      </c>
    </row>
    <row r="27" spans="1:6" ht="18" customHeight="1" x14ac:dyDescent="0.25">
      <c r="A27" s="56" t="s">
        <v>34</v>
      </c>
      <c r="B27" s="62">
        <f>'Budget Analysis'!K34</f>
        <v>720</v>
      </c>
      <c r="C27" s="63">
        <v>0</v>
      </c>
      <c r="D27" s="64">
        <f>'Budget Analysis'!L34*-1</f>
        <v>-158.62</v>
      </c>
      <c r="E27" s="64">
        <f t="shared" si="2"/>
        <v>561.38</v>
      </c>
      <c r="F27" s="65">
        <f t="shared" si="1"/>
        <v>0.22030555555555556</v>
      </c>
    </row>
    <row r="28" spans="1:6" ht="18" customHeight="1" x14ac:dyDescent="0.25">
      <c r="A28" s="56" t="s">
        <v>35</v>
      </c>
      <c r="B28" s="62">
        <f>'Budget Analysis'!K35</f>
        <v>350</v>
      </c>
      <c r="C28" s="63">
        <v>0</v>
      </c>
      <c r="D28" s="64">
        <f>'Budget Analysis'!L35*-1</f>
        <v>-206.45</v>
      </c>
      <c r="E28" s="64">
        <f t="shared" si="2"/>
        <v>143.55000000000001</v>
      </c>
      <c r="F28" s="65">
        <f t="shared" si="1"/>
        <v>0.58985714285714286</v>
      </c>
    </row>
    <row r="29" spans="1:6" ht="18" customHeight="1" x14ac:dyDescent="0.25">
      <c r="A29" s="56" t="s">
        <v>36</v>
      </c>
      <c r="B29" s="62">
        <f>'Budget Analysis'!K36</f>
        <v>0</v>
      </c>
      <c r="C29" s="63">
        <v>0</v>
      </c>
      <c r="D29" s="64">
        <f>'Budget Analysis'!L36*-1</f>
        <v>-323.91000000000003</v>
      </c>
      <c r="E29" s="64">
        <f t="shared" si="2"/>
        <v>-323.91000000000003</v>
      </c>
      <c r="F29" s="65">
        <f t="shared" si="1"/>
        <v>0</v>
      </c>
    </row>
    <row r="30" spans="1:6" ht="18" customHeight="1" x14ac:dyDescent="0.25">
      <c r="A30" s="56" t="s">
        <v>38</v>
      </c>
      <c r="B30" s="62">
        <f>'Budget Analysis'!K37</f>
        <v>1280</v>
      </c>
      <c r="C30" s="63">
        <v>0</v>
      </c>
      <c r="D30" s="64">
        <f>'Budget Analysis'!L37*-1</f>
        <v>0</v>
      </c>
      <c r="E30" s="64">
        <f t="shared" si="2"/>
        <v>1280</v>
      </c>
      <c r="F30" s="65">
        <f t="shared" si="1"/>
        <v>0</v>
      </c>
    </row>
    <row r="31" spans="1:6" ht="18" customHeight="1" x14ac:dyDescent="0.25">
      <c r="A31" s="66" t="s">
        <v>39</v>
      </c>
      <c r="B31" s="67">
        <f>'Budget Analysis'!K38</f>
        <v>0</v>
      </c>
      <c r="C31" s="68">
        <v>0</v>
      </c>
      <c r="D31" s="69">
        <f>'Budget Analysis'!L38*-1</f>
        <v>0</v>
      </c>
      <c r="E31" s="69">
        <f t="shared" si="2"/>
        <v>0</v>
      </c>
      <c r="F31" s="70">
        <f t="shared" si="1"/>
        <v>0</v>
      </c>
    </row>
    <row r="32" spans="1:6" ht="15.75" customHeight="1" x14ac:dyDescent="0.25">
      <c r="A32" s="71" t="s">
        <v>58</v>
      </c>
      <c r="B32" s="72">
        <f t="shared" ref="B32:E32" si="3">SUM(B5:B31)</f>
        <v>11335.96</v>
      </c>
      <c r="C32" s="72">
        <f t="shared" si="3"/>
        <v>225</v>
      </c>
      <c r="D32" s="73">
        <f t="shared" si="3"/>
        <v>-6036.2500000000009</v>
      </c>
      <c r="E32" s="72">
        <f t="shared" si="3"/>
        <v>5524.71</v>
      </c>
      <c r="F32" s="74">
        <f>1-(E32/B32)</f>
        <v>0.51263854142040022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4:F32" xr:uid="{00000000-0009-0000-0000-000001000000}"/>
  <pageMargins left="0.7" right="0.7" top="0.75" bottom="0.75" header="0" footer="0"/>
  <pageSetup scale="9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E615-314B-42DF-96CB-F3D0ECC0CD49}">
  <sheetPr>
    <pageSetUpPr fitToPage="1"/>
  </sheetPr>
  <dimension ref="A1:Z1000"/>
  <sheetViews>
    <sheetView tabSelected="1" workbookViewId="0">
      <selection activeCell="I16" sqref="I16"/>
    </sheetView>
  </sheetViews>
  <sheetFormatPr defaultColWidth="14.42578125" defaultRowHeight="15" customHeight="1" x14ac:dyDescent="0.25"/>
  <cols>
    <col min="1" max="1" width="19.28515625" customWidth="1"/>
    <col min="2" max="5" width="15" customWidth="1"/>
    <col min="6" max="6" width="11.42578125" customWidth="1"/>
    <col min="7" max="7" width="14.140625" customWidth="1"/>
    <col min="8" max="8" width="14.7109375" customWidth="1"/>
    <col min="9" max="26" width="8.7109375" customWidth="1"/>
  </cols>
  <sheetData>
    <row r="1" spans="1:26" ht="18.75" x14ac:dyDescent="0.3">
      <c r="A1" s="80" t="s">
        <v>120</v>
      </c>
      <c r="B1" s="77"/>
      <c r="C1" s="81">
        <f ca="1">TODAY()</f>
        <v>45600</v>
      </c>
      <c r="D1" s="77"/>
      <c r="E1" s="77"/>
      <c r="F1" s="82" t="s">
        <v>45</v>
      </c>
    </row>
    <row r="2" spans="1:26" x14ac:dyDescent="0.25">
      <c r="A2" s="77" t="s">
        <v>59</v>
      </c>
      <c r="B2" s="77"/>
      <c r="C2" s="77"/>
      <c r="D2" s="77"/>
      <c r="E2" s="77"/>
      <c r="F2" s="82" t="s">
        <v>47</v>
      </c>
    </row>
    <row r="3" spans="1:26" x14ac:dyDescent="0.25">
      <c r="A3" s="77"/>
      <c r="B3" s="77"/>
      <c r="C3" s="83" t="s">
        <v>48</v>
      </c>
      <c r="D3" s="77"/>
      <c r="E3" s="77"/>
      <c r="F3" s="77"/>
    </row>
    <row r="4" spans="1:26" ht="33" customHeight="1" thickBot="1" x14ac:dyDescent="0.3">
      <c r="A4" s="84" t="s">
        <v>49</v>
      </c>
      <c r="B4" s="84" t="s">
        <v>51</v>
      </c>
      <c r="C4" s="84" t="s">
        <v>52</v>
      </c>
      <c r="D4" s="84" t="s">
        <v>123</v>
      </c>
      <c r="E4" s="84" t="s">
        <v>53</v>
      </c>
      <c r="F4" s="94" t="s">
        <v>130</v>
      </c>
      <c r="G4" s="95" t="s">
        <v>128</v>
      </c>
      <c r="H4" s="96" t="s">
        <v>129</v>
      </c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9.5" customHeight="1" x14ac:dyDescent="0.25">
      <c r="A5" s="77" t="s">
        <v>121</v>
      </c>
      <c r="B5" s="78">
        <v>85</v>
      </c>
      <c r="C5" s="78">
        <v>0</v>
      </c>
      <c r="D5" s="78">
        <v>253</v>
      </c>
      <c r="E5" s="78">
        <v>14227.58</v>
      </c>
      <c r="F5" s="91"/>
      <c r="G5" s="92"/>
      <c r="H5" s="93"/>
    </row>
    <row r="6" spans="1:26" ht="19.5" customHeight="1" x14ac:dyDescent="0.25">
      <c r="A6" s="77" t="s">
        <v>122</v>
      </c>
      <c r="B6" s="78">
        <v>410</v>
      </c>
      <c r="C6" s="78">
        <v>360</v>
      </c>
      <c r="D6" s="79">
        <v>0</v>
      </c>
      <c r="E6" s="78">
        <v>470</v>
      </c>
      <c r="F6" s="85">
        <f ca="1">(G6-TODAY())/30</f>
        <v>16.166666666666668</v>
      </c>
      <c r="G6" s="86">
        <v>46085</v>
      </c>
      <c r="H6" s="87">
        <f ca="1">(F6*400)-E6</f>
        <v>5996.666666666667</v>
      </c>
    </row>
    <row r="7" spans="1:26" ht="19.5" customHeight="1" x14ac:dyDescent="0.25">
      <c r="A7" s="77" t="s">
        <v>124</v>
      </c>
      <c r="B7" s="78">
        <v>200</v>
      </c>
      <c r="C7" s="78">
        <v>0</v>
      </c>
      <c r="D7" s="78">
        <v>964</v>
      </c>
      <c r="E7" s="78">
        <v>400</v>
      </c>
      <c r="F7" s="85">
        <f t="shared" ref="F7:F10" ca="1" si="0">(G7-TODAY())/30</f>
        <v>6.3666666666666663</v>
      </c>
      <c r="G7" s="86">
        <v>45791</v>
      </c>
      <c r="H7" s="87">
        <f t="shared" ref="H7:H10" ca="1" si="1">(F7*400)-E7</f>
        <v>2146.6666666666665</v>
      </c>
    </row>
    <row r="8" spans="1:26" ht="19.5" customHeight="1" x14ac:dyDescent="0.25">
      <c r="A8" s="77" t="s">
        <v>125</v>
      </c>
      <c r="B8" s="79">
        <v>400</v>
      </c>
      <c r="C8" s="79">
        <v>0</v>
      </c>
      <c r="D8" s="79">
        <v>0</v>
      </c>
      <c r="E8" s="79">
        <v>1631</v>
      </c>
      <c r="F8" s="85">
        <f t="shared" ca="1" si="0"/>
        <v>22</v>
      </c>
      <c r="G8" s="86">
        <v>46260</v>
      </c>
      <c r="H8" s="87">
        <f t="shared" ca="1" si="1"/>
        <v>7169</v>
      </c>
    </row>
    <row r="9" spans="1:26" ht="19.5" customHeight="1" x14ac:dyDescent="0.25">
      <c r="A9" s="77" t="s">
        <v>126</v>
      </c>
      <c r="B9" s="79">
        <v>0</v>
      </c>
      <c r="C9" s="79">
        <v>0</v>
      </c>
      <c r="D9" s="79">
        <v>0</v>
      </c>
      <c r="E9" s="79">
        <v>751</v>
      </c>
      <c r="F9" s="85">
        <f t="shared" ca="1" si="0"/>
        <v>4.7</v>
      </c>
      <c r="G9" s="86">
        <v>45741</v>
      </c>
      <c r="H9" s="87">
        <f t="shared" ca="1" si="1"/>
        <v>1129</v>
      </c>
    </row>
    <row r="10" spans="1:26" ht="19.5" customHeight="1" thickBot="1" x14ac:dyDescent="0.3">
      <c r="A10" s="77" t="s">
        <v>127</v>
      </c>
      <c r="B10" s="79">
        <v>50</v>
      </c>
      <c r="C10" s="79">
        <v>0</v>
      </c>
      <c r="D10" s="79">
        <v>0</v>
      </c>
      <c r="E10" s="79">
        <v>3369</v>
      </c>
      <c r="F10" s="88">
        <f t="shared" ca="1" si="0"/>
        <v>23.433333333333334</v>
      </c>
      <c r="G10" s="89">
        <v>46303</v>
      </c>
      <c r="H10" s="90">
        <f t="shared" ca="1" si="1"/>
        <v>6004.3333333333339</v>
      </c>
    </row>
    <row r="11" spans="1:26" ht="15" customHeight="1" x14ac:dyDescent="0.25">
      <c r="A11" s="48"/>
      <c r="B11" s="76"/>
      <c r="C11" s="75"/>
      <c r="D11" s="75"/>
      <c r="E11" s="76"/>
    </row>
    <row r="12" spans="1:26" ht="15" customHeight="1" x14ac:dyDescent="0.25">
      <c r="A12" s="48"/>
      <c r="B12" s="76"/>
      <c r="C12" s="75"/>
      <c r="D12" s="75"/>
      <c r="E12" s="76"/>
    </row>
    <row r="13" spans="1:26" ht="15" customHeight="1" x14ac:dyDescent="0.25">
      <c r="A13" s="77" t="s">
        <v>131</v>
      </c>
      <c r="B13" s="75">
        <v>17009.580000000002</v>
      </c>
      <c r="C13" s="75"/>
      <c r="D13" s="75"/>
      <c r="E13" s="75"/>
    </row>
    <row r="14" spans="1:26" ht="15" customHeight="1" x14ac:dyDescent="0.25">
      <c r="A14" s="77" t="s">
        <v>132</v>
      </c>
      <c r="B14" s="75">
        <v>17069.580000000002</v>
      </c>
      <c r="C14" s="75"/>
      <c r="D14" s="75"/>
      <c r="E14" s="75"/>
    </row>
    <row r="15" spans="1:26" ht="15" customHeight="1" x14ac:dyDescent="0.25">
      <c r="A15" s="77" t="s">
        <v>133</v>
      </c>
      <c r="B15" s="75">
        <v>17079.580000000002</v>
      </c>
      <c r="C15" s="75"/>
      <c r="D15" s="75"/>
      <c r="E15" s="75"/>
    </row>
    <row r="16" spans="1:26" ht="15" customHeight="1" x14ac:dyDescent="0.25">
      <c r="A16" s="77" t="s">
        <v>134</v>
      </c>
      <c r="B16" s="75">
        <v>17114.580000000002</v>
      </c>
      <c r="C16" s="75"/>
      <c r="D16" s="75"/>
      <c r="E16" s="75"/>
    </row>
    <row r="17" spans="1:5" ht="15" customHeight="1" x14ac:dyDescent="0.25">
      <c r="A17" s="77" t="s">
        <v>135</v>
      </c>
      <c r="B17" s="75">
        <v>17174.580000000002</v>
      </c>
      <c r="C17" s="75"/>
      <c r="D17" s="75"/>
      <c r="E17" s="75"/>
    </row>
    <row r="18" spans="1:5" ht="15" customHeight="1" x14ac:dyDescent="0.25">
      <c r="A18" s="77" t="s">
        <v>136</v>
      </c>
      <c r="B18" s="75">
        <v>17259.580000000002</v>
      </c>
      <c r="C18" s="75"/>
      <c r="D18" s="75"/>
      <c r="E18" s="75"/>
    </row>
    <row r="19" spans="1:5" ht="15" customHeight="1" x14ac:dyDescent="0.25">
      <c r="A19" s="77" t="s">
        <v>137</v>
      </c>
      <c r="B19" s="75">
        <v>17319.580000000002</v>
      </c>
      <c r="C19" s="75"/>
      <c r="D19" s="75"/>
      <c r="E19" s="75"/>
    </row>
    <row r="20" spans="1:5" ht="15" customHeight="1" x14ac:dyDescent="0.25">
      <c r="A20" s="77" t="s">
        <v>138</v>
      </c>
      <c r="B20" s="75">
        <v>17404.580000000002</v>
      </c>
      <c r="C20" s="75"/>
      <c r="D20" s="75"/>
      <c r="E20" s="75"/>
    </row>
    <row r="21" spans="1:5" ht="15.75" customHeight="1" x14ac:dyDescent="0.25">
      <c r="A21" s="77" t="s">
        <v>139</v>
      </c>
      <c r="B21" s="75">
        <v>14370.58</v>
      </c>
      <c r="C21" s="75"/>
      <c r="D21" s="75"/>
      <c r="E21" s="75"/>
    </row>
    <row r="22" spans="1:5" ht="15.75" customHeight="1" x14ac:dyDescent="0.25">
      <c r="A22" s="77" t="s">
        <v>140</v>
      </c>
      <c r="B22" s="75">
        <v>14227.58</v>
      </c>
      <c r="C22" s="75"/>
      <c r="D22" s="75"/>
      <c r="E22" s="75"/>
    </row>
    <row r="23" spans="1:5" ht="15.75" customHeight="1" x14ac:dyDescent="0.25">
      <c r="B23" s="75"/>
      <c r="C23" s="75"/>
      <c r="D23" s="75"/>
      <c r="E23" s="75"/>
    </row>
    <row r="24" spans="1:5" ht="15.75" customHeight="1" x14ac:dyDescent="0.25">
      <c r="B24" s="75"/>
      <c r="C24" s="75"/>
      <c r="D24" s="75"/>
      <c r="E24" s="75"/>
    </row>
    <row r="25" spans="1:5" ht="15.75" customHeight="1" x14ac:dyDescent="0.25">
      <c r="B25" s="75"/>
      <c r="C25" s="75"/>
      <c r="D25" s="75"/>
      <c r="E25" s="75"/>
    </row>
    <row r="26" spans="1:5" ht="15.75" customHeight="1" x14ac:dyDescent="0.25">
      <c r="B26" s="75"/>
      <c r="C26" s="75"/>
      <c r="D26" s="75"/>
      <c r="E26" s="75"/>
    </row>
    <row r="27" spans="1:5" ht="15.75" customHeight="1" x14ac:dyDescent="0.25">
      <c r="B27" s="75"/>
      <c r="C27" s="75"/>
      <c r="D27" s="75"/>
      <c r="E27" s="75"/>
    </row>
    <row r="28" spans="1:5" ht="15.75" customHeight="1" x14ac:dyDescent="0.25">
      <c r="B28" s="75"/>
      <c r="C28" s="75"/>
      <c r="D28" s="75"/>
      <c r="E28" s="75"/>
    </row>
    <row r="29" spans="1:5" ht="15.75" customHeight="1" x14ac:dyDescent="0.25">
      <c r="B29" s="75">
        <f>E5-9600</f>
        <v>4627.58</v>
      </c>
      <c r="C29" s="75"/>
      <c r="D29" s="75"/>
      <c r="E29" s="75"/>
    </row>
    <row r="30" spans="1:5" ht="15.75" customHeight="1" x14ac:dyDescent="0.25">
      <c r="B30" s="75">
        <f ca="1">B29/COUNT(H6:H10)</f>
        <v>925.51599999999996</v>
      </c>
      <c r="D30" s="75"/>
    </row>
    <row r="31" spans="1:5" ht="15.75" customHeight="1" x14ac:dyDescent="0.25">
      <c r="D31" s="75"/>
    </row>
    <row r="32" spans="1:5" ht="15.75" customHeight="1" x14ac:dyDescent="0.25">
      <c r="D32" s="75"/>
    </row>
    <row r="33" spans="4:4" ht="15.75" customHeight="1" x14ac:dyDescent="0.25">
      <c r="D33" s="75"/>
    </row>
    <row r="34" spans="4:4" ht="15.75" customHeight="1" x14ac:dyDescent="0.25"/>
    <row r="35" spans="4:4" ht="15.75" customHeight="1" x14ac:dyDescent="0.25"/>
    <row r="36" spans="4:4" ht="15.75" customHeight="1" x14ac:dyDescent="0.25"/>
    <row r="37" spans="4:4" ht="15.75" customHeight="1" x14ac:dyDescent="0.25"/>
    <row r="38" spans="4:4" ht="15.75" customHeight="1" x14ac:dyDescent="0.25"/>
    <row r="39" spans="4:4" ht="15.75" customHeight="1" x14ac:dyDescent="0.25"/>
    <row r="40" spans="4:4" ht="15.75" customHeight="1" x14ac:dyDescent="0.25"/>
    <row r="41" spans="4:4" ht="15.75" customHeight="1" x14ac:dyDescent="0.25"/>
    <row r="42" spans="4:4" ht="15.75" customHeight="1" x14ac:dyDescent="0.25"/>
    <row r="43" spans="4:4" ht="15.75" customHeight="1" x14ac:dyDescent="0.25"/>
    <row r="44" spans="4:4" ht="15.75" customHeight="1" x14ac:dyDescent="0.25"/>
    <row r="45" spans="4:4" ht="15.75" customHeight="1" x14ac:dyDescent="0.25"/>
    <row r="46" spans="4:4" ht="15.75" customHeight="1" x14ac:dyDescent="0.25"/>
    <row r="47" spans="4:4" ht="15.75" customHeight="1" x14ac:dyDescent="0.25"/>
    <row r="48" spans="4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4:F7" xr:uid="{00000000-0009-0000-0000-000002000000}"/>
  <phoneticPr fontId="23" type="noConversion"/>
  <pageMargins left="0.7" right="0.7" top="0.75" bottom="0.75" header="0" footer="0"/>
  <pageSetup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workbookViewId="0"/>
  </sheetViews>
  <sheetFormatPr defaultColWidth="14.42578125" defaultRowHeight="15" customHeight="1" x14ac:dyDescent="0.25"/>
  <cols>
    <col min="1" max="1" width="28.42578125" customWidth="1"/>
    <col min="2" max="6" width="13.5703125" customWidth="1"/>
    <col min="7" max="26" width="8.7109375" customWidth="1"/>
  </cols>
  <sheetData>
    <row r="1" spans="1:26" ht="18" x14ac:dyDescent="0.25">
      <c r="A1" s="55" t="s">
        <v>44</v>
      </c>
      <c r="B1" s="56"/>
      <c r="C1" s="57">
        <f ca="1">TODAY()</f>
        <v>45600</v>
      </c>
      <c r="D1" s="56"/>
      <c r="E1" s="56"/>
      <c r="F1" s="58" t="s">
        <v>45</v>
      </c>
    </row>
    <row r="2" spans="1:26" x14ac:dyDescent="0.25">
      <c r="A2" s="56" t="s">
        <v>59</v>
      </c>
      <c r="B2" s="56"/>
      <c r="C2" s="56"/>
      <c r="D2" s="56"/>
      <c r="E2" s="56"/>
      <c r="F2" s="58" t="s">
        <v>47</v>
      </c>
    </row>
    <row r="3" spans="1:26" x14ac:dyDescent="0.25">
      <c r="A3" s="56"/>
      <c r="B3" s="56"/>
      <c r="C3" s="59" t="s">
        <v>48</v>
      </c>
      <c r="D3" s="56"/>
      <c r="E3" s="56"/>
      <c r="F3" s="56"/>
    </row>
    <row r="4" spans="1:26" ht="33" customHeight="1" x14ac:dyDescent="0.25">
      <c r="A4" s="60" t="s">
        <v>49</v>
      </c>
      <c r="B4" s="60" t="s">
        <v>50</v>
      </c>
      <c r="C4" s="60" t="s">
        <v>51</v>
      </c>
      <c r="D4" s="60" t="s">
        <v>52</v>
      </c>
      <c r="E4" s="60" t="s">
        <v>53</v>
      </c>
      <c r="F4" s="60" t="s">
        <v>54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8" customHeight="1" x14ac:dyDescent="0.25">
      <c r="A5" s="56" t="s">
        <v>12</v>
      </c>
      <c r="B5" s="63">
        <f>VLOOKUP($A5,'Ward Budget Summary'!$A$5:$F$31,2,FALSE)</f>
        <v>600</v>
      </c>
      <c r="C5" s="63">
        <f>VLOOKUP($A5,'Ward Budget Summary'!$A$5:$F$31,3,FALSE)</f>
        <v>0</v>
      </c>
      <c r="D5" s="63">
        <f>VLOOKUP($A5,'Ward Budget Summary'!$A$5:$F$31,4,FALSE)</f>
        <v>-62.23</v>
      </c>
      <c r="E5" s="63">
        <f>VLOOKUP($A5,'Ward Budget Summary'!$A$5:$F$31,5,FALSE)</f>
        <v>537.77</v>
      </c>
      <c r="F5" s="65">
        <f>VLOOKUP($A5,'Ward Budget Summary'!$A$5:$F$31,6,FALSE)</f>
        <v>0.10371666666666667</v>
      </c>
    </row>
    <row r="6" spans="1:26" ht="18" customHeight="1" x14ac:dyDescent="0.25">
      <c r="A6" s="56" t="s">
        <v>13</v>
      </c>
      <c r="B6" s="63">
        <f>VLOOKUP($A6,'Ward Budget Summary'!$A$5:$F$31,2,FALSE)</f>
        <v>322</v>
      </c>
      <c r="C6" s="63">
        <f>VLOOKUP($A6,'Ward Budget Summary'!$A$5:$F$31,3,FALSE)</f>
        <v>0</v>
      </c>
      <c r="D6" s="63">
        <f>VLOOKUP($A6,'Ward Budget Summary'!$A$5:$F$31,4,FALSE)</f>
        <v>-266.13</v>
      </c>
      <c r="E6" s="63">
        <f>VLOOKUP($A6,'Ward Budget Summary'!$A$5:$F$31,5,FALSE)</f>
        <v>55.870000000000005</v>
      </c>
      <c r="F6" s="65">
        <f>VLOOKUP($A6,'Ward Budget Summary'!$A$5:$F$31,6,FALSE)</f>
        <v>0.82649068322981367</v>
      </c>
    </row>
    <row r="7" spans="1:26" ht="18" customHeight="1" x14ac:dyDescent="0.25">
      <c r="A7" s="56" t="s">
        <v>27</v>
      </c>
      <c r="B7" s="63">
        <f>VLOOKUP($A7,'Ward Budget Summary'!$A$5:$F$31,2,FALSE)</f>
        <v>750</v>
      </c>
      <c r="C7" s="63">
        <f>VLOOKUP($A7,'Ward Budget Summary'!$A$5:$F$31,3,FALSE)</f>
        <v>0</v>
      </c>
      <c r="D7" s="63">
        <f>VLOOKUP($A7,'Ward Budget Summary'!$A$5:$F$31,4,FALSE)</f>
        <v>-176.76</v>
      </c>
      <c r="E7" s="63">
        <f>VLOOKUP($A7,'Ward Budget Summary'!$A$5:$F$31,5,FALSE)</f>
        <v>573.24</v>
      </c>
      <c r="F7" s="65">
        <f>VLOOKUP($A7,'Ward Budget Summary'!$A$5:$F$31,6,FALSE)</f>
        <v>0.23568</v>
      </c>
    </row>
    <row r="10" spans="1:26" ht="15" customHeight="1" x14ac:dyDescent="0.25">
      <c r="A10" s="48" t="s">
        <v>60</v>
      </c>
      <c r="B10" s="48" t="s">
        <v>61</v>
      </c>
      <c r="E10" s="48" t="s">
        <v>62</v>
      </c>
    </row>
    <row r="11" spans="1:26" ht="15" customHeight="1" x14ac:dyDescent="0.25">
      <c r="A11" s="48" t="s">
        <v>63</v>
      </c>
      <c r="B11" s="48" t="s">
        <v>64</v>
      </c>
      <c r="E11" s="48" t="s">
        <v>65</v>
      </c>
    </row>
    <row r="12" spans="1:26" ht="15" customHeight="1" x14ac:dyDescent="0.25">
      <c r="A12" s="48" t="s">
        <v>66</v>
      </c>
      <c r="B12" s="48" t="s">
        <v>67</v>
      </c>
      <c r="E12" s="48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4:F7" xr:uid="{00000000-0009-0000-0000-000002000000}"/>
  <pageMargins left="0.7" right="0.7" top="0.75" bottom="0.75" header="0" footer="0"/>
  <pageSetup scale="9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workbookViewId="0"/>
  </sheetViews>
  <sheetFormatPr defaultColWidth="14.42578125" defaultRowHeight="15" customHeight="1" x14ac:dyDescent="0.25"/>
  <cols>
    <col min="1" max="1" width="28.42578125" customWidth="1"/>
    <col min="2" max="6" width="13.5703125" customWidth="1"/>
    <col min="7" max="26" width="8.7109375" customWidth="1"/>
  </cols>
  <sheetData>
    <row r="1" spans="1:26" ht="18" x14ac:dyDescent="0.25">
      <c r="A1" s="55" t="s">
        <v>44</v>
      </c>
      <c r="B1" s="56"/>
      <c r="C1" s="57">
        <f ca="1">TODAY()</f>
        <v>45600</v>
      </c>
      <c r="D1" s="56"/>
      <c r="E1" s="56"/>
      <c r="F1" s="58" t="s">
        <v>45</v>
      </c>
    </row>
    <row r="2" spans="1:26" x14ac:dyDescent="0.25">
      <c r="A2" s="56" t="s">
        <v>69</v>
      </c>
      <c r="B2" s="56"/>
      <c r="C2" s="56"/>
      <c r="D2" s="56"/>
      <c r="E2" s="56"/>
      <c r="F2" s="58" t="s">
        <v>47</v>
      </c>
    </row>
    <row r="3" spans="1:26" x14ac:dyDescent="0.25">
      <c r="A3" s="56"/>
      <c r="B3" s="56"/>
      <c r="C3" s="59" t="s">
        <v>48</v>
      </c>
      <c r="D3" s="56"/>
      <c r="E3" s="56"/>
      <c r="F3" s="56"/>
    </row>
    <row r="4" spans="1:26" ht="33" customHeight="1" x14ac:dyDescent="0.25">
      <c r="A4" s="60" t="s">
        <v>49</v>
      </c>
      <c r="B4" s="60" t="s">
        <v>50</v>
      </c>
      <c r="C4" s="60" t="s">
        <v>51</v>
      </c>
      <c r="D4" s="60" t="s">
        <v>52</v>
      </c>
      <c r="E4" s="60" t="s">
        <v>53</v>
      </c>
      <c r="F4" s="60" t="s">
        <v>54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8" customHeight="1" x14ac:dyDescent="0.25">
      <c r="A5" s="56" t="s">
        <v>12</v>
      </c>
      <c r="B5" s="63">
        <f>VLOOKUP($A5,'Ward Budget Summary'!$A$5:$F$31,2,FALSE)</f>
        <v>600</v>
      </c>
      <c r="C5" s="63">
        <f>VLOOKUP($A5,'Ward Budget Summary'!$A$5:$F$31,3,FALSE)</f>
        <v>0</v>
      </c>
      <c r="D5" s="63">
        <f>VLOOKUP($A5,'Ward Budget Summary'!$A$5:$F$31,4,FALSE)</f>
        <v>-62.23</v>
      </c>
      <c r="E5" s="63">
        <f>VLOOKUP($A5,'Ward Budget Summary'!$A$5:$F$31,5,FALSE)</f>
        <v>537.77</v>
      </c>
      <c r="F5" s="65">
        <f>VLOOKUP($A5,'Ward Budget Summary'!$A$5:$F$31,6,FALSE)</f>
        <v>0.10371666666666667</v>
      </c>
    </row>
    <row r="6" spans="1:26" ht="18" customHeight="1" x14ac:dyDescent="0.25">
      <c r="A6" s="56" t="s">
        <v>13</v>
      </c>
      <c r="B6" s="63">
        <f>VLOOKUP($A6,'Ward Budget Summary'!$A$5:$F$31,2,FALSE)</f>
        <v>322</v>
      </c>
      <c r="C6" s="63">
        <f>VLOOKUP($A6,'Ward Budget Summary'!$A$5:$F$31,3,FALSE)</f>
        <v>0</v>
      </c>
      <c r="D6" s="63">
        <f>VLOOKUP($A6,'Ward Budget Summary'!$A$5:$F$31,4,FALSE)</f>
        <v>-266.13</v>
      </c>
      <c r="E6" s="63">
        <f>VLOOKUP($A6,'Ward Budget Summary'!$A$5:$F$31,5,FALSE)</f>
        <v>55.870000000000005</v>
      </c>
      <c r="F6" s="65">
        <f>VLOOKUP($A6,'Ward Budget Summary'!$A$5:$F$31,6,FALSE)</f>
        <v>0.82649068322981367</v>
      </c>
    </row>
    <row r="7" spans="1:26" ht="18" customHeight="1" x14ac:dyDescent="0.25">
      <c r="A7" s="56" t="s">
        <v>20</v>
      </c>
      <c r="B7" s="63">
        <f>VLOOKUP($A7,'Ward Budget Summary'!$A$5:$F$31,2,FALSE)</f>
        <v>450</v>
      </c>
      <c r="C7" s="63">
        <f>VLOOKUP($A7,'Ward Budget Summary'!$A$5:$F$31,3,FALSE)</f>
        <v>0</v>
      </c>
      <c r="D7" s="63">
        <f>VLOOKUP($A7,'Ward Budget Summary'!$A$5:$F$31,4,FALSE)</f>
        <v>-56.09</v>
      </c>
      <c r="E7" s="63">
        <f>VLOOKUP($A7,'Ward Budget Summary'!$A$5:$F$31,5,FALSE)</f>
        <v>393.90999999999997</v>
      </c>
      <c r="F7" s="65">
        <f>VLOOKUP($A7,'Ward Budget Summary'!$A$5:$F$31,6,FALSE)</f>
        <v>0.12464444444444445</v>
      </c>
    </row>
    <row r="10" spans="1:26" ht="15" customHeight="1" x14ac:dyDescent="0.25">
      <c r="A10" s="48" t="s">
        <v>70</v>
      </c>
      <c r="B10" s="48" t="s">
        <v>71</v>
      </c>
      <c r="E10" s="48" t="s">
        <v>72</v>
      </c>
    </row>
    <row r="11" spans="1:26" ht="15" customHeight="1" x14ac:dyDescent="0.25">
      <c r="A11" s="48" t="s">
        <v>73</v>
      </c>
      <c r="B11" s="48" t="s">
        <v>74</v>
      </c>
      <c r="E11" s="48" t="s">
        <v>75</v>
      </c>
    </row>
    <row r="12" spans="1:26" ht="15" customHeight="1" x14ac:dyDescent="0.25">
      <c r="A12" s="48" t="s">
        <v>76</v>
      </c>
      <c r="B12" s="48" t="s">
        <v>77</v>
      </c>
      <c r="E12" s="48" t="s">
        <v>78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4:F7" xr:uid="{00000000-0009-0000-0000-000003000000}"/>
  <pageMargins left="0.7" right="0.7" top="0.75" bottom="0.75" header="0" footer="0"/>
  <pageSetup scale="9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0"/>
  <sheetViews>
    <sheetView workbookViewId="0"/>
  </sheetViews>
  <sheetFormatPr defaultColWidth="14.42578125" defaultRowHeight="15" customHeight="1" x14ac:dyDescent="0.25"/>
  <cols>
    <col min="1" max="1" width="28.42578125" customWidth="1"/>
    <col min="2" max="6" width="13.5703125" customWidth="1"/>
    <col min="7" max="26" width="8.7109375" customWidth="1"/>
  </cols>
  <sheetData>
    <row r="1" spans="1:26" ht="18" x14ac:dyDescent="0.25">
      <c r="A1" s="55" t="s">
        <v>44</v>
      </c>
      <c r="B1" s="56"/>
      <c r="C1" s="57">
        <f ca="1">TODAY()</f>
        <v>45600</v>
      </c>
      <c r="D1" s="56"/>
      <c r="E1" s="56"/>
      <c r="F1" s="58" t="s">
        <v>45</v>
      </c>
    </row>
    <row r="2" spans="1:26" x14ac:dyDescent="0.25">
      <c r="A2" s="56" t="s">
        <v>79</v>
      </c>
      <c r="B2" s="56"/>
      <c r="C2" s="56"/>
      <c r="D2" s="56"/>
      <c r="E2" s="56"/>
      <c r="F2" s="58" t="s">
        <v>47</v>
      </c>
    </row>
    <row r="3" spans="1:26" x14ac:dyDescent="0.25">
      <c r="A3" s="56"/>
      <c r="B3" s="56"/>
      <c r="C3" s="59" t="s">
        <v>48</v>
      </c>
      <c r="D3" s="56"/>
      <c r="E3" s="56"/>
      <c r="F3" s="56"/>
    </row>
    <row r="4" spans="1:26" ht="33" customHeight="1" x14ac:dyDescent="0.25">
      <c r="A4" s="60" t="s">
        <v>49</v>
      </c>
      <c r="B4" s="60" t="s">
        <v>50</v>
      </c>
      <c r="C4" s="60" t="s">
        <v>51</v>
      </c>
      <c r="D4" s="60" t="s">
        <v>52</v>
      </c>
      <c r="E4" s="60" t="s">
        <v>53</v>
      </c>
      <c r="F4" s="60" t="s">
        <v>54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8" customHeight="1" x14ac:dyDescent="0.25">
      <c r="A5" s="56" t="s">
        <v>24</v>
      </c>
      <c r="B5" s="63">
        <f>VLOOKUP($A5,'Ward Budget Summary'!$A$5:$F$31,2,FALSE)</f>
        <v>800</v>
      </c>
      <c r="C5" s="63">
        <f>VLOOKUP($A5,'Ward Budget Summary'!$A$5:$F$31,3,FALSE)</f>
        <v>0</v>
      </c>
      <c r="D5" s="63">
        <f>VLOOKUP($A5,'Ward Budget Summary'!$A$5:$F$31,4,FALSE)</f>
        <v>-644.09</v>
      </c>
      <c r="E5" s="63">
        <f>VLOOKUP($A5,'Ward Budget Summary'!$A$5:$F$31,5,FALSE)</f>
        <v>155.90999999999997</v>
      </c>
      <c r="F5" s="65">
        <f>VLOOKUP($A5,'Ward Budget Summary'!$A$5:$F$31,6,FALSE)</f>
        <v>0.80511250000000001</v>
      </c>
    </row>
    <row r="6" spans="1:26" ht="18" customHeight="1" x14ac:dyDescent="0.25">
      <c r="A6" s="56" t="s">
        <v>56</v>
      </c>
      <c r="B6" s="63">
        <f>VLOOKUP($A6,'Ward Budget Summary'!$A$5:$F$31,2,FALSE)</f>
        <v>400</v>
      </c>
      <c r="C6" s="63">
        <f>VLOOKUP($A6,'Ward Budget Summary'!$A$5:$F$31,3,FALSE)</f>
        <v>0</v>
      </c>
      <c r="D6" s="63">
        <f>VLOOKUP($A6,'Ward Budget Summary'!$A$5:$F$31,4,FALSE)</f>
        <v>-189.89</v>
      </c>
      <c r="E6" s="63">
        <f>VLOOKUP($A6,'Ward Budget Summary'!$A$5:$F$31,5,FALSE)</f>
        <v>210.11</v>
      </c>
      <c r="F6" s="65">
        <f>VLOOKUP($A6,'Ward Budget Summary'!$A$5:$F$31,6,FALSE)</f>
        <v>0.47472499999999995</v>
      </c>
    </row>
    <row r="7" spans="1:26" ht="18" customHeight="1" x14ac:dyDescent="0.25">
      <c r="A7" s="56" t="s">
        <v>57</v>
      </c>
      <c r="B7" s="63">
        <f>VLOOKUP($A7,'Ward Budget Summary'!$A$5:$F$31,2,FALSE)</f>
        <v>400</v>
      </c>
      <c r="C7" s="63">
        <f>VLOOKUP($A7,'Ward Budget Summary'!$A$5:$F$31,3,FALSE)</f>
        <v>0</v>
      </c>
      <c r="D7" s="63">
        <f>VLOOKUP($A7,'Ward Budget Summary'!$A$5:$F$31,4,FALSE)</f>
        <v>-229.82</v>
      </c>
      <c r="E7" s="63">
        <f>VLOOKUP($A7,'Ward Budget Summary'!$A$5:$F$31,5,FALSE)</f>
        <v>170.18</v>
      </c>
      <c r="F7" s="65">
        <f>VLOOKUP($A7,'Ward Budget Summary'!$A$5:$F$31,6,FALSE)</f>
        <v>0.57455000000000001</v>
      </c>
    </row>
    <row r="10" spans="1:26" ht="15" customHeight="1" x14ac:dyDescent="0.25">
      <c r="A10" s="48" t="s">
        <v>80</v>
      </c>
      <c r="B10" s="48" t="s">
        <v>81</v>
      </c>
      <c r="E10" s="48" t="s">
        <v>82</v>
      </c>
    </row>
    <row r="11" spans="1:26" ht="15" customHeight="1" x14ac:dyDescent="0.25">
      <c r="A11" s="48" t="s">
        <v>83</v>
      </c>
      <c r="B11" s="48" t="s">
        <v>84</v>
      </c>
      <c r="E11" s="48" t="s">
        <v>85</v>
      </c>
    </row>
    <row r="12" spans="1:26" ht="15" customHeight="1" x14ac:dyDescent="0.25">
      <c r="A12" s="48" t="s">
        <v>86</v>
      </c>
      <c r="B12" s="48" t="s">
        <v>87</v>
      </c>
      <c r="E12" s="48" t="s">
        <v>88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4:F7" xr:uid="{00000000-0009-0000-0000-000004000000}"/>
  <pageMargins left="0.7" right="0.7" top="0.75" bottom="0.75" header="0" footer="0"/>
  <pageSetup scale="9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1000"/>
  <sheetViews>
    <sheetView workbookViewId="0"/>
  </sheetViews>
  <sheetFormatPr defaultColWidth="14.42578125" defaultRowHeight="15" customHeight="1" x14ac:dyDescent="0.25"/>
  <cols>
    <col min="1" max="1" width="28.42578125" customWidth="1"/>
    <col min="2" max="6" width="13.5703125" customWidth="1"/>
    <col min="7" max="26" width="8.7109375" customWidth="1"/>
  </cols>
  <sheetData>
    <row r="1" spans="1:26" ht="18" x14ac:dyDescent="0.25">
      <c r="A1" s="55" t="s">
        <v>44</v>
      </c>
      <c r="B1" s="56"/>
      <c r="C1" s="57">
        <f ca="1">TODAY()</f>
        <v>45600</v>
      </c>
      <c r="D1" s="56"/>
      <c r="E1" s="56"/>
      <c r="F1" s="58" t="s">
        <v>45</v>
      </c>
    </row>
    <row r="2" spans="1:26" x14ac:dyDescent="0.25">
      <c r="A2" s="56" t="s">
        <v>89</v>
      </c>
      <c r="B2" s="56"/>
      <c r="C2" s="56"/>
      <c r="D2" s="56"/>
      <c r="E2" s="56"/>
      <c r="F2" s="58" t="s">
        <v>47</v>
      </c>
    </row>
    <row r="3" spans="1:26" x14ac:dyDescent="0.25">
      <c r="A3" s="56"/>
      <c r="B3" s="56"/>
      <c r="C3" s="59" t="s">
        <v>48</v>
      </c>
      <c r="D3" s="56"/>
      <c r="E3" s="56"/>
      <c r="F3" s="56"/>
    </row>
    <row r="4" spans="1:26" ht="33" customHeight="1" x14ac:dyDescent="0.25">
      <c r="A4" s="60" t="s">
        <v>49</v>
      </c>
      <c r="B4" s="60" t="s">
        <v>50</v>
      </c>
      <c r="C4" s="60" t="s">
        <v>51</v>
      </c>
      <c r="D4" s="60" t="s">
        <v>52</v>
      </c>
      <c r="E4" s="60" t="s">
        <v>53</v>
      </c>
      <c r="F4" s="60" t="s">
        <v>54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8" customHeight="1" x14ac:dyDescent="0.25">
      <c r="A5" s="56" t="s">
        <v>14</v>
      </c>
      <c r="B5" s="63">
        <f>VLOOKUP($A5,'Ward Budget Summary'!$A$5:$F$31,2,FALSE)</f>
        <v>800</v>
      </c>
      <c r="C5" s="63">
        <f>VLOOKUP($A5,'Ward Budget Summary'!$A$5:$F$31,3,FALSE)</f>
        <v>0</v>
      </c>
      <c r="D5" s="63">
        <f>VLOOKUP($A5,'Ward Budget Summary'!$A$5:$F$31,4,FALSE)</f>
        <v>-304.27</v>
      </c>
      <c r="E5" s="63">
        <f>VLOOKUP($A5,'Ward Budget Summary'!$A$5:$F$31,5,FALSE)</f>
        <v>495.73</v>
      </c>
      <c r="F5" s="65">
        <f>VLOOKUP($A5,'Ward Budget Summary'!$A$5:$F$31,6,FALSE)</f>
        <v>0.3803375</v>
      </c>
    </row>
    <row r="6" spans="1:26" ht="18" customHeight="1" x14ac:dyDescent="0.25">
      <c r="A6" s="56" t="s">
        <v>15</v>
      </c>
      <c r="B6" s="63">
        <f>VLOOKUP($A6,'Ward Budget Summary'!$A$5:$F$31,2,FALSE)</f>
        <v>1780.43</v>
      </c>
      <c r="C6" s="63">
        <f>VLOOKUP($A6,'Ward Budget Summary'!$A$5:$F$31,3,FALSE)</f>
        <v>0</v>
      </c>
      <c r="D6" s="63">
        <f>VLOOKUP($A6,'Ward Budget Summary'!$A$5:$F$31,4,FALSE)</f>
        <v>-1780.43</v>
      </c>
      <c r="E6" s="63">
        <f>VLOOKUP($A6,'Ward Budget Summary'!$A$5:$F$31,5,FALSE)</f>
        <v>0</v>
      </c>
      <c r="F6" s="65">
        <f>VLOOKUP($A6,'Ward Budget Summary'!$A$5:$F$31,6,FALSE)</f>
        <v>1</v>
      </c>
    </row>
    <row r="7" spans="1:26" ht="18" customHeight="1" x14ac:dyDescent="0.25">
      <c r="A7" s="56" t="s">
        <v>30</v>
      </c>
      <c r="B7" s="63">
        <f>VLOOKUP($A7,'Ward Budget Summary'!$A$5:$F$31,2,FALSE)</f>
        <v>800</v>
      </c>
      <c r="C7" s="63">
        <f>VLOOKUP($A7,'Ward Budget Summary'!$A$5:$F$31,3,FALSE)</f>
        <v>0</v>
      </c>
      <c r="D7" s="63">
        <f>VLOOKUP($A7,'Ward Budget Summary'!$A$5:$F$31,4,FALSE)</f>
        <v>-727.1</v>
      </c>
      <c r="E7" s="63">
        <f>VLOOKUP($A7,'Ward Budget Summary'!$A$5:$F$31,5,FALSE)</f>
        <v>72.899999999999977</v>
      </c>
      <c r="F7" s="65">
        <f>VLOOKUP($A7,'Ward Budget Summary'!$A$5:$F$31,6,FALSE)</f>
        <v>0.90887499999999999</v>
      </c>
    </row>
    <row r="8" spans="1:26" ht="18" customHeight="1" x14ac:dyDescent="0.25">
      <c r="A8" s="56" t="s">
        <v>31</v>
      </c>
      <c r="B8" s="63">
        <f>VLOOKUP($A8,'Ward Budget Summary'!$A$5:$F$31,2,FALSE)</f>
        <v>0</v>
      </c>
      <c r="C8" s="63">
        <f>VLOOKUP($A8,'Ward Budget Summary'!$A$5:$F$31,3,FALSE)</f>
        <v>0</v>
      </c>
      <c r="D8" s="63">
        <f>VLOOKUP($A8,'Ward Budget Summary'!$A$5:$F$31,4,FALSE)</f>
        <v>0</v>
      </c>
      <c r="E8" s="63">
        <f>VLOOKUP($A8,'Ward Budget Summary'!$A$5:$F$31,5,FALSE)</f>
        <v>0</v>
      </c>
      <c r="F8" s="65">
        <f>VLOOKUP($A8,'Ward Budget Summary'!$A$5:$F$31,6,FALSE)</f>
        <v>0</v>
      </c>
    </row>
    <row r="9" spans="1:26" ht="18" customHeight="1" x14ac:dyDescent="0.25">
      <c r="A9" s="56" t="s">
        <v>32</v>
      </c>
      <c r="B9" s="63">
        <f>VLOOKUP($A9,'Ward Budget Summary'!$A$5:$F$31,2,FALSE)</f>
        <v>300</v>
      </c>
      <c r="C9" s="63">
        <f>VLOOKUP($A9,'Ward Budget Summary'!$A$5:$F$31,3,FALSE)</f>
        <v>0</v>
      </c>
      <c r="D9" s="63">
        <f>VLOOKUP($A9,'Ward Budget Summary'!$A$5:$F$31,4,FALSE)</f>
        <v>-84.22</v>
      </c>
      <c r="E9" s="63">
        <f>VLOOKUP($A9,'Ward Budget Summary'!$A$5:$F$31,5,FALSE)</f>
        <v>215.78</v>
      </c>
      <c r="F9" s="65">
        <f>VLOOKUP($A9,'Ward Budget Summary'!$A$5:$F$31,6,FALSE)</f>
        <v>0.28073333333333333</v>
      </c>
    </row>
    <row r="10" spans="1:26" ht="18" customHeight="1" x14ac:dyDescent="0.25">
      <c r="A10" s="56" t="s">
        <v>34</v>
      </c>
      <c r="B10" s="63">
        <f>VLOOKUP($A10,'Ward Budget Summary'!$A$5:$F$31,2,FALSE)</f>
        <v>720</v>
      </c>
      <c r="C10" s="63">
        <f>VLOOKUP($A10,'Ward Budget Summary'!$A$5:$F$31,3,FALSE)</f>
        <v>0</v>
      </c>
      <c r="D10" s="63">
        <f>VLOOKUP($A10,'Ward Budget Summary'!$A$5:$F$31,4,FALSE)</f>
        <v>-158.62</v>
      </c>
      <c r="E10" s="63">
        <f>VLOOKUP($A10,'Ward Budget Summary'!$A$5:$F$31,5,FALSE)</f>
        <v>561.38</v>
      </c>
      <c r="F10" s="65">
        <f>VLOOKUP($A10,'Ward Budget Summary'!$A$5:$F$31,6,FALSE)</f>
        <v>0.22030555555555556</v>
      </c>
    </row>
    <row r="11" spans="1:26" ht="18" customHeight="1" x14ac:dyDescent="0.25">
      <c r="A11" s="56" t="s">
        <v>33</v>
      </c>
      <c r="B11" s="63">
        <f>VLOOKUP($A11,'Ward Budget Summary'!$A$5:$F$31,2,FALSE)</f>
        <v>220</v>
      </c>
      <c r="C11" s="63">
        <f>VLOOKUP($A11,'Ward Budget Summary'!$A$5:$F$31,3,FALSE)</f>
        <v>0</v>
      </c>
      <c r="D11" s="63">
        <f>VLOOKUP($A11,'Ward Budget Summary'!$A$5:$F$31,4,FALSE)</f>
        <v>-69.099999999999994</v>
      </c>
      <c r="E11" s="63">
        <f>VLOOKUP($A11,'Ward Budget Summary'!$A$5:$F$31,5,FALSE)</f>
        <v>150.9</v>
      </c>
      <c r="F11" s="65">
        <f>VLOOKUP($A11,'Ward Budget Summary'!$A$5:$F$31,6,FALSE)</f>
        <v>0.31409090909090909</v>
      </c>
    </row>
    <row r="14" spans="1:26" ht="15" customHeight="1" x14ac:dyDescent="0.25">
      <c r="A14" s="48" t="s">
        <v>90</v>
      </c>
      <c r="B14" s="48" t="s">
        <v>91</v>
      </c>
      <c r="E14" s="48" t="s">
        <v>92</v>
      </c>
    </row>
    <row r="15" spans="1:26" ht="15" customHeight="1" x14ac:dyDescent="0.25">
      <c r="A15" s="48" t="s">
        <v>93</v>
      </c>
      <c r="B15" s="48" t="s">
        <v>94</v>
      </c>
      <c r="E15" s="48" t="s">
        <v>95</v>
      </c>
    </row>
    <row r="16" spans="1:26" ht="15" customHeight="1" x14ac:dyDescent="0.25">
      <c r="A16" s="48" t="s">
        <v>96</v>
      </c>
      <c r="B16" s="48" t="s">
        <v>97</v>
      </c>
      <c r="E16" s="48" t="s">
        <v>98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4:F11" xr:uid="{00000000-0009-0000-0000-000005000000}"/>
  <pageMargins left="0.7" right="0.7" top="0.75" bottom="0.75" header="0" footer="0"/>
  <pageSetup scale="93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1000"/>
  <sheetViews>
    <sheetView workbookViewId="0"/>
  </sheetViews>
  <sheetFormatPr defaultColWidth="14.42578125" defaultRowHeight="15" customHeight="1" x14ac:dyDescent="0.25"/>
  <cols>
    <col min="1" max="1" width="28.42578125" customWidth="1"/>
    <col min="2" max="6" width="13.5703125" customWidth="1"/>
    <col min="7" max="26" width="8.7109375" customWidth="1"/>
  </cols>
  <sheetData>
    <row r="1" spans="1:26" ht="18" x14ac:dyDescent="0.25">
      <c r="A1" s="55" t="s">
        <v>44</v>
      </c>
      <c r="B1" s="56"/>
      <c r="C1" s="57">
        <f ca="1">TODAY()</f>
        <v>45600</v>
      </c>
      <c r="D1" s="56"/>
      <c r="E1" s="56"/>
      <c r="F1" s="58" t="s">
        <v>45</v>
      </c>
    </row>
    <row r="2" spans="1:26" x14ac:dyDescent="0.25">
      <c r="A2" s="56" t="s">
        <v>99</v>
      </c>
      <c r="B2" s="56"/>
      <c r="C2" s="56"/>
      <c r="D2" s="56"/>
      <c r="E2" s="56"/>
      <c r="F2" s="58" t="s">
        <v>47</v>
      </c>
    </row>
    <row r="3" spans="1:26" x14ac:dyDescent="0.25">
      <c r="A3" s="56"/>
      <c r="B3" s="56"/>
      <c r="C3" s="59" t="s">
        <v>48</v>
      </c>
      <c r="D3" s="56"/>
      <c r="E3" s="56"/>
      <c r="F3" s="56"/>
    </row>
    <row r="4" spans="1:26" ht="33" customHeight="1" x14ac:dyDescent="0.25">
      <c r="A4" s="60" t="s">
        <v>49</v>
      </c>
      <c r="B4" s="60" t="s">
        <v>50</v>
      </c>
      <c r="C4" s="60" t="s">
        <v>51</v>
      </c>
      <c r="D4" s="60" t="s">
        <v>52</v>
      </c>
      <c r="E4" s="60" t="s">
        <v>53</v>
      </c>
      <c r="F4" s="60" t="s">
        <v>54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8" customHeight="1" x14ac:dyDescent="0.25">
      <c r="A5" s="56" t="s">
        <v>14</v>
      </c>
      <c r="B5" s="63">
        <f>VLOOKUP($A5,'Ward Budget Summary'!$A$5:$F$31,2,FALSE)</f>
        <v>800</v>
      </c>
      <c r="C5" s="63">
        <f>VLOOKUP($A5,'Ward Budget Summary'!$A$5:$F$31,3,FALSE)</f>
        <v>0</v>
      </c>
      <c r="D5" s="63">
        <f>VLOOKUP($A5,'Ward Budget Summary'!$A$5:$F$31,4,FALSE)</f>
        <v>-304.27</v>
      </c>
      <c r="E5" s="63">
        <f>VLOOKUP($A5,'Ward Budget Summary'!$A$5:$F$31,5,FALSE)</f>
        <v>495.73</v>
      </c>
      <c r="F5" s="65">
        <f>VLOOKUP($A5,'Ward Budget Summary'!$A$5:$F$31,6,FALSE)</f>
        <v>0.3803375</v>
      </c>
    </row>
    <row r="6" spans="1:26" ht="18" customHeight="1" x14ac:dyDescent="0.25">
      <c r="A6" s="56" t="s">
        <v>15</v>
      </c>
      <c r="B6" s="63">
        <f>VLOOKUP($A6,'Ward Budget Summary'!$A$5:$F$31,2,FALSE)</f>
        <v>1780.43</v>
      </c>
      <c r="C6" s="63">
        <f>VLOOKUP($A6,'Ward Budget Summary'!$A$5:$F$31,3,FALSE)</f>
        <v>0</v>
      </c>
      <c r="D6" s="63">
        <f>VLOOKUP($A6,'Ward Budget Summary'!$A$5:$F$31,4,FALSE)</f>
        <v>-1780.43</v>
      </c>
      <c r="E6" s="63">
        <f>VLOOKUP($A6,'Ward Budget Summary'!$A$5:$F$31,5,FALSE)</f>
        <v>0</v>
      </c>
      <c r="F6" s="65">
        <f>VLOOKUP($A6,'Ward Budget Summary'!$A$5:$F$31,6,FALSE)</f>
        <v>1</v>
      </c>
    </row>
    <row r="7" spans="1:26" ht="18" customHeight="1" x14ac:dyDescent="0.25">
      <c r="A7" s="56" t="s">
        <v>35</v>
      </c>
      <c r="B7" s="63">
        <f>VLOOKUP($A7,'Ward Budget Summary'!$A$5:$F$31,2,FALSE)</f>
        <v>350</v>
      </c>
      <c r="C7" s="63">
        <f>VLOOKUP($A7,'Ward Budget Summary'!$A$5:$F$31,3,FALSE)</f>
        <v>0</v>
      </c>
      <c r="D7" s="63">
        <f>VLOOKUP($A7,'Ward Budget Summary'!$A$5:$F$31,4,FALSE)</f>
        <v>-206.45</v>
      </c>
      <c r="E7" s="63">
        <f>VLOOKUP($A7,'Ward Budget Summary'!$A$5:$F$31,5,FALSE)</f>
        <v>143.55000000000001</v>
      </c>
      <c r="F7" s="65">
        <f>VLOOKUP($A7,'Ward Budget Summary'!$A$5:$F$31,6,FALSE)</f>
        <v>0.58985714285714286</v>
      </c>
    </row>
    <row r="8" spans="1:26" ht="18" customHeight="1" x14ac:dyDescent="0.25">
      <c r="A8" s="56" t="s">
        <v>36</v>
      </c>
      <c r="B8" s="63">
        <f>VLOOKUP($A8,'Ward Budget Summary'!$A$5:$F$31,2,FALSE)</f>
        <v>0</v>
      </c>
      <c r="C8" s="63">
        <f>VLOOKUP($A8,'Ward Budget Summary'!$A$5:$F$31,3,FALSE)</f>
        <v>0</v>
      </c>
      <c r="D8" s="63">
        <f>VLOOKUP($A8,'Ward Budget Summary'!$A$5:$F$31,4,FALSE)</f>
        <v>-323.91000000000003</v>
      </c>
      <c r="E8" s="63">
        <f>VLOOKUP($A8,'Ward Budget Summary'!$A$5:$F$31,5,FALSE)</f>
        <v>-323.91000000000003</v>
      </c>
      <c r="F8" s="65">
        <f>VLOOKUP($A8,'Ward Budget Summary'!$A$5:$F$31,6,FALSE)</f>
        <v>0</v>
      </c>
    </row>
    <row r="9" spans="1:26" ht="18" customHeight="1" x14ac:dyDescent="0.25">
      <c r="A9" s="56" t="s">
        <v>38</v>
      </c>
      <c r="B9" s="63">
        <f>VLOOKUP($A9,'Ward Budget Summary'!$A$5:$F$31,2,FALSE)</f>
        <v>1280</v>
      </c>
      <c r="C9" s="63">
        <f>VLOOKUP($A9,'Ward Budget Summary'!$A$5:$F$31,3,FALSE)</f>
        <v>0</v>
      </c>
      <c r="D9" s="63">
        <f>VLOOKUP($A9,'Ward Budget Summary'!$A$5:$F$31,4,FALSE)</f>
        <v>0</v>
      </c>
      <c r="E9" s="63">
        <f>VLOOKUP($A9,'Ward Budget Summary'!$A$5:$F$31,5,FALSE)</f>
        <v>1280</v>
      </c>
      <c r="F9" s="65">
        <f>VLOOKUP($A9,'Ward Budget Summary'!$A$5:$F$31,6,FALSE)</f>
        <v>0</v>
      </c>
    </row>
    <row r="14" spans="1:26" ht="15" customHeight="1" x14ac:dyDescent="0.25">
      <c r="A14" s="48" t="s">
        <v>100</v>
      </c>
      <c r="B14" s="48" t="s">
        <v>101</v>
      </c>
      <c r="E14" s="48" t="s">
        <v>102</v>
      </c>
    </row>
    <row r="15" spans="1:26" ht="15" customHeight="1" x14ac:dyDescent="0.25">
      <c r="A15" s="48" t="s">
        <v>103</v>
      </c>
      <c r="B15" s="48" t="s">
        <v>104</v>
      </c>
      <c r="E15" s="48" t="s">
        <v>105</v>
      </c>
    </row>
    <row r="16" spans="1:26" ht="15" customHeight="1" x14ac:dyDescent="0.25">
      <c r="A16" s="48" t="s">
        <v>106</v>
      </c>
      <c r="B16" s="48" t="s">
        <v>107</v>
      </c>
      <c r="E16" s="48" t="s">
        <v>108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4:F9" xr:uid="{00000000-0009-0000-0000-000006000000}"/>
  <pageMargins left="0.7" right="0.7" top="0.75" bottom="0.75" header="0" footer="0"/>
  <pageSetup scale="93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00"/>
  <sheetViews>
    <sheetView workbookViewId="0"/>
  </sheetViews>
  <sheetFormatPr defaultColWidth="14.42578125" defaultRowHeight="15" customHeight="1" x14ac:dyDescent="0.25"/>
  <cols>
    <col min="1" max="1" width="28.42578125" customWidth="1"/>
    <col min="2" max="6" width="13.5703125" customWidth="1"/>
    <col min="7" max="26" width="8.7109375" customWidth="1"/>
  </cols>
  <sheetData>
    <row r="1" spans="1:26" ht="18" x14ac:dyDescent="0.25">
      <c r="A1" s="55" t="s">
        <v>44</v>
      </c>
      <c r="B1" s="56"/>
      <c r="C1" s="57">
        <f ca="1">TODAY()</f>
        <v>45600</v>
      </c>
      <c r="D1" s="56"/>
      <c r="E1" s="56"/>
      <c r="F1" s="58" t="s">
        <v>45</v>
      </c>
    </row>
    <row r="2" spans="1:26" x14ac:dyDescent="0.25">
      <c r="A2" s="56" t="s">
        <v>109</v>
      </c>
      <c r="B2" s="56"/>
      <c r="C2" s="56"/>
      <c r="D2" s="56"/>
      <c r="E2" s="56"/>
      <c r="F2" s="58" t="s">
        <v>47</v>
      </c>
    </row>
    <row r="3" spans="1:26" x14ac:dyDescent="0.25">
      <c r="A3" s="56"/>
      <c r="B3" s="56"/>
      <c r="C3" s="59" t="s">
        <v>48</v>
      </c>
      <c r="D3" s="56"/>
      <c r="E3" s="56"/>
      <c r="F3" s="56"/>
    </row>
    <row r="4" spans="1:26" ht="33" customHeight="1" x14ac:dyDescent="0.25">
      <c r="A4" s="60" t="s">
        <v>49</v>
      </c>
      <c r="B4" s="60" t="s">
        <v>50</v>
      </c>
      <c r="C4" s="60" t="s">
        <v>51</v>
      </c>
      <c r="D4" s="60" t="s">
        <v>52</v>
      </c>
      <c r="E4" s="60" t="s">
        <v>53</v>
      </c>
      <c r="F4" s="60" t="s">
        <v>54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8" customHeight="1" x14ac:dyDescent="0.25">
      <c r="A5" s="56" t="s">
        <v>22</v>
      </c>
      <c r="B5" s="63">
        <f>VLOOKUP($A5,'Ward Budget Summary'!$A$5:$F$31,2,FALSE)</f>
        <v>160</v>
      </c>
      <c r="C5" s="63">
        <f>VLOOKUP($A5,'Ward Budget Summary'!$A$5:$F$31,3,FALSE)</f>
        <v>0</v>
      </c>
      <c r="D5" s="63">
        <f>VLOOKUP($A5,'Ward Budget Summary'!$A$5:$F$31,4,FALSE)</f>
        <v>-58.29</v>
      </c>
      <c r="E5" s="63">
        <f>VLOOKUP($A5,'Ward Budget Summary'!$A$5:$F$31,5,FALSE)</f>
        <v>101.71000000000001</v>
      </c>
      <c r="F5" s="65">
        <f>VLOOKUP($A5,'Ward Budget Summary'!$A$5:$F$31,6,FALSE)</f>
        <v>0.36431249999999998</v>
      </c>
    </row>
    <row r="6" spans="1:26" ht="18" customHeight="1" x14ac:dyDescent="0.25">
      <c r="A6" s="56" t="s">
        <v>29</v>
      </c>
      <c r="B6" s="63">
        <f>VLOOKUP($A6,'Ward Budget Summary'!$A$5:$F$31,2,FALSE)</f>
        <v>50</v>
      </c>
      <c r="C6" s="63">
        <f>VLOOKUP($A6,'Ward Budget Summary'!$A$5:$F$31,3,FALSE)</f>
        <v>0</v>
      </c>
      <c r="D6" s="63">
        <f>VLOOKUP($A6,'Ward Budget Summary'!$A$5:$F$31,4,FALSE)</f>
        <v>0</v>
      </c>
      <c r="E6" s="63">
        <f>VLOOKUP($A6,'Ward Budget Summary'!$A$5:$F$31,5,FALSE)</f>
        <v>50</v>
      </c>
      <c r="F6" s="65">
        <f>VLOOKUP($A6,'Ward Budget Summary'!$A$5:$F$31,6,FALSE)</f>
        <v>0</v>
      </c>
    </row>
    <row r="11" spans="1:26" ht="15" customHeight="1" x14ac:dyDescent="0.25">
      <c r="A11" s="48" t="s">
        <v>110</v>
      </c>
      <c r="B11" s="48" t="s">
        <v>111</v>
      </c>
      <c r="E11" s="48" t="s">
        <v>112</v>
      </c>
    </row>
    <row r="12" spans="1:26" ht="15" customHeight="1" x14ac:dyDescent="0.25">
      <c r="A12" s="48" t="s">
        <v>113</v>
      </c>
      <c r="B12" s="48" t="s">
        <v>114</v>
      </c>
      <c r="E12" s="48" t="s">
        <v>115</v>
      </c>
    </row>
    <row r="13" spans="1:26" ht="15" customHeight="1" x14ac:dyDescent="0.25">
      <c r="A13" s="48" t="s">
        <v>116</v>
      </c>
      <c r="B13" s="48" t="s">
        <v>117</v>
      </c>
      <c r="E13" s="48" t="s">
        <v>118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4:F6" xr:uid="{00000000-0009-0000-0000-000007000000}"/>
  <pageMargins left="0.7" right="0.7" top="0.75" bottom="0.75" header="0" footer="0"/>
  <pageSetup scale="9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Budget Analysis</vt:lpstr>
      <vt:lpstr>Ward Budget Summary</vt:lpstr>
      <vt:lpstr>Missionary Balances</vt:lpstr>
      <vt:lpstr>RS</vt:lpstr>
      <vt:lpstr>EQ</vt:lpstr>
      <vt:lpstr>Pri</vt:lpstr>
      <vt:lpstr>YM</vt:lpstr>
      <vt:lpstr>YW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Darin Carlson</dc:creator>
  <cp:lastModifiedBy>Carlson, Darin</cp:lastModifiedBy>
  <cp:lastPrinted>2024-11-03T23:37:54Z</cp:lastPrinted>
  <dcterms:created xsi:type="dcterms:W3CDTF">2023-09-23T15:30:27Z</dcterms:created>
  <dcterms:modified xsi:type="dcterms:W3CDTF">2024-11-04T21:51:25Z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df92d3-bc41-4011-84ae-24af45e15272_Enabled">
    <vt:lpwstr>true</vt:lpwstr>
  </property>
  <property fmtid="{D5CDD505-2E9C-101B-9397-08002B2CF9AE}" pid="3" name="MSIP_Label_a5df92d3-bc41-4011-84ae-24af45e15272_SetDate">
    <vt:lpwstr>2024-11-04T21:51:08Z</vt:lpwstr>
  </property>
  <property fmtid="{D5CDD505-2E9C-101B-9397-08002B2CF9AE}" pid="4" name="MSIP_Label_a5df92d3-bc41-4011-84ae-24af45e15272_Method">
    <vt:lpwstr>Standard</vt:lpwstr>
  </property>
  <property fmtid="{D5CDD505-2E9C-101B-9397-08002B2CF9AE}" pid="5" name="MSIP_Label_a5df92d3-bc41-4011-84ae-24af45e15272_Name">
    <vt:lpwstr>a5df92d3-bc41-4011-84ae-24af45e15272</vt:lpwstr>
  </property>
  <property fmtid="{D5CDD505-2E9C-101B-9397-08002B2CF9AE}" pid="6" name="MSIP_Label_a5df92d3-bc41-4011-84ae-24af45e15272_SiteId">
    <vt:lpwstr>079132a0-3864-4413-a77e-c26f1fb47e37</vt:lpwstr>
  </property>
  <property fmtid="{D5CDD505-2E9C-101B-9397-08002B2CF9AE}" pid="7" name="MSIP_Label_a5df92d3-bc41-4011-84ae-24af45e15272_ActionId">
    <vt:lpwstr>6ae2c0ad-5a2b-45e9-b9f2-2d26ca83d00e</vt:lpwstr>
  </property>
  <property fmtid="{D5CDD505-2E9C-101B-9397-08002B2CF9AE}" pid="8" name="MSIP_Label_a5df92d3-bc41-4011-84ae-24af45e15272_ContentBits">
    <vt:lpwstr>0</vt:lpwstr>
  </property>
</Properties>
</file>