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goh/Desktop/Stock Analysis/Koufu/"/>
    </mc:Choice>
  </mc:AlternateContent>
  <xr:revisionPtr revIDLastSave="0" documentId="13_ncr:1_{947AF49A-970B-FB4D-B209-66F819304DCD}" xr6:coauthVersionLast="45" xr6:coauthVersionMax="45" xr10:uidLastSave="{00000000-0000-0000-0000-000000000000}"/>
  <bookViews>
    <workbookView xWindow="0" yWindow="460" windowWidth="28800" windowHeight="17540" xr2:uid="{AE6E4F93-D617-714E-9BD9-E7C5386DB408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8" i="1" l="1"/>
  <c r="F310" i="1" s="1"/>
  <c r="F309" i="1"/>
  <c r="F316" i="1"/>
  <c r="H130" i="1"/>
  <c r="E305" i="1"/>
  <c r="E304" i="1"/>
  <c r="E306" i="1" s="1"/>
  <c r="G130" i="1"/>
  <c r="G93" i="1"/>
  <c r="G173" i="1" s="1"/>
  <c r="E147" i="1"/>
  <c r="F335" i="1"/>
  <c r="I130" i="1" l="1"/>
  <c r="J130" i="1" s="1"/>
  <c r="H208" i="1" l="1"/>
  <c r="I208" i="1"/>
  <c r="J208" i="1"/>
  <c r="K208" i="1"/>
  <c r="L208" i="1"/>
  <c r="M208" i="1"/>
  <c r="N208" i="1"/>
  <c r="O208" i="1"/>
  <c r="P208" i="1"/>
  <c r="G208" i="1"/>
  <c r="G330" i="1"/>
  <c r="G209" i="1" s="1"/>
  <c r="H329" i="1"/>
  <c r="H206" i="1" s="1"/>
  <c r="I329" i="1"/>
  <c r="I206" i="1" s="1"/>
  <c r="J329" i="1"/>
  <c r="J206" i="1" s="1"/>
  <c r="K329" i="1"/>
  <c r="K206" i="1" s="1"/>
  <c r="L329" i="1"/>
  <c r="L206" i="1" s="1"/>
  <c r="M329" i="1"/>
  <c r="M206" i="1" s="1"/>
  <c r="N329" i="1"/>
  <c r="N206" i="1" s="1"/>
  <c r="O329" i="1"/>
  <c r="O206" i="1" s="1"/>
  <c r="P329" i="1"/>
  <c r="P206" i="1" s="1"/>
  <c r="H330" i="1"/>
  <c r="H209" i="1" s="1"/>
  <c r="I330" i="1"/>
  <c r="I209" i="1" s="1"/>
  <c r="J330" i="1"/>
  <c r="J209" i="1" s="1"/>
  <c r="K330" i="1"/>
  <c r="K209" i="1" s="1"/>
  <c r="L330" i="1"/>
  <c r="L209" i="1" s="1"/>
  <c r="M330" i="1"/>
  <c r="M209" i="1" s="1"/>
  <c r="N330" i="1"/>
  <c r="N209" i="1" s="1"/>
  <c r="O330" i="1"/>
  <c r="O209" i="1" s="1"/>
  <c r="P330" i="1"/>
  <c r="P209" i="1" s="1"/>
  <c r="G329" i="1"/>
  <c r="G206" i="1" s="1"/>
  <c r="F23" i="1"/>
  <c r="E23" i="1"/>
  <c r="F61" i="1"/>
  <c r="F285" i="1"/>
  <c r="F288" i="1" s="1"/>
  <c r="F59" i="1"/>
  <c r="E59" i="1"/>
  <c r="E269" i="1"/>
  <c r="E273" i="1" s="1"/>
  <c r="G148" i="1"/>
  <c r="H148" i="1" s="1"/>
  <c r="G145" i="1"/>
  <c r="H145" i="1" s="1"/>
  <c r="G144" i="1"/>
  <c r="H144" i="1" s="1"/>
  <c r="G143" i="1"/>
  <c r="H143" i="1" s="1"/>
  <c r="F71" i="1"/>
  <c r="F72" i="1"/>
  <c r="E72" i="1"/>
  <c r="E71" i="1"/>
  <c r="G98" i="1"/>
  <c r="H98" i="1" s="1"/>
  <c r="I98" i="1" s="1"/>
  <c r="J98" i="1" s="1"/>
  <c r="K98" i="1" s="1"/>
  <c r="L98" i="1" s="1"/>
  <c r="M98" i="1" s="1"/>
  <c r="N98" i="1" s="1"/>
  <c r="O98" i="1" s="1"/>
  <c r="P98" i="1" s="1"/>
  <c r="P201" i="1" s="1"/>
  <c r="F73" i="1"/>
  <c r="G129" i="1"/>
  <c r="H129" i="1" s="1"/>
  <c r="G128" i="1"/>
  <c r="H128" i="1" s="1"/>
  <c r="G138" i="1"/>
  <c r="H138" i="1" s="1"/>
  <c r="G137" i="1"/>
  <c r="H137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G111" i="1"/>
  <c r="O256" i="1"/>
  <c r="P256" i="1"/>
  <c r="O322" i="1"/>
  <c r="O207" i="1" s="1"/>
  <c r="P322" i="1"/>
  <c r="P207" i="1" s="1"/>
  <c r="L256" i="1"/>
  <c r="M256" i="1"/>
  <c r="N256" i="1"/>
  <c r="L322" i="1"/>
  <c r="L207" i="1" s="1"/>
  <c r="M322" i="1"/>
  <c r="M207" i="1" s="1"/>
  <c r="N322" i="1"/>
  <c r="N207" i="1" s="1"/>
  <c r="E335" i="1"/>
  <c r="E328" i="1"/>
  <c r="H322" i="1"/>
  <c r="H207" i="1" s="1"/>
  <c r="I322" i="1"/>
  <c r="I207" i="1" s="1"/>
  <c r="J322" i="1"/>
  <c r="J207" i="1" s="1"/>
  <c r="K322" i="1"/>
  <c r="K207" i="1" s="1"/>
  <c r="G322" i="1"/>
  <c r="G207" i="1" s="1"/>
  <c r="D323" i="1"/>
  <c r="E323" i="1"/>
  <c r="F323" i="1"/>
  <c r="F55" i="1"/>
  <c r="F295" i="1"/>
  <c r="F298" i="1" s="1"/>
  <c r="F305" i="1" s="1"/>
  <c r="F278" i="1"/>
  <c r="F54" i="1" s="1"/>
  <c r="G256" i="1"/>
  <c r="H256" i="1"/>
  <c r="I256" i="1"/>
  <c r="J256" i="1"/>
  <c r="K256" i="1"/>
  <c r="E52" i="1"/>
  <c r="E51" i="1"/>
  <c r="E50" i="1"/>
  <c r="E49" i="1"/>
  <c r="E48" i="1"/>
  <c r="E47" i="1"/>
  <c r="F39" i="1"/>
  <c r="F40" i="1"/>
  <c r="F41" i="1"/>
  <c r="F42" i="1"/>
  <c r="F43" i="1"/>
  <c r="F44" i="1"/>
  <c r="E44" i="1"/>
  <c r="E40" i="1"/>
  <c r="E41" i="1"/>
  <c r="E42" i="1"/>
  <c r="E43" i="1"/>
  <c r="E39" i="1"/>
  <c r="E256" i="1"/>
  <c r="E264" i="1"/>
  <c r="F228" i="1" s="1"/>
  <c r="F52" i="1" s="1"/>
  <c r="E263" i="1"/>
  <c r="F227" i="1" s="1"/>
  <c r="F51" i="1" s="1"/>
  <c r="E262" i="1"/>
  <c r="F226" i="1" s="1"/>
  <c r="F50" i="1" s="1"/>
  <c r="E261" i="1"/>
  <c r="F225" i="1" s="1"/>
  <c r="F49" i="1" s="1"/>
  <c r="E260" i="1"/>
  <c r="F224" i="1" s="1"/>
  <c r="F48" i="1" s="1"/>
  <c r="E259" i="1"/>
  <c r="F223" i="1" s="1"/>
  <c r="F47" i="1" s="1"/>
  <c r="F256" i="1"/>
  <c r="E238" i="1"/>
  <c r="E229" i="1"/>
  <c r="E247" i="1"/>
  <c r="F247" i="1"/>
  <c r="F238" i="1"/>
  <c r="G116" i="1"/>
  <c r="H116" i="1" s="1"/>
  <c r="G105" i="1"/>
  <c r="H105" i="1" s="1"/>
  <c r="G106" i="1"/>
  <c r="H106" i="1" s="1"/>
  <c r="G108" i="1"/>
  <c r="H108" i="1" s="1"/>
  <c r="G109" i="1"/>
  <c r="H109" i="1" s="1"/>
  <c r="G110" i="1"/>
  <c r="E35" i="1"/>
  <c r="F35" i="1"/>
  <c r="E36" i="1"/>
  <c r="F36" i="1"/>
  <c r="D36" i="1"/>
  <c r="D35" i="1"/>
  <c r="G119" i="1"/>
  <c r="H119" i="1" s="1"/>
  <c r="J26" i="1"/>
  <c r="K26" i="1" s="1"/>
  <c r="K93" i="1" s="1"/>
  <c r="E26" i="1"/>
  <c r="F26" i="1"/>
  <c r="D26" i="1"/>
  <c r="G78" i="1"/>
  <c r="E17" i="1"/>
  <c r="F17" i="1"/>
  <c r="E18" i="1"/>
  <c r="F18" i="1"/>
  <c r="E19" i="1"/>
  <c r="F19" i="1"/>
  <c r="E20" i="1"/>
  <c r="F20" i="1"/>
  <c r="E21" i="1"/>
  <c r="F21" i="1"/>
  <c r="D18" i="1"/>
  <c r="D19" i="1"/>
  <c r="D20" i="1"/>
  <c r="D21" i="1"/>
  <c r="D17" i="1"/>
  <c r="F11" i="1"/>
  <c r="F12" i="1"/>
  <c r="F13" i="1"/>
  <c r="F14" i="1"/>
  <c r="E12" i="1"/>
  <c r="E13" i="1"/>
  <c r="E14" i="1"/>
  <c r="D13" i="1"/>
  <c r="D14" i="1"/>
  <c r="D12" i="1"/>
  <c r="E11" i="1"/>
  <c r="E214" i="1"/>
  <c r="D147" i="1"/>
  <c r="D149" i="1" s="1"/>
  <c r="D139" i="1"/>
  <c r="D131" i="1"/>
  <c r="D121" i="1"/>
  <c r="D113" i="1"/>
  <c r="D92" i="1"/>
  <c r="D82" i="1"/>
  <c r="D89" i="1" s="1"/>
  <c r="F211" i="1"/>
  <c r="E211" i="1"/>
  <c r="F196" i="1"/>
  <c r="E196" i="1"/>
  <c r="F176" i="1"/>
  <c r="F181" i="1" s="1"/>
  <c r="E176" i="1"/>
  <c r="E181" i="1" s="1"/>
  <c r="E183" i="1" s="1"/>
  <c r="E2" i="1"/>
  <c r="E5" i="1" s="1"/>
  <c r="F139" i="1"/>
  <c r="E139" i="1"/>
  <c r="F147" i="1"/>
  <c r="F149" i="1" s="1"/>
  <c r="E149" i="1"/>
  <c r="F131" i="1"/>
  <c r="E131" i="1"/>
  <c r="E113" i="1"/>
  <c r="F113" i="1"/>
  <c r="F92" i="1"/>
  <c r="E92" i="1"/>
  <c r="F82" i="1"/>
  <c r="F89" i="1" s="1"/>
  <c r="E82" i="1"/>
  <c r="E89" i="1" s="1"/>
  <c r="D5" i="1"/>
  <c r="D4" i="1"/>
  <c r="H110" i="1" l="1"/>
  <c r="I110" i="1" s="1"/>
  <c r="J110" i="1" s="1"/>
  <c r="H111" i="1"/>
  <c r="I111" i="1" s="1"/>
  <c r="J111" i="1" s="1"/>
  <c r="G87" i="1"/>
  <c r="G80" i="1"/>
  <c r="G134" i="1"/>
  <c r="F313" i="1"/>
  <c r="F318" i="1" s="1"/>
  <c r="I108" i="1"/>
  <c r="I106" i="1"/>
  <c r="F63" i="1"/>
  <c r="I137" i="1"/>
  <c r="I105" i="1"/>
  <c r="I138" i="1"/>
  <c r="G285" i="1"/>
  <c r="G287" i="1" s="1"/>
  <c r="I116" i="1"/>
  <c r="I143" i="1"/>
  <c r="I129" i="1"/>
  <c r="I144" i="1"/>
  <c r="I145" i="1"/>
  <c r="I148" i="1"/>
  <c r="I119" i="1"/>
  <c r="I109" i="1"/>
  <c r="G86" i="1"/>
  <c r="G112" i="1"/>
  <c r="K173" i="1"/>
  <c r="O201" i="1"/>
  <c r="K130" i="1"/>
  <c r="L130" i="1" s="1"/>
  <c r="M130" i="1" s="1"/>
  <c r="N130" i="1" s="1"/>
  <c r="O130" i="1" s="1"/>
  <c r="P130" i="1" s="1"/>
  <c r="N201" i="1"/>
  <c r="M201" i="1"/>
  <c r="L201" i="1"/>
  <c r="K201" i="1"/>
  <c r="J201" i="1"/>
  <c r="I201" i="1"/>
  <c r="H201" i="1"/>
  <c r="G201" i="1"/>
  <c r="E331" i="1"/>
  <c r="F328" i="1" s="1"/>
  <c r="F331" i="1" s="1"/>
  <c r="F183" i="1"/>
  <c r="F213" i="1" s="1"/>
  <c r="F66" i="1"/>
  <c r="F56" i="1"/>
  <c r="G286" i="1"/>
  <c r="E65" i="1"/>
  <c r="F299" i="1"/>
  <c r="F300" i="1" s="1"/>
  <c r="E60" i="1"/>
  <c r="G270" i="1"/>
  <c r="G193" i="1" s="1"/>
  <c r="F65" i="1"/>
  <c r="E321" i="1"/>
  <c r="E322" i="1" s="1"/>
  <c r="G159" i="1"/>
  <c r="L26" i="1"/>
  <c r="F269" i="1"/>
  <c r="G295" i="1"/>
  <c r="F321" i="1"/>
  <c r="F322" i="1" s="1"/>
  <c r="G321" i="1"/>
  <c r="G323" i="1" s="1"/>
  <c r="G297" i="1"/>
  <c r="E66" i="1"/>
  <c r="G237" i="1"/>
  <c r="G232" i="1"/>
  <c r="G234" i="1"/>
  <c r="F229" i="1"/>
  <c r="G236" i="1"/>
  <c r="G233" i="1"/>
  <c r="G235" i="1"/>
  <c r="E265" i="1"/>
  <c r="I93" i="1"/>
  <c r="H93" i="1"/>
  <c r="J93" i="1"/>
  <c r="G85" i="1"/>
  <c r="F15" i="1"/>
  <c r="G81" i="1"/>
  <c r="G84" i="1"/>
  <c r="D94" i="1"/>
  <c r="G79" i="1"/>
  <c r="G82" i="1" s="1"/>
  <c r="D15" i="1"/>
  <c r="E15" i="1"/>
  <c r="H78" i="1"/>
  <c r="D122" i="1"/>
  <c r="D140" i="1"/>
  <c r="D150" i="1" s="1"/>
  <c r="G88" i="1"/>
  <c r="E213" i="1"/>
  <c r="E216" i="1" s="1"/>
  <c r="F94" i="1"/>
  <c r="F2" i="1"/>
  <c r="E4" i="1"/>
  <c r="E6" i="1" s="1"/>
  <c r="E140" i="1"/>
  <c r="E150" i="1" s="1"/>
  <c r="F140" i="1"/>
  <c r="F150" i="1" s="1"/>
  <c r="E94" i="1"/>
  <c r="D6" i="1"/>
  <c r="G279" i="1" l="1"/>
  <c r="G308" i="1" s="1"/>
  <c r="G309" i="1"/>
  <c r="H112" i="1"/>
  <c r="H134" i="1"/>
  <c r="J109" i="1"/>
  <c r="J116" i="1"/>
  <c r="J129" i="1"/>
  <c r="J119" i="1"/>
  <c r="H286" i="1"/>
  <c r="J138" i="1"/>
  <c r="J106" i="1"/>
  <c r="J137" i="1"/>
  <c r="J148" i="1"/>
  <c r="J143" i="1"/>
  <c r="G136" i="1"/>
  <c r="J105" i="1"/>
  <c r="J144" i="1"/>
  <c r="G288" i="1"/>
  <c r="J145" i="1"/>
  <c r="I128" i="1"/>
  <c r="J108" i="1"/>
  <c r="J173" i="1"/>
  <c r="H173" i="1"/>
  <c r="I173" i="1"/>
  <c r="H159" i="1"/>
  <c r="H297" i="1"/>
  <c r="H270" i="1"/>
  <c r="H193" i="1" s="1"/>
  <c r="F273" i="1"/>
  <c r="F315" i="1" s="1"/>
  <c r="F60" i="1"/>
  <c r="G328" i="1"/>
  <c r="G238" i="1"/>
  <c r="G194" i="1" s="1"/>
  <c r="F67" i="1"/>
  <c r="M26" i="1"/>
  <c r="L93" i="1"/>
  <c r="H321" i="1"/>
  <c r="H323" i="1" s="1"/>
  <c r="H136" i="1" s="1"/>
  <c r="G325" i="1"/>
  <c r="G296" i="1"/>
  <c r="G204" i="1" s="1"/>
  <c r="H85" i="1"/>
  <c r="H233" i="1"/>
  <c r="H236" i="1"/>
  <c r="H235" i="1"/>
  <c r="H234" i="1"/>
  <c r="H232" i="1"/>
  <c r="H237" i="1"/>
  <c r="H86" i="1"/>
  <c r="D33" i="1"/>
  <c r="D32" i="1"/>
  <c r="D31" i="1"/>
  <c r="E31" i="1"/>
  <c r="E32" i="1"/>
  <c r="E33" i="1"/>
  <c r="D152" i="1"/>
  <c r="D96" i="1"/>
  <c r="D28" i="1"/>
  <c r="E96" i="1"/>
  <c r="E28" i="1"/>
  <c r="I78" i="1"/>
  <c r="H79" i="1"/>
  <c r="H80" i="1"/>
  <c r="H87" i="1"/>
  <c r="H81" i="1"/>
  <c r="H88" i="1"/>
  <c r="H84" i="1"/>
  <c r="F96" i="1"/>
  <c r="F28" i="1"/>
  <c r="G15" i="1"/>
  <c r="F214" i="1"/>
  <c r="F216" i="1" s="1"/>
  <c r="E120" i="1"/>
  <c r="E121" i="1" s="1"/>
  <c r="E122" i="1" s="1"/>
  <c r="E152" i="1" s="1"/>
  <c r="F4" i="1"/>
  <c r="G2" i="1"/>
  <c r="F5" i="1"/>
  <c r="G310" i="1" l="1"/>
  <c r="H279" i="1"/>
  <c r="H308" i="1" s="1"/>
  <c r="H309" i="1"/>
  <c r="H310" i="1" s="1"/>
  <c r="H285" i="1"/>
  <c r="H287" i="1" s="1"/>
  <c r="K144" i="1"/>
  <c r="L144" i="1" s="1"/>
  <c r="M144" i="1" s="1"/>
  <c r="N144" i="1" s="1"/>
  <c r="O144" i="1" s="1"/>
  <c r="P144" i="1" s="1"/>
  <c r="K148" i="1"/>
  <c r="L148" i="1" s="1"/>
  <c r="M148" i="1" s="1"/>
  <c r="N148" i="1" s="1"/>
  <c r="O148" i="1" s="1"/>
  <c r="P148" i="1" s="1"/>
  <c r="K138" i="1"/>
  <c r="L138" i="1" s="1"/>
  <c r="M138" i="1" s="1"/>
  <c r="N138" i="1" s="1"/>
  <c r="O138" i="1" s="1"/>
  <c r="P138" i="1" s="1"/>
  <c r="K108" i="1"/>
  <c r="L108" i="1" s="1"/>
  <c r="M108" i="1" s="1"/>
  <c r="N108" i="1" s="1"/>
  <c r="O108" i="1" s="1"/>
  <c r="P108" i="1" s="1"/>
  <c r="K129" i="1"/>
  <c r="L129" i="1" s="1"/>
  <c r="M129" i="1" s="1"/>
  <c r="N129" i="1" s="1"/>
  <c r="O129" i="1" s="1"/>
  <c r="P129" i="1" s="1"/>
  <c r="K143" i="1"/>
  <c r="L143" i="1" s="1"/>
  <c r="J128" i="1"/>
  <c r="K137" i="1"/>
  <c r="L137" i="1" s="1"/>
  <c r="M137" i="1" s="1"/>
  <c r="N137" i="1" s="1"/>
  <c r="O137" i="1" s="1"/>
  <c r="P137" i="1" s="1"/>
  <c r="K116" i="1"/>
  <c r="L116" i="1" s="1"/>
  <c r="M116" i="1" s="1"/>
  <c r="N116" i="1" s="1"/>
  <c r="O116" i="1" s="1"/>
  <c r="P116" i="1" s="1"/>
  <c r="I286" i="1"/>
  <c r="I134" i="1"/>
  <c r="I112" i="1"/>
  <c r="K105" i="1"/>
  <c r="L105" i="1" s="1"/>
  <c r="M105" i="1" s="1"/>
  <c r="N105" i="1" s="1"/>
  <c r="O105" i="1" s="1"/>
  <c r="P105" i="1" s="1"/>
  <c r="K145" i="1"/>
  <c r="L145" i="1" s="1"/>
  <c r="M145" i="1" s="1"/>
  <c r="N145" i="1" s="1"/>
  <c r="O145" i="1" s="1"/>
  <c r="P145" i="1" s="1"/>
  <c r="K109" i="1"/>
  <c r="L109" i="1" s="1"/>
  <c r="M109" i="1" s="1"/>
  <c r="N109" i="1" s="1"/>
  <c r="O109" i="1" s="1"/>
  <c r="P109" i="1" s="1"/>
  <c r="L173" i="1"/>
  <c r="I159" i="1"/>
  <c r="F120" i="1"/>
  <c r="G90" i="1" s="1"/>
  <c r="G214" i="1"/>
  <c r="G331" i="1"/>
  <c r="H328" i="1" s="1"/>
  <c r="H331" i="1" s="1"/>
  <c r="I328" i="1" s="1"/>
  <c r="I331" i="1" s="1"/>
  <c r="J328" i="1" s="1"/>
  <c r="J331" i="1" s="1"/>
  <c r="K328" i="1" s="1"/>
  <c r="K331" i="1" s="1"/>
  <c r="L328" i="1" s="1"/>
  <c r="L331" i="1" s="1"/>
  <c r="M328" i="1" s="1"/>
  <c r="M331" i="1" s="1"/>
  <c r="N328" i="1" s="1"/>
  <c r="N331" i="1" s="1"/>
  <c r="O328" i="1" s="1"/>
  <c r="O331" i="1" s="1"/>
  <c r="P328" i="1" s="1"/>
  <c r="P331" i="1" s="1"/>
  <c r="G298" i="1"/>
  <c r="G269" i="1"/>
  <c r="G271" i="1" s="1"/>
  <c r="G316" i="1" s="1"/>
  <c r="G162" i="1" s="1"/>
  <c r="I297" i="1"/>
  <c r="I270" i="1"/>
  <c r="I193" i="1" s="1"/>
  <c r="M93" i="1"/>
  <c r="N26" i="1"/>
  <c r="K119" i="1"/>
  <c r="I321" i="1"/>
  <c r="I323" i="1" s="1"/>
  <c r="I136" i="1" s="1"/>
  <c r="H325" i="1"/>
  <c r="I233" i="1"/>
  <c r="I236" i="1"/>
  <c r="I234" i="1"/>
  <c r="I237" i="1"/>
  <c r="I235" i="1"/>
  <c r="I232" i="1"/>
  <c r="H238" i="1"/>
  <c r="H194" i="1" s="1"/>
  <c r="H82" i="1"/>
  <c r="I85" i="1"/>
  <c r="I87" i="1"/>
  <c r="I86" i="1"/>
  <c r="I79" i="1"/>
  <c r="I84" i="1"/>
  <c r="I88" i="1"/>
  <c r="I81" i="1"/>
  <c r="J78" i="1"/>
  <c r="I80" i="1"/>
  <c r="F6" i="1"/>
  <c r="H2" i="1"/>
  <c r="G5" i="1"/>
  <c r="G4" i="1"/>
  <c r="I279" i="1" l="1"/>
  <c r="I308" i="1" s="1"/>
  <c r="I309" i="1"/>
  <c r="H288" i="1"/>
  <c r="G188" i="1"/>
  <c r="G165" i="1"/>
  <c r="G302" i="1"/>
  <c r="G305" i="1"/>
  <c r="K128" i="1"/>
  <c r="L128" i="1" s="1"/>
  <c r="M128" i="1" s="1"/>
  <c r="N128" i="1" s="1"/>
  <c r="J286" i="1"/>
  <c r="J134" i="1"/>
  <c r="J112" i="1"/>
  <c r="M173" i="1"/>
  <c r="K110" i="1"/>
  <c r="L110" i="1" s="1"/>
  <c r="M110" i="1" s="1"/>
  <c r="N110" i="1" s="1"/>
  <c r="O110" i="1" s="1"/>
  <c r="P110" i="1" s="1"/>
  <c r="K111" i="1"/>
  <c r="L111" i="1" s="1"/>
  <c r="M111" i="1" s="1"/>
  <c r="N111" i="1" s="1"/>
  <c r="O111" i="1" s="1"/>
  <c r="P111" i="1" s="1"/>
  <c r="G299" i="1"/>
  <c r="G300" i="1" s="1"/>
  <c r="G135" i="1" s="1"/>
  <c r="F121" i="1"/>
  <c r="F122" i="1" s="1"/>
  <c r="F152" i="1" s="1"/>
  <c r="K106" i="1"/>
  <c r="J159" i="1"/>
  <c r="G333" i="1"/>
  <c r="I333" i="1"/>
  <c r="G273" i="1"/>
  <c r="G315" i="1" s="1"/>
  <c r="G107" i="1" s="1"/>
  <c r="H333" i="1"/>
  <c r="L119" i="1"/>
  <c r="H295" i="1"/>
  <c r="H296" i="1" s="1"/>
  <c r="G196" i="1"/>
  <c r="J297" i="1"/>
  <c r="J270" i="1"/>
  <c r="J193" i="1" s="1"/>
  <c r="N93" i="1"/>
  <c r="O26" i="1"/>
  <c r="M143" i="1"/>
  <c r="J321" i="1"/>
  <c r="J323" i="1" s="1"/>
  <c r="J325" i="1" s="1"/>
  <c r="I325" i="1"/>
  <c r="I238" i="1"/>
  <c r="I194" i="1" s="1"/>
  <c r="J236" i="1"/>
  <c r="J232" i="1"/>
  <c r="J234" i="1"/>
  <c r="J233" i="1"/>
  <c r="J237" i="1"/>
  <c r="J235" i="1"/>
  <c r="G6" i="1"/>
  <c r="G118" i="1" s="1"/>
  <c r="G179" i="1" s="1"/>
  <c r="I82" i="1"/>
  <c r="F31" i="1"/>
  <c r="F32" i="1"/>
  <c r="F33" i="1"/>
  <c r="J80" i="1"/>
  <c r="J87" i="1"/>
  <c r="J81" i="1"/>
  <c r="J88" i="1"/>
  <c r="J85" i="1"/>
  <c r="J79" i="1"/>
  <c r="K78" i="1"/>
  <c r="J84" i="1"/>
  <c r="J86" i="1"/>
  <c r="H15" i="1"/>
  <c r="I2" i="1"/>
  <c r="H4" i="1"/>
  <c r="H5" i="1"/>
  <c r="I310" i="1" l="1"/>
  <c r="J279" i="1"/>
  <c r="J308" i="1" s="1"/>
  <c r="J309" i="1"/>
  <c r="J310" i="1" s="1"/>
  <c r="I285" i="1"/>
  <c r="G126" i="1"/>
  <c r="G180" i="1" s="1"/>
  <c r="G117" i="1"/>
  <c r="G178" i="1" s="1"/>
  <c r="J136" i="1"/>
  <c r="G335" i="1"/>
  <c r="G91" i="1" s="1"/>
  <c r="G127" i="1"/>
  <c r="N173" i="1"/>
  <c r="H269" i="1"/>
  <c r="H271" i="1" s="1"/>
  <c r="H316" i="1" s="1"/>
  <c r="H162" i="1" s="1"/>
  <c r="L106" i="1"/>
  <c r="K159" i="1"/>
  <c r="H298" i="1"/>
  <c r="H305" i="1" s="1"/>
  <c r="H204" i="1"/>
  <c r="G139" i="1"/>
  <c r="J333" i="1"/>
  <c r="M119" i="1"/>
  <c r="K270" i="1"/>
  <c r="K193" i="1" s="1"/>
  <c r="K286" i="1"/>
  <c r="P26" i="1"/>
  <c r="P93" i="1" s="1"/>
  <c r="O93" i="1"/>
  <c r="N143" i="1"/>
  <c r="K321" i="1"/>
  <c r="K323" i="1" s="1"/>
  <c r="K325" i="1" s="1"/>
  <c r="O128" i="1"/>
  <c r="K297" i="1"/>
  <c r="L78" i="1"/>
  <c r="K234" i="1"/>
  <c r="K237" i="1"/>
  <c r="K232" i="1"/>
  <c r="K235" i="1"/>
  <c r="K233" i="1"/>
  <c r="K236" i="1"/>
  <c r="J238" i="1"/>
  <c r="J194" i="1" s="1"/>
  <c r="I15" i="1"/>
  <c r="J82" i="1"/>
  <c r="J15" i="1" s="1"/>
  <c r="K134" i="1"/>
  <c r="K112" i="1"/>
  <c r="K81" i="1"/>
  <c r="K80" i="1"/>
  <c r="K85" i="1"/>
  <c r="K87" i="1"/>
  <c r="K84" i="1"/>
  <c r="K79" i="1"/>
  <c r="K88" i="1"/>
  <c r="K86" i="1"/>
  <c r="H6" i="1"/>
  <c r="J2" i="1"/>
  <c r="I4" i="1"/>
  <c r="I5" i="1"/>
  <c r="H118" i="1" l="1"/>
  <c r="H126" i="1"/>
  <c r="H117" i="1"/>
  <c r="I287" i="1"/>
  <c r="I288" i="1"/>
  <c r="K279" i="1"/>
  <c r="K308" i="1" s="1"/>
  <c r="K309" i="1"/>
  <c r="G202" i="1"/>
  <c r="G211" i="1" s="1"/>
  <c r="G164" i="1"/>
  <c r="H302" i="1"/>
  <c r="H335" i="1" s="1"/>
  <c r="H91" i="1" s="1"/>
  <c r="G92" i="1"/>
  <c r="G131" i="1"/>
  <c r="G140" i="1" s="1"/>
  <c r="O173" i="1"/>
  <c r="P173" i="1"/>
  <c r="N119" i="1"/>
  <c r="O119" i="1" s="1"/>
  <c r="H299" i="1"/>
  <c r="H127" i="1" s="1"/>
  <c r="I295" i="1"/>
  <c r="I296" i="1" s="1"/>
  <c r="M106" i="1"/>
  <c r="L159" i="1"/>
  <c r="H273" i="1"/>
  <c r="H315" i="1" s="1"/>
  <c r="H107" i="1" s="1"/>
  <c r="L270" i="1"/>
  <c r="L193" i="1" s="1"/>
  <c r="L286" i="1"/>
  <c r="O143" i="1"/>
  <c r="K136" i="1"/>
  <c r="L321" i="1"/>
  <c r="L323" i="1" s="1"/>
  <c r="P128" i="1"/>
  <c r="L87" i="1"/>
  <c r="M78" i="1"/>
  <c r="L134" i="1"/>
  <c r="L234" i="1"/>
  <c r="L79" i="1"/>
  <c r="L112" i="1"/>
  <c r="L297" i="1"/>
  <c r="L85" i="1"/>
  <c r="L86" i="1"/>
  <c r="L233" i="1"/>
  <c r="L235" i="1"/>
  <c r="L232" i="1"/>
  <c r="L80" i="1"/>
  <c r="L237" i="1"/>
  <c r="L84" i="1"/>
  <c r="L236" i="1"/>
  <c r="L88" i="1"/>
  <c r="L81" i="1"/>
  <c r="K238" i="1"/>
  <c r="K194" i="1" s="1"/>
  <c r="K82" i="1"/>
  <c r="I6" i="1"/>
  <c r="K2" i="1"/>
  <c r="L2" i="1" s="1"/>
  <c r="J5" i="1"/>
  <c r="J4" i="1"/>
  <c r="H131" i="1" l="1"/>
  <c r="J285" i="1"/>
  <c r="J287" i="1" s="1"/>
  <c r="K310" i="1"/>
  <c r="L279" i="1"/>
  <c r="L308" i="1" s="1"/>
  <c r="L309" i="1"/>
  <c r="L310" i="1" s="1"/>
  <c r="I118" i="1"/>
  <c r="I117" i="1"/>
  <c r="I126" i="1"/>
  <c r="H178" i="1"/>
  <c r="H179" i="1"/>
  <c r="I298" i="1"/>
  <c r="I305" i="1" s="1"/>
  <c r="I204" i="1"/>
  <c r="H202" i="1"/>
  <c r="H211" i="1" s="1"/>
  <c r="H164" i="1"/>
  <c r="H180" i="1"/>
  <c r="N106" i="1"/>
  <c r="M159" i="1"/>
  <c r="H300" i="1"/>
  <c r="H135" i="1" s="1"/>
  <c r="H139" i="1" s="1"/>
  <c r="H140" i="1" s="1"/>
  <c r="I269" i="1"/>
  <c r="I271" i="1" s="1"/>
  <c r="I316" i="1" s="1"/>
  <c r="I162" i="1" s="1"/>
  <c r="M270" i="1"/>
  <c r="M193" i="1" s="1"/>
  <c r="M286" i="1"/>
  <c r="P119" i="1"/>
  <c r="P143" i="1"/>
  <c r="L136" i="1"/>
  <c r="M321" i="1"/>
  <c r="M323" i="1" s="1"/>
  <c r="M325" i="1" s="1"/>
  <c r="L325" i="1"/>
  <c r="L5" i="1"/>
  <c r="M2" i="1"/>
  <c r="L4" i="1"/>
  <c r="L238" i="1"/>
  <c r="L194" i="1" s="1"/>
  <c r="L82" i="1"/>
  <c r="M85" i="1"/>
  <c r="M86" i="1"/>
  <c r="M233" i="1"/>
  <c r="M232" i="1"/>
  <c r="N78" i="1"/>
  <c r="M88" i="1"/>
  <c r="M80" i="1"/>
  <c r="M236" i="1"/>
  <c r="M112" i="1"/>
  <c r="M297" i="1"/>
  <c r="M79" i="1"/>
  <c r="M235" i="1"/>
  <c r="M81" i="1"/>
  <c r="M87" i="1"/>
  <c r="M84" i="1"/>
  <c r="M237" i="1"/>
  <c r="M234" i="1"/>
  <c r="M134" i="1"/>
  <c r="K15" i="1"/>
  <c r="K4" i="1"/>
  <c r="K5" i="1"/>
  <c r="J6" i="1"/>
  <c r="M279" i="1" l="1"/>
  <c r="M308" i="1" s="1"/>
  <c r="M309" i="1"/>
  <c r="J288" i="1"/>
  <c r="J118" i="1"/>
  <c r="J117" i="1"/>
  <c r="J126" i="1"/>
  <c r="I178" i="1"/>
  <c r="I179" i="1"/>
  <c r="I180" i="1"/>
  <c r="I302" i="1"/>
  <c r="I335" i="1" s="1"/>
  <c r="I91" i="1" s="1"/>
  <c r="J295" i="1"/>
  <c r="J296" i="1" s="1"/>
  <c r="I299" i="1"/>
  <c r="I127" i="1" s="1"/>
  <c r="I131" i="1" s="1"/>
  <c r="O106" i="1"/>
  <c r="N159" i="1"/>
  <c r="K333" i="1"/>
  <c r="I273" i="1"/>
  <c r="I315" i="1" s="1"/>
  <c r="I107" i="1" s="1"/>
  <c r="N270" i="1"/>
  <c r="N193" i="1" s="1"/>
  <c r="N286" i="1"/>
  <c r="N321" i="1"/>
  <c r="N323" i="1" s="1"/>
  <c r="N325" i="1" s="1"/>
  <c r="M136" i="1"/>
  <c r="L6" i="1"/>
  <c r="L118" i="1" s="1"/>
  <c r="N2" i="1"/>
  <c r="M5" i="1"/>
  <c r="M4" i="1"/>
  <c r="M238" i="1"/>
  <c r="M194" i="1" s="1"/>
  <c r="L15" i="1"/>
  <c r="O78" i="1"/>
  <c r="N237" i="1"/>
  <c r="N79" i="1"/>
  <c r="N81" i="1"/>
  <c r="N236" i="1"/>
  <c r="N85" i="1"/>
  <c r="N297" i="1"/>
  <c r="N87" i="1"/>
  <c r="N80" i="1"/>
  <c r="N88" i="1"/>
  <c r="N134" i="1"/>
  <c r="N84" i="1"/>
  <c r="N232" i="1"/>
  <c r="N233" i="1"/>
  <c r="N235" i="1"/>
  <c r="N86" i="1"/>
  <c r="N234" i="1"/>
  <c r="N112" i="1"/>
  <c r="M82" i="1"/>
  <c r="M15" i="1" s="1"/>
  <c r="K6" i="1"/>
  <c r="K285" i="1" l="1"/>
  <c r="K287" i="1" s="1"/>
  <c r="N279" i="1"/>
  <c r="N308" i="1" s="1"/>
  <c r="N309" i="1"/>
  <c r="M310" i="1"/>
  <c r="I300" i="1"/>
  <c r="I135" i="1" s="1"/>
  <c r="I139" i="1" s="1"/>
  <c r="I140" i="1" s="1"/>
  <c r="J178" i="1"/>
  <c r="J179" i="1"/>
  <c r="J298" i="1"/>
  <c r="J305" i="1" s="1"/>
  <c r="J204" i="1"/>
  <c r="I202" i="1"/>
  <c r="I211" i="1" s="1"/>
  <c r="I164" i="1"/>
  <c r="J180" i="1"/>
  <c r="P106" i="1"/>
  <c r="O159" i="1"/>
  <c r="L333" i="1"/>
  <c r="J269" i="1"/>
  <c r="J271" i="1" s="1"/>
  <c r="J316" i="1" s="1"/>
  <c r="J162" i="1" s="1"/>
  <c r="O270" i="1"/>
  <c r="O193" i="1" s="1"/>
  <c r="O286" i="1"/>
  <c r="L117" i="1"/>
  <c r="N136" i="1"/>
  <c r="O321" i="1"/>
  <c r="O323" i="1" s="1"/>
  <c r="O325" i="1" s="1"/>
  <c r="L126" i="1"/>
  <c r="M6" i="1"/>
  <c r="O2" i="1"/>
  <c r="N4" i="1"/>
  <c r="N5" i="1"/>
  <c r="N238" i="1"/>
  <c r="N194" i="1" s="1"/>
  <c r="N82" i="1"/>
  <c r="N15" i="1" s="1"/>
  <c r="O84" i="1"/>
  <c r="O88" i="1"/>
  <c r="P78" i="1"/>
  <c r="O80" i="1"/>
  <c r="O81" i="1"/>
  <c r="O232" i="1"/>
  <c r="O79" i="1"/>
  <c r="O237" i="1"/>
  <c r="O112" i="1"/>
  <c r="O297" i="1"/>
  <c r="O85" i="1"/>
  <c r="O235" i="1"/>
  <c r="O87" i="1"/>
  <c r="O134" i="1"/>
  <c r="O233" i="1"/>
  <c r="O86" i="1"/>
  <c r="O236" i="1"/>
  <c r="O234" i="1"/>
  <c r="K118" i="1"/>
  <c r="K179" i="1" s="1"/>
  <c r="K126" i="1"/>
  <c r="K180" i="1" s="1"/>
  <c r="K117" i="1"/>
  <c r="K178" i="1" s="1"/>
  <c r="N310" i="1" l="1"/>
  <c r="O279" i="1"/>
  <c r="O308" i="1" s="1"/>
  <c r="O309" i="1"/>
  <c r="O310" i="1" s="1"/>
  <c r="K288" i="1"/>
  <c r="L179" i="1"/>
  <c r="P159" i="1"/>
  <c r="L180" i="1"/>
  <c r="J302" i="1"/>
  <c r="J335" i="1" s="1"/>
  <c r="J91" i="1" s="1"/>
  <c r="K295" i="1"/>
  <c r="K296" i="1" s="1"/>
  <c r="J299" i="1"/>
  <c r="J127" i="1" s="1"/>
  <c r="J131" i="1" s="1"/>
  <c r="M333" i="1"/>
  <c r="J273" i="1"/>
  <c r="J315" i="1" s="1"/>
  <c r="J107" i="1" s="1"/>
  <c r="L178" i="1"/>
  <c r="P270" i="1"/>
  <c r="P193" i="1" s="1"/>
  <c r="P286" i="1"/>
  <c r="O136" i="1"/>
  <c r="P321" i="1"/>
  <c r="P323" i="1" s="1"/>
  <c r="N6" i="1"/>
  <c r="N118" i="1" s="1"/>
  <c r="P2" i="1"/>
  <c r="O5" i="1"/>
  <c r="O4" i="1"/>
  <c r="M118" i="1"/>
  <c r="M179" i="1" s="1"/>
  <c r="M126" i="1"/>
  <c r="M180" i="1" s="1"/>
  <c r="M117" i="1"/>
  <c r="M178" i="1" s="1"/>
  <c r="O82" i="1"/>
  <c r="O15" i="1" s="1"/>
  <c r="O238" i="1"/>
  <c r="O194" i="1" s="1"/>
  <c r="P84" i="1"/>
  <c r="P88" i="1"/>
  <c r="P235" i="1"/>
  <c r="P81" i="1"/>
  <c r="P134" i="1"/>
  <c r="P237" i="1"/>
  <c r="P86" i="1"/>
  <c r="P232" i="1"/>
  <c r="P236" i="1"/>
  <c r="P80" i="1"/>
  <c r="P234" i="1"/>
  <c r="P233" i="1"/>
  <c r="P87" i="1"/>
  <c r="P297" i="1"/>
  <c r="P112" i="1"/>
  <c r="P79" i="1"/>
  <c r="P85" i="1"/>
  <c r="F259" i="1"/>
  <c r="G223" i="1" s="1"/>
  <c r="F261" i="1"/>
  <c r="G225" i="1" s="1"/>
  <c r="F262" i="1"/>
  <c r="G226" i="1" s="1"/>
  <c r="F263" i="1"/>
  <c r="G227" i="1" s="1"/>
  <c r="F264" i="1"/>
  <c r="G228" i="1" s="1"/>
  <c r="F260" i="1"/>
  <c r="G224" i="1" s="1"/>
  <c r="L285" i="1" l="1"/>
  <c r="L287" i="1" s="1"/>
  <c r="P279" i="1"/>
  <c r="P308" i="1" s="1"/>
  <c r="P309" i="1"/>
  <c r="P310" i="1" s="1"/>
  <c r="N179" i="1"/>
  <c r="J202" i="1"/>
  <c r="J211" i="1" s="1"/>
  <c r="J164" i="1"/>
  <c r="K298" i="1"/>
  <c r="K305" i="1" s="1"/>
  <c r="K204" i="1"/>
  <c r="J300" i="1"/>
  <c r="J135" i="1" s="1"/>
  <c r="J139" i="1" s="1"/>
  <c r="J140" i="1" s="1"/>
  <c r="K269" i="1"/>
  <c r="K271" i="1" s="1"/>
  <c r="K316" i="1" s="1"/>
  <c r="K162" i="1" s="1"/>
  <c r="N117" i="1"/>
  <c r="P325" i="1"/>
  <c r="P136" i="1"/>
  <c r="N126" i="1"/>
  <c r="N180" i="1" s="1"/>
  <c r="O6" i="1"/>
  <c r="O126" i="1" s="1"/>
  <c r="P4" i="1"/>
  <c r="P5" i="1"/>
  <c r="P82" i="1"/>
  <c r="P15" i="1" s="1"/>
  <c r="P238" i="1"/>
  <c r="P194" i="1" s="1"/>
  <c r="G229" i="1"/>
  <c r="G242" i="1"/>
  <c r="G260" i="1" s="1"/>
  <c r="H224" i="1" s="1"/>
  <c r="H242" i="1" s="1"/>
  <c r="H260" i="1" s="1"/>
  <c r="I224" i="1" s="1"/>
  <c r="I242" i="1" s="1"/>
  <c r="I260" i="1" s="1"/>
  <c r="J224" i="1" s="1"/>
  <c r="J242" i="1" s="1"/>
  <c r="J260" i="1" s="1"/>
  <c r="K224" i="1" s="1"/>
  <c r="K242" i="1" s="1"/>
  <c r="K260" i="1" s="1"/>
  <c r="L224" i="1" s="1"/>
  <c r="G246" i="1"/>
  <c r="G264" i="1" s="1"/>
  <c r="H228" i="1" s="1"/>
  <c r="H246" i="1" s="1"/>
  <c r="H264" i="1" s="1"/>
  <c r="I228" i="1" s="1"/>
  <c r="I246" i="1" s="1"/>
  <c r="I264" i="1" s="1"/>
  <c r="J228" i="1" s="1"/>
  <c r="J246" i="1" s="1"/>
  <c r="J264" i="1" s="1"/>
  <c r="K228" i="1" s="1"/>
  <c r="G245" i="1"/>
  <c r="G263" i="1" s="1"/>
  <c r="H227" i="1" s="1"/>
  <c r="H245" i="1" s="1"/>
  <c r="H263" i="1" s="1"/>
  <c r="I227" i="1" s="1"/>
  <c r="G244" i="1"/>
  <c r="G262" i="1" s="1"/>
  <c r="H226" i="1" s="1"/>
  <c r="H244" i="1" s="1"/>
  <c r="H262" i="1" s="1"/>
  <c r="I226" i="1" s="1"/>
  <c r="G243" i="1"/>
  <c r="G261" i="1" s="1"/>
  <c r="H225" i="1" s="1"/>
  <c r="G241" i="1"/>
  <c r="F265" i="1"/>
  <c r="L288" i="1" l="1"/>
  <c r="O180" i="1"/>
  <c r="K302" i="1"/>
  <c r="K335" i="1" s="1"/>
  <c r="K91" i="1" s="1"/>
  <c r="K299" i="1"/>
  <c r="K127" i="1" s="1"/>
  <c r="K131" i="1" s="1"/>
  <c r="L295" i="1"/>
  <c r="L296" i="1" s="1"/>
  <c r="N333" i="1"/>
  <c r="N178" i="1"/>
  <c r="K273" i="1"/>
  <c r="K315" i="1" s="1"/>
  <c r="K107" i="1" s="1"/>
  <c r="P6" i="1"/>
  <c r="P118" i="1" s="1"/>
  <c r="O118" i="1"/>
  <c r="O179" i="1" s="1"/>
  <c r="O117" i="1"/>
  <c r="O178" i="1" s="1"/>
  <c r="L242" i="1"/>
  <c r="L260" i="1" s="1"/>
  <c r="M224" i="1" s="1"/>
  <c r="M242" i="1" s="1"/>
  <c r="M260" i="1" s="1"/>
  <c r="N224" i="1" s="1"/>
  <c r="I245" i="1"/>
  <c r="I263" i="1" s="1"/>
  <c r="J227" i="1" s="1"/>
  <c r="J245" i="1" s="1"/>
  <c r="J263" i="1" s="1"/>
  <c r="K227" i="1" s="1"/>
  <c r="K245" i="1" s="1"/>
  <c r="K263" i="1" s="1"/>
  <c r="L227" i="1" s="1"/>
  <c r="K246" i="1"/>
  <c r="K264" i="1" s="1"/>
  <c r="L228" i="1" s="1"/>
  <c r="I244" i="1"/>
  <c r="I262" i="1" s="1"/>
  <c r="J226" i="1" s="1"/>
  <c r="J244" i="1" s="1"/>
  <c r="J262" i="1" s="1"/>
  <c r="K226" i="1" s="1"/>
  <c r="K244" i="1" s="1"/>
  <c r="K262" i="1" s="1"/>
  <c r="L226" i="1" s="1"/>
  <c r="G247" i="1"/>
  <c r="G259" i="1"/>
  <c r="H243" i="1"/>
  <c r="H261" i="1" s="1"/>
  <c r="I225" i="1" s="1"/>
  <c r="M285" i="1" l="1"/>
  <c r="M287" i="1" s="1"/>
  <c r="K300" i="1"/>
  <c r="K135" i="1" s="1"/>
  <c r="K139" i="1" s="1"/>
  <c r="K140" i="1" s="1"/>
  <c r="L298" i="1"/>
  <c r="L305" i="1" s="1"/>
  <c r="L204" i="1"/>
  <c r="P179" i="1"/>
  <c r="K202" i="1"/>
  <c r="K211" i="1" s="1"/>
  <c r="K164" i="1"/>
  <c r="L269" i="1"/>
  <c r="L271" i="1" s="1"/>
  <c r="L316" i="1" s="1"/>
  <c r="L162" i="1" s="1"/>
  <c r="O333" i="1"/>
  <c r="P126" i="1"/>
  <c r="P180" i="1" s="1"/>
  <c r="P117" i="1"/>
  <c r="L244" i="1"/>
  <c r="L262" i="1" s="1"/>
  <c r="M226" i="1" s="1"/>
  <c r="M244" i="1" s="1"/>
  <c r="M262" i="1" s="1"/>
  <c r="N226" i="1" s="1"/>
  <c r="N244" i="1" s="1"/>
  <c r="N262" i="1" s="1"/>
  <c r="O226" i="1" s="1"/>
  <c r="L246" i="1"/>
  <c r="L264" i="1" s="1"/>
  <c r="M228" i="1" s="1"/>
  <c r="M246" i="1" s="1"/>
  <c r="M264" i="1" s="1"/>
  <c r="N228" i="1" s="1"/>
  <c r="L245" i="1"/>
  <c r="L263" i="1" s="1"/>
  <c r="M227" i="1" s="1"/>
  <c r="N242" i="1"/>
  <c r="N260" i="1" s="1"/>
  <c r="O224" i="1" s="1"/>
  <c r="I243" i="1"/>
  <c r="I261" i="1" s="1"/>
  <c r="J225" i="1" s="1"/>
  <c r="H223" i="1"/>
  <c r="G265" i="1"/>
  <c r="M288" i="1" l="1"/>
  <c r="L302" i="1"/>
  <c r="L335" i="1" s="1"/>
  <c r="L91" i="1" s="1"/>
  <c r="M295" i="1"/>
  <c r="M296" i="1" s="1"/>
  <c r="L299" i="1"/>
  <c r="L127" i="1" s="1"/>
  <c r="L131" i="1" s="1"/>
  <c r="P178" i="1"/>
  <c r="L273" i="1"/>
  <c r="L315" i="1" s="1"/>
  <c r="L107" i="1" s="1"/>
  <c r="M245" i="1"/>
  <c r="M263" i="1" s="1"/>
  <c r="N227" i="1" s="1"/>
  <c r="O244" i="1"/>
  <c r="O262" i="1" s="1"/>
  <c r="P226" i="1" s="1"/>
  <c r="O242" i="1"/>
  <c r="N246" i="1"/>
  <c r="N264" i="1" s="1"/>
  <c r="O228" i="1" s="1"/>
  <c r="H241" i="1"/>
  <c r="H247" i="1" s="1"/>
  <c r="H229" i="1"/>
  <c r="J243" i="1"/>
  <c r="J261" i="1" s="1"/>
  <c r="K225" i="1" s="1"/>
  <c r="N285" i="1" l="1"/>
  <c r="N287" i="1" s="1"/>
  <c r="L300" i="1"/>
  <c r="L135" i="1" s="1"/>
  <c r="L139" i="1" s="1"/>
  <c r="L140" i="1" s="1"/>
  <c r="L202" i="1"/>
  <c r="L211" i="1" s="1"/>
  <c r="L164" i="1"/>
  <c r="M298" i="1"/>
  <c r="M305" i="1" s="1"/>
  <c r="M204" i="1"/>
  <c r="M269" i="1"/>
  <c r="M271" i="1" s="1"/>
  <c r="M316" i="1" s="1"/>
  <c r="M162" i="1" s="1"/>
  <c r="P333" i="1"/>
  <c r="H259" i="1"/>
  <c r="H265" i="1" s="1"/>
  <c r="P244" i="1"/>
  <c r="P262" i="1" s="1"/>
  <c r="O246" i="1"/>
  <c r="O264" i="1" s="1"/>
  <c r="P228" i="1" s="1"/>
  <c r="N245" i="1"/>
  <c r="N263" i="1" s="1"/>
  <c r="O227" i="1" s="1"/>
  <c r="O260" i="1"/>
  <c r="P224" i="1" s="1"/>
  <c r="K243" i="1"/>
  <c r="K261" i="1" s="1"/>
  <c r="L225" i="1" s="1"/>
  <c r="N288" i="1" l="1"/>
  <c r="M302" i="1"/>
  <c r="M335" i="1" s="1"/>
  <c r="M91" i="1" s="1"/>
  <c r="N295" i="1"/>
  <c r="N296" i="1" s="1"/>
  <c r="M299" i="1"/>
  <c r="I223" i="1"/>
  <c r="I229" i="1" s="1"/>
  <c r="M273" i="1"/>
  <c r="M315" i="1" s="1"/>
  <c r="M107" i="1" s="1"/>
  <c r="P246" i="1"/>
  <c r="P264" i="1" s="1"/>
  <c r="L243" i="1"/>
  <c r="L261" i="1" s="1"/>
  <c r="M225" i="1" s="1"/>
  <c r="O245" i="1"/>
  <c r="O263" i="1" s="1"/>
  <c r="P227" i="1" s="1"/>
  <c r="P245" i="1" s="1"/>
  <c r="P263" i="1" s="1"/>
  <c r="P242" i="1"/>
  <c r="P260" i="1" s="1"/>
  <c r="O285" i="1" l="1"/>
  <c r="O287" i="1" s="1"/>
  <c r="I241" i="1"/>
  <c r="I247" i="1" s="1"/>
  <c r="N298" i="1"/>
  <c r="N305" i="1" s="1"/>
  <c r="N204" i="1"/>
  <c r="M300" i="1"/>
  <c r="M135" i="1" s="1"/>
  <c r="M139" i="1" s="1"/>
  <c r="M127" i="1"/>
  <c r="M131" i="1" s="1"/>
  <c r="M202" i="1"/>
  <c r="M211" i="1" s="1"/>
  <c r="M164" i="1"/>
  <c r="N269" i="1"/>
  <c r="N271" i="1" s="1"/>
  <c r="N316" i="1" s="1"/>
  <c r="N162" i="1" s="1"/>
  <c r="M243" i="1"/>
  <c r="M261" i="1" s="1"/>
  <c r="N225" i="1" s="1"/>
  <c r="N243" i="1" s="1"/>
  <c r="N261" i="1" s="1"/>
  <c r="O225" i="1" s="1"/>
  <c r="I259" i="1"/>
  <c r="J223" i="1" s="1"/>
  <c r="O288" i="1" l="1"/>
  <c r="M140" i="1"/>
  <c r="N302" i="1"/>
  <c r="N335" i="1" s="1"/>
  <c r="N91" i="1" s="1"/>
  <c r="O295" i="1"/>
  <c r="O296" i="1" s="1"/>
  <c r="N299" i="1"/>
  <c r="N273" i="1"/>
  <c r="N315" i="1" s="1"/>
  <c r="N107" i="1" s="1"/>
  <c r="O243" i="1"/>
  <c r="O261" i="1" s="1"/>
  <c r="P225" i="1" s="1"/>
  <c r="P243" i="1" s="1"/>
  <c r="P261" i="1" s="1"/>
  <c r="I265" i="1"/>
  <c r="J229" i="1"/>
  <c r="J241" i="1"/>
  <c r="J247" i="1" s="1"/>
  <c r="P285" i="1" l="1"/>
  <c r="P287" i="1" s="1"/>
  <c r="N202" i="1"/>
  <c r="N211" i="1" s="1"/>
  <c r="N164" i="1"/>
  <c r="N300" i="1"/>
  <c r="N135" i="1" s="1"/>
  <c r="N139" i="1" s="1"/>
  <c r="N127" i="1"/>
  <c r="N131" i="1" s="1"/>
  <c r="O298" i="1"/>
  <c r="O305" i="1" s="1"/>
  <c r="O204" i="1"/>
  <c r="O269" i="1"/>
  <c r="O271" i="1" s="1"/>
  <c r="O316" i="1" s="1"/>
  <c r="O162" i="1" s="1"/>
  <c r="J259" i="1"/>
  <c r="K223" i="1" s="1"/>
  <c r="P288" i="1" l="1"/>
  <c r="N140" i="1"/>
  <c r="O302" i="1"/>
  <c r="O335" i="1" s="1"/>
  <c r="O91" i="1" s="1"/>
  <c r="O299" i="1"/>
  <c r="O127" i="1" s="1"/>
  <c r="O131" i="1" s="1"/>
  <c r="P295" i="1"/>
  <c r="P296" i="1" s="1"/>
  <c r="O300" i="1"/>
  <c r="O135" i="1" s="1"/>
  <c r="O139" i="1" s="1"/>
  <c r="O140" i="1" s="1"/>
  <c r="O273" i="1"/>
  <c r="O315" i="1" s="1"/>
  <c r="O107" i="1" s="1"/>
  <c r="J265" i="1"/>
  <c r="K241" i="1"/>
  <c r="K247" i="1" s="1"/>
  <c r="K229" i="1"/>
  <c r="F282" i="1"/>
  <c r="F304" i="1" l="1"/>
  <c r="F306" i="1" s="1"/>
  <c r="F312" i="1"/>
  <c r="P298" i="1"/>
  <c r="P305" i="1" s="1"/>
  <c r="P204" i="1"/>
  <c r="O202" i="1"/>
  <c r="O211" i="1" s="1"/>
  <c r="O164" i="1"/>
  <c r="P269" i="1"/>
  <c r="K259" i="1"/>
  <c r="K265" i="1" s="1"/>
  <c r="G278" i="1"/>
  <c r="P302" i="1" l="1"/>
  <c r="P335" i="1" s="1"/>
  <c r="P91" i="1" s="1"/>
  <c r="P299" i="1"/>
  <c r="P127" i="1" s="1"/>
  <c r="P131" i="1" s="1"/>
  <c r="P271" i="1"/>
  <c r="P316" i="1" s="1"/>
  <c r="P162" i="1" s="1"/>
  <c r="L223" i="1"/>
  <c r="L241" i="1" s="1"/>
  <c r="L247" i="1" s="1"/>
  <c r="G280" i="1"/>
  <c r="G313" i="1" s="1"/>
  <c r="G163" i="1" s="1"/>
  <c r="P273" i="1" l="1"/>
  <c r="P315" i="1" s="1"/>
  <c r="P107" i="1" s="1"/>
  <c r="G83" i="1"/>
  <c r="G89" i="1" s="1"/>
  <c r="G94" i="1" s="1"/>
  <c r="G95" i="1" s="1"/>
  <c r="G318" i="1"/>
  <c r="L229" i="1"/>
  <c r="P300" i="1"/>
  <c r="P135" i="1" s="1"/>
  <c r="P139" i="1" s="1"/>
  <c r="P140" i="1" s="1"/>
  <c r="P202" i="1"/>
  <c r="P211" i="1" s="1"/>
  <c r="P164" i="1"/>
  <c r="G282" i="1"/>
  <c r="G304" i="1" s="1"/>
  <c r="G306" i="1" s="1"/>
  <c r="L259" i="1"/>
  <c r="M223" i="1" s="1"/>
  <c r="G175" i="1" l="1"/>
  <c r="G182" i="1" s="1"/>
  <c r="H278" i="1"/>
  <c r="H280" i="1" s="1"/>
  <c r="H313" i="1" s="1"/>
  <c r="H163" i="1" s="1"/>
  <c r="G312" i="1"/>
  <c r="G104" i="1" s="1"/>
  <c r="G96" i="1"/>
  <c r="G146" i="1" s="1"/>
  <c r="H83" i="1"/>
  <c r="H89" i="1" s="1"/>
  <c r="L265" i="1"/>
  <c r="M241" i="1"/>
  <c r="M229" i="1"/>
  <c r="H318" i="1" l="1"/>
  <c r="H282" i="1"/>
  <c r="H304" i="1" s="1"/>
  <c r="H306" i="1" s="1"/>
  <c r="H312" i="1"/>
  <c r="H104" i="1" s="1"/>
  <c r="H113" i="1" s="1"/>
  <c r="G157" i="1"/>
  <c r="G176" i="1" s="1"/>
  <c r="G113" i="1"/>
  <c r="M259" i="1"/>
  <c r="M247" i="1"/>
  <c r="I278" i="1" l="1"/>
  <c r="I280" i="1" s="1"/>
  <c r="I313" i="1" s="1"/>
  <c r="I163" i="1" s="1"/>
  <c r="G181" i="1"/>
  <c r="G183" i="1" s="1"/>
  <c r="I282" i="1"/>
  <c r="J278" i="1" s="1"/>
  <c r="I83" i="1"/>
  <c r="I89" i="1" s="1"/>
  <c r="I318" i="1"/>
  <c r="G147" i="1"/>
  <c r="G149" i="1" s="1"/>
  <c r="I312" i="1"/>
  <c r="I104" i="1" s="1"/>
  <c r="N223" i="1"/>
  <c r="M265" i="1"/>
  <c r="I113" i="1" l="1"/>
  <c r="I304" i="1"/>
  <c r="I306" i="1" s="1"/>
  <c r="J280" i="1"/>
  <c r="J313" i="1" s="1"/>
  <c r="J163" i="1" s="1"/>
  <c r="N241" i="1"/>
  <c r="N247" i="1" s="1"/>
  <c r="N229" i="1"/>
  <c r="G150" i="1" l="1"/>
  <c r="J318" i="1"/>
  <c r="J83" i="1"/>
  <c r="J89" i="1" s="1"/>
  <c r="J282" i="1"/>
  <c r="N259" i="1"/>
  <c r="J304" i="1" l="1"/>
  <c r="J306" i="1" s="1"/>
  <c r="K278" i="1"/>
  <c r="J312" i="1"/>
  <c r="J104" i="1" s="1"/>
  <c r="J113" i="1" s="1"/>
  <c r="K280" i="1"/>
  <c r="K313" i="1" s="1"/>
  <c r="K163" i="1" s="1"/>
  <c r="O223" i="1"/>
  <c r="N265" i="1"/>
  <c r="K318" i="1" l="1"/>
  <c r="K83" i="1"/>
  <c r="K89" i="1" s="1"/>
  <c r="K282" i="1"/>
  <c r="K304" i="1" s="1"/>
  <c r="K306" i="1" s="1"/>
  <c r="O241" i="1"/>
  <c r="O229" i="1"/>
  <c r="L278" i="1" l="1"/>
  <c r="K312" i="1"/>
  <c r="K104" i="1" s="1"/>
  <c r="K113" i="1"/>
  <c r="L280" i="1"/>
  <c r="L313" i="1" s="1"/>
  <c r="L163" i="1" s="1"/>
  <c r="O259" i="1"/>
  <c r="O247" i="1"/>
  <c r="L318" i="1" l="1"/>
  <c r="L83" i="1"/>
  <c r="L89" i="1" s="1"/>
  <c r="L282" i="1"/>
  <c r="L304" i="1" s="1"/>
  <c r="L306" i="1" s="1"/>
  <c r="P223" i="1"/>
  <c r="O265" i="1"/>
  <c r="L312" i="1" l="1"/>
  <c r="L104" i="1" s="1"/>
  <c r="L113" i="1" s="1"/>
  <c r="M278" i="1"/>
  <c r="M280" i="1" s="1"/>
  <c r="M313" i="1" s="1"/>
  <c r="M163" i="1" s="1"/>
  <c r="P241" i="1"/>
  <c r="P247" i="1" s="1"/>
  <c r="P229" i="1"/>
  <c r="M318" i="1" l="1"/>
  <c r="M83" i="1"/>
  <c r="M89" i="1" s="1"/>
  <c r="M282" i="1"/>
  <c r="M304" i="1" s="1"/>
  <c r="M306" i="1" s="1"/>
  <c r="P259" i="1"/>
  <c r="P265" i="1" s="1"/>
  <c r="M312" i="1" l="1"/>
  <c r="M104" i="1" s="1"/>
  <c r="N278" i="1"/>
  <c r="N280" i="1" s="1"/>
  <c r="N313" i="1" s="1"/>
  <c r="N163" i="1" s="1"/>
  <c r="M113" i="1"/>
  <c r="N318" i="1" l="1"/>
  <c r="N282" i="1"/>
  <c r="N304" i="1" s="1"/>
  <c r="N306" i="1" s="1"/>
  <c r="N83" i="1"/>
  <c r="N89" i="1" s="1"/>
  <c r="N312" i="1" l="1"/>
  <c r="N104" i="1" s="1"/>
  <c r="N113" i="1" s="1"/>
  <c r="O278" i="1"/>
  <c r="O280" i="1" s="1"/>
  <c r="O313" i="1" s="1"/>
  <c r="O83" i="1" l="1"/>
  <c r="O89" i="1" s="1"/>
  <c r="O163" i="1"/>
  <c r="O282" i="1"/>
  <c r="O304" i="1" s="1"/>
  <c r="O306" i="1" s="1"/>
  <c r="P278" i="1"/>
  <c r="O312" i="1"/>
  <c r="O104" i="1" s="1"/>
  <c r="O318" i="1"/>
  <c r="O113" i="1"/>
  <c r="P280" i="1"/>
  <c r="P313" i="1" s="1"/>
  <c r="P163" i="1" s="1"/>
  <c r="P318" i="1" l="1"/>
  <c r="P83" i="1"/>
  <c r="P89" i="1" s="1"/>
  <c r="P282" i="1"/>
  <c r="P304" i="1" s="1"/>
  <c r="P306" i="1" s="1"/>
  <c r="P312" i="1" l="1"/>
  <c r="P104" i="1" s="1"/>
  <c r="P113" i="1" s="1"/>
  <c r="G213" i="1"/>
  <c r="G216" i="1" s="1"/>
  <c r="G120" i="1" s="1"/>
  <c r="H90" i="1" l="1"/>
  <c r="G121" i="1"/>
  <c r="H214" i="1"/>
  <c r="H165" i="1" l="1"/>
  <c r="H188" i="1"/>
  <c r="H196" i="1" s="1"/>
  <c r="H92" i="1"/>
  <c r="H94" i="1" s="1"/>
  <c r="G122" i="1"/>
  <c r="G152" i="1" s="1"/>
  <c r="H95" i="1" l="1"/>
  <c r="H175" i="1" s="1"/>
  <c r="H182" i="1" s="1"/>
  <c r="H96" i="1" l="1"/>
  <c r="H146" i="1" s="1"/>
  <c r="H147" i="1" s="1"/>
  <c r="H149" i="1" s="1"/>
  <c r="H150" i="1" s="1"/>
  <c r="H157" i="1" l="1"/>
  <c r="H176" i="1" s="1"/>
  <c r="H181" i="1" s="1"/>
  <c r="H183" i="1" s="1"/>
  <c r="H213" i="1" s="1"/>
  <c r="H216" i="1" s="1"/>
  <c r="H120" i="1" s="1"/>
  <c r="H121" i="1" s="1"/>
  <c r="H122" i="1" s="1"/>
  <c r="I214" i="1" l="1"/>
  <c r="I90" i="1" l="1"/>
  <c r="H152" i="1"/>
  <c r="I165" i="1" l="1"/>
  <c r="I188" i="1"/>
  <c r="I196" i="1" s="1"/>
  <c r="I92" i="1"/>
  <c r="I94" i="1" s="1"/>
  <c r="I95" i="1" l="1"/>
  <c r="I175" i="1" s="1"/>
  <c r="I182" i="1" s="1"/>
  <c r="I96" i="1" l="1"/>
  <c r="I146" i="1" s="1"/>
  <c r="I147" i="1" l="1"/>
  <c r="I149" i="1" s="1"/>
  <c r="I150" i="1" s="1"/>
  <c r="I157" i="1"/>
  <c r="I176" i="1" s="1"/>
  <c r="I181" i="1" s="1"/>
  <c r="I183" i="1" s="1"/>
  <c r="I213" i="1" s="1"/>
  <c r="I216" i="1" s="1"/>
  <c r="I120" i="1" s="1"/>
  <c r="I121" i="1" s="1"/>
  <c r="I122" i="1" s="1"/>
  <c r="J214" i="1" l="1"/>
  <c r="J90" i="1"/>
  <c r="I152" i="1"/>
  <c r="J92" i="1" l="1"/>
  <c r="J94" i="1" s="1"/>
  <c r="J165" i="1"/>
  <c r="J188" i="1"/>
  <c r="J196" i="1" s="1"/>
  <c r="J95" i="1" l="1"/>
  <c r="J175" i="1" s="1"/>
  <c r="J182" i="1" s="1"/>
  <c r="J96" i="1" l="1"/>
  <c r="J157" i="1" l="1"/>
  <c r="J176" i="1" s="1"/>
  <c r="J181" i="1" s="1"/>
  <c r="J183" i="1" s="1"/>
  <c r="J213" i="1" s="1"/>
  <c r="J216" i="1" s="1"/>
  <c r="J120" i="1" s="1"/>
  <c r="J121" i="1" s="1"/>
  <c r="J122" i="1" s="1"/>
  <c r="J146" i="1"/>
  <c r="K214" i="1" l="1"/>
  <c r="J147" i="1"/>
  <c r="J149" i="1" s="1"/>
  <c r="J150" i="1" s="1"/>
  <c r="J152" i="1" s="1"/>
  <c r="K90" i="1"/>
  <c r="K92" i="1" l="1"/>
  <c r="K94" i="1" s="1"/>
  <c r="K165" i="1"/>
  <c r="K188" i="1"/>
  <c r="K196" i="1" s="1"/>
  <c r="K95" i="1" l="1"/>
  <c r="K175" i="1" s="1"/>
  <c r="K182" i="1" s="1"/>
  <c r="K96" i="1" l="1"/>
  <c r="K146" i="1" s="1"/>
  <c r="K157" i="1" l="1"/>
  <c r="K176" i="1" s="1"/>
  <c r="K181" i="1" s="1"/>
  <c r="K183" i="1" s="1"/>
  <c r="K213" i="1" s="1"/>
  <c r="K216" i="1" s="1"/>
  <c r="L214" i="1" s="1"/>
  <c r="K147" i="1"/>
  <c r="K149" i="1" s="1"/>
  <c r="K150" i="1" s="1"/>
  <c r="K120" i="1" l="1"/>
  <c r="L90" i="1" s="1"/>
  <c r="K121" i="1"/>
  <c r="K122" i="1" s="1"/>
  <c r="K152" i="1" s="1"/>
  <c r="L92" i="1" l="1"/>
  <c r="L94" i="1" s="1"/>
  <c r="L165" i="1"/>
  <c r="L188" i="1"/>
  <c r="L196" i="1" s="1"/>
  <c r="L95" i="1" l="1"/>
  <c r="L175" i="1" s="1"/>
  <c r="L182" i="1" s="1"/>
  <c r="L96" i="1" l="1"/>
  <c r="L146" i="1" s="1"/>
  <c r="L157" i="1" l="1"/>
  <c r="L176" i="1" s="1"/>
  <c r="L181" i="1" s="1"/>
  <c r="L183" i="1" s="1"/>
  <c r="L213" i="1" s="1"/>
  <c r="L216" i="1" s="1"/>
  <c r="M214" i="1" s="1"/>
  <c r="L147" i="1"/>
  <c r="L149" i="1" s="1"/>
  <c r="L150" i="1" s="1"/>
  <c r="L120" i="1" l="1"/>
  <c r="L121" i="1" s="1"/>
  <c r="L122" i="1" s="1"/>
  <c r="L152" i="1" s="1"/>
  <c r="M90" i="1" l="1"/>
  <c r="M92" i="1" s="1"/>
  <c r="M94" i="1" s="1"/>
  <c r="M95" i="1" s="1"/>
  <c r="M175" i="1" s="1"/>
  <c r="M182" i="1" s="1"/>
  <c r="M188" i="1"/>
  <c r="M196" i="1" s="1"/>
  <c r="M165" i="1"/>
  <c r="M96" i="1" l="1"/>
  <c r="M146" i="1" s="1"/>
  <c r="M157" i="1" l="1"/>
  <c r="M176" i="1" s="1"/>
  <c r="M181" i="1" s="1"/>
  <c r="M183" i="1" s="1"/>
  <c r="M213" i="1" s="1"/>
  <c r="M216" i="1" s="1"/>
  <c r="M120" i="1" s="1"/>
  <c r="M147" i="1"/>
  <c r="M149" i="1" s="1"/>
  <c r="M150" i="1" s="1"/>
  <c r="N214" i="1" l="1"/>
  <c r="N90" i="1"/>
  <c r="M121" i="1"/>
  <c r="M122" i="1" s="1"/>
  <c r="M152" i="1" s="1"/>
  <c r="N165" i="1" l="1"/>
  <c r="N188" i="1"/>
  <c r="N196" i="1" s="1"/>
  <c r="N92" i="1"/>
  <c r="N94" i="1" s="1"/>
  <c r="N95" i="1" l="1"/>
  <c r="N175" i="1" s="1"/>
  <c r="N182" i="1" s="1"/>
  <c r="N96" i="1" l="1"/>
  <c r="N146" i="1" s="1"/>
  <c r="N157" i="1" l="1"/>
  <c r="N176" i="1" s="1"/>
  <c r="N181" i="1" s="1"/>
  <c r="N183" i="1" s="1"/>
  <c r="N213" i="1" s="1"/>
  <c r="N216" i="1" s="1"/>
  <c r="N147" i="1" l="1"/>
  <c r="N149" i="1" s="1"/>
  <c r="N150" i="1" s="1"/>
  <c r="O214" i="1"/>
  <c r="N120" i="1"/>
  <c r="O90" i="1" l="1"/>
  <c r="N121" i="1"/>
  <c r="N122" i="1" s="1"/>
  <c r="N152" i="1" s="1"/>
  <c r="O165" i="1" l="1"/>
  <c r="O188" i="1"/>
  <c r="O196" i="1" s="1"/>
  <c r="O92" i="1"/>
  <c r="O94" i="1" s="1"/>
  <c r="O95" i="1" l="1"/>
  <c r="O175" i="1" s="1"/>
  <c r="O182" i="1" s="1"/>
  <c r="O96" i="1" l="1"/>
  <c r="O146" i="1" s="1"/>
  <c r="O157" i="1" l="1"/>
  <c r="O176" i="1" s="1"/>
  <c r="O181" i="1" s="1"/>
  <c r="O183" i="1" s="1"/>
  <c r="O213" i="1" s="1"/>
  <c r="O216" i="1" s="1"/>
  <c r="O147" i="1" l="1"/>
  <c r="O149" i="1" s="1"/>
  <c r="O150" i="1" s="1"/>
  <c r="P214" i="1"/>
  <c r="O120" i="1"/>
  <c r="P90" i="1" l="1"/>
  <c r="O121" i="1"/>
  <c r="O122" i="1" s="1"/>
  <c r="O152" i="1" s="1"/>
  <c r="P165" i="1" l="1"/>
  <c r="P188" i="1"/>
  <c r="P196" i="1" s="1"/>
  <c r="P92" i="1"/>
  <c r="P94" i="1" s="1"/>
  <c r="P95" i="1" l="1"/>
  <c r="P175" i="1" s="1"/>
  <c r="P182" i="1" s="1"/>
  <c r="P96" i="1" l="1"/>
  <c r="P146" i="1" s="1"/>
  <c r="P157" i="1" l="1"/>
  <c r="P176" i="1" s="1"/>
  <c r="P181" i="1" s="1"/>
  <c r="P183" i="1" s="1"/>
  <c r="P213" i="1" s="1"/>
  <c r="P216" i="1" s="1"/>
  <c r="P120" i="1" s="1"/>
  <c r="P121" i="1" s="1"/>
  <c r="P122" i="1" s="1"/>
  <c r="P147" i="1"/>
  <c r="P149" i="1" s="1"/>
  <c r="P150" i="1" s="1"/>
  <c r="P15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3" authorId="0" shapeId="0" xr:uid="{E7E3D10B-FCFA-B046-9FAB-938DC72736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Property Rental, Other operating expense, COGS
</t>
        </r>
      </text>
    </comment>
  </commentList>
</comments>
</file>

<file path=xl/sharedStrings.xml><?xml version="1.0" encoding="utf-8"?>
<sst xmlns="http://schemas.openxmlformats.org/spreadsheetml/2006/main" count="298" uniqueCount="211">
  <si>
    <t>Historical Results</t>
  </si>
  <si>
    <t>Date Start</t>
  </si>
  <si>
    <t>Date End</t>
  </si>
  <si>
    <t>Days in Period</t>
  </si>
  <si>
    <t>ASSUMPTIONS</t>
  </si>
  <si>
    <t>KOUFU</t>
  </si>
  <si>
    <t>Revenue</t>
  </si>
  <si>
    <t>Other income</t>
  </si>
  <si>
    <t>Cost of inventories consumed</t>
  </si>
  <si>
    <t>Staff costs</t>
  </si>
  <si>
    <t>Property rentals and related expenses</t>
  </si>
  <si>
    <t>Distribution and selling expenses</t>
  </si>
  <si>
    <t>Administrative expenses</t>
  </si>
  <si>
    <t>Impairment loss on trade receivables</t>
  </si>
  <si>
    <t>Other operating expenses</t>
  </si>
  <si>
    <t>Finance income</t>
  </si>
  <si>
    <t>Finance costs</t>
  </si>
  <si>
    <t>Net finance (costs)/income</t>
  </si>
  <si>
    <t>Share of profit of associates and partnership, net of tax</t>
  </si>
  <si>
    <t>Profit before tax</t>
  </si>
  <si>
    <t>Tax expense</t>
  </si>
  <si>
    <t>Profit for the year</t>
  </si>
  <si>
    <t>Depreciation of investment properties and PP&amp;E</t>
  </si>
  <si>
    <t>Gross Profit</t>
  </si>
  <si>
    <t>Operating Profit</t>
  </si>
  <si>
    <t>INCOME STATEMENT ($'000)</t>
  </si>
  <si>
    <t>BALANCE SHEET ($'000)</t>
  </si>
  <si>
    <t>ASSETS</t>
  </si>
  <si>
    <t>Non-current assets</t>
  </si>
  <si>
    <t>Property, plant and equipment</t>
  </si>
  <si>
    <t>Lease prepayment</t>
  </si>
  <si>
    <t>Intangible assets</t>
  </si>
  <si>
    <t>Investment properties</t>
  </si>
  <si>
    <t>Subsidiaries</t>
  </si>
  <si>
    <t>Associates and partnership</t>
  </si>
  <si>
    <t>Other investments</t>
  </si>
  <si>
    <t>Deferred tax assets</t>
  </si>
  <si>
    <t>Trade and other receivables</t>
  </si>
  <si>
    <t>Total non-current assets</t>
  </si>
  <si>
    <t>Current assets</t>
  </si>
  <si>
    <t>Inventories</t>
  </si>
  <si>
    <t>Time deposits</t>
  </si>
  <si>
    <t>Cash and cash equivalents</t>
  </si>
  <si>
    <t>Total current assets</t>
  </si>
  <si>
    <t>Total assets</t>
  </si>
  <si>
    <t>LIABILITIES</t>
  </si>
  <si>
    <t>Current liabilities</t>
  </si>
  <si>
    <t>Trade and other payables</t>
  </si>
  <si>
    <t>Lease liabilities</t>
  </si>
  <si>
    <t>Loans and borrowings</t>
  </si>
  <si>
    <t>Current tax liabilities</t>
  </si>
  <si>
    <t>Provision for reinstatement cost</t>
  </si>
  <si>
    <t>Total current liabilities</t>
  </si>
  <si>
    <t>Non-current liabilities</t>
  </si>
  <si>
    <t>Deferred tax liabilities</t>
  </si>
  <si>
    <t>Total non-current liabilities</t>
  </si>
  <si>
    <t>Total liabilities</t>
  </si>
  <si>
    <t>EQUITY</t>
  </si>
  <si>
    <t>Share capital</t>
  </si>
  <si>
    <t>Treasury shares</t>
  </si>
  <si>
    <t>Foreign currency translation reserve</t>
  </si>
  <si>
    <t>Retained earnings</t>
  </si>
  <si>
    <t>Equity attributable to owners of the Company</t>
  </si>
  <si>
    <t>Non-controlling interest</t>
  </si>
  <si>
    <t>Total equity</t>
  </si>
  <si>
    <t>Total equity and liabilities</t>
  </si>
  <si>
    <t>–</t>
  </si>
  <si>
    <t>Check</t>
  </si>
  <si>
    <t>Cash flows from operating activities</t>
  </si>
  <si>
    <t>Adjustments for:</t>
  </si>
  <si>
    <t>Amortisation of intangible assets</t>
  </si>
  <si>
    <t>Amortisation of lease prepayment</t>
  </si>
  <si>
    <t>Bad trade receivables written off</t>
  </si>
  <si>
    <t>Depreciation of investment properties</t>
  </si>
  <si>
    <t>Depreciation of property, plant and equipment</t>
  </si>
  <si>
    <t>Loss/(Gain) on disposal of property, plant and equipment</t>
  </si>
  <si>
    <t>Gain on acquisition of subsidiary</t>
  </si>
  <si>
    <t>Gain on lease modification</t>
  </si>
  <si>
    <t>Impairment loss on intangible assets</t>
  </si>
  <si>
    <t>Impairment loss on property, plant and equipment</t>
  </si>
  <si>
    <t>Impairment loss on trade receivables, net</t>
  </si>
  <si>
    <t>Reversal of impairment loss on investment properties</t>
  </si>
  <si>
    <t>Share of profit of associates and partnership</t>
  </si>
  <si>
    <t>Write off of property, plant and equipment</t>
  </si>
  <si>
    <t>Changes in:</t>
  </si>
  <si>
    <t>Cash generated from operations</t>
  </si>
  <si>
    <t>Tax paid</t>
  </si>
  <si>
    <t>Net cash generated from operating activities</t>
  </si>
  <si>
    <t>Cash flows from investing activities</t>
  </si>
  <si>
    <t>Net investments in associates</t>
  </si>
  <si>
    <t>Acquisition of subsidiary</t>
  </si>
  <si>
    <t>Interest received</t>
  </si>
  <si>
    <t>Payment for lease prepayment</t>
  </si>
  <si>
    <t>Proceeds from disposal of property, plant and equipment</t>
  </si>
  <si>
    <t>Purchase of:</t>
  </si>
  <si>
    <t>– intangible assets</t>
  </si>
  <si>
    <t>– investment property</t>
  </si>
  <si>
    <t>– property, plant and equipment</t>
  </si>
  <si>
    <t>Withdrawal of/(Placement of) time deposits with bank</t>
  </si>
  <si>
    <t>Net cash generated from/(used in) investing activities</t>
  </si>
  <si>
    <t>Cash flows from financing activities</t>
  </si>
  <si>
    <t>Capital contribution from non-controlling interest</t>
  </si>
  <si>
    <t>Dividends paid to equity holders of the Company</t>
  </si>
  <si>
    <t>Interest paid</t>
  </si>
  <si>
    <t>Payment of IPO transaction costs</t>
  </si>
  <si>
    <t>Payment of lease liabilities</t>
  </si>
  <si>
    <t>Proceeds from issuance of new shares pursuant to IPO</t>
  </si>
  <si>
    <t>Proceeds from loans and borrowings</t>
  </si>
  <si>
    <t>Purchase of treasury shares</t>
  </si>
  <si>
    <t>Repayment of loans and borrowings</t>
  </si>
  <si>
    <t>Net cash (used in)/generated from financing activities</t>
  </si>
  <si>
    <t>Net increase in cash and cash equivalents</t>
  </si>
  <si>
    <t>Cash and cash equivalents at 1 January</t>
  </si>
  <si>
    <t>Effect of exchange rate fluctuations on cash held</t>
  </si>
  <si>
    <t>Cash and cash equivalents at 31 December</t>
  </si>
  <si>
    <t>Distribution of profits to the then-existing owners of sole-proprietorships and partnership</t>
  </si>
  <si>
    <t>Proceeds from loan from fellow subsidiary of immediate and ultimate holding company</t>
  </si>
  <si>
    <t>Repayment of loan from fellow subsidiary of immediate and ultimate holding company</t>
  </si>
  <si>
    <t>Income Statement</t>
  </si>
  <si>
    <t>Revenue (year on year %)</t>
  </si>
  <si>
    <t>Other income (% of revenue)</t>
  </si>
  <si>
    <t>Cost of inventories consumed (% of revenue)</t>
  </si>
  <si>
    <t>Staff costs (% of revenue)</t>
  </si>
  <si>
    <t>Depreciation of investment properties and PP&amp;E (opening PP&amp;E)</t>
  </si>
  <si>
    <t>Property rentals and related expenses (% of revenue)</t>
  </si>
  <si>
    <t>Distribution and selling expenses (% of revenue)</t>
  </si>
  <si>
    <t>Administrative expenses (% of revenue)</t>
  </si>
  <si>
    <t>Impairment loss on trade receivables  (% of revenue)</t>
  </si>
  <si>
    <t>Other operating expenses (% of revenue)</t>
  </si>
  <si>
    <t>Finance income (% of beginning cash &amp; TD)</t>
  </si>
  <si>
    <t>Balance Sheet</t>
  </si>
  <si>
    <t>Account Receivable (DSO)</t>
  </si>
  <si>
    <t>Days in Inventory Outstanding</t>
  </si>
  <si>
    <t>Account Payable Days Outstanding</t>
  </si>
  <si>
    <t>Trade and other receivables (non-current) (% of revenue)</t>
  </si>
  <si>
    <t>Trade and other payables (non-current) (% of revenue)</t>
  </si>
  <si>
    <t>CASH FLOW STATEMENT ($'000)</t>
  </si>
  <si>
    <t>SCHEDULES</t>
  </si>
  <si>
    <t>Leasehold properties</t>
  </si>
  <si>
    <t>Renovation</t>
  </si>
  <si>
    <t>Furniture and fittings, office equipments and computers</t>
  </si>
  <si>
    <t>Plant and machinery</t>
  </si>
  <si>
    <t>Kitchen equipment</t>
  </si>
  <si>
    <t>Motor vehicles</t>
  </si>
  <si>
    <t>PP&amp;E SCHEDULE</t>
  </si>
  <si>
    <t>Closing Balance</t>
  </si>
  <si>
    <t>Additions</t>
  </si>
  <si>
    <t>Total Additions</t>
  </si>
  <si>
    <t>Depreciation</t>
  </si>
  <si>
    <t>Carrying Amount</t>
  </si>
  <si>
    <t>Other Net Additions (Reductions)</t>
  </si>
  <si>
    <t>Total  Depreciation</t>
  </si>
  <si>
    <t>Opening Carrying Amount</t>
  </si>
  <si>
    <t>Opening Balance</t>
  </si>
  <si>
    <t>PP&amp;E Additions (% of revenue)</t>
  </si>
  <si>
    <t>PP&amp;E Depreciation (% of opening balance)</t>
  </si>
  <si>
    <t>Total Other Net Additions (Reductions)</t>
  </si>
  <si>
    <t>LEASE SCHEDULE</t>
  </si>
  <si>
    <t>Plus: Additions</t>
  </si>
  <si>
    <t>Less: Depreciations</t>
  </si>
  <si>
    <t>Less: Impairment Loss</t>
  </si>
  <si>
    <t>Lease Liabilities</t>
  </si>
  <si>
    <t>Current</t>
  </si>
  <si>
    <t>Interest Expense on Lease</t>
  </si>
  <si>
    <t>Less: Impairment Loss &amp; others</t>
  </si>
  <si>
    <t>Depreciation of Right-of-use Assets (% of opening)</t>
  </si>
  <si>
    <t>Addition of Right-of-use Asset (% of revenue)</t>
  </si>
  <si>
    <t>Less: Principle Repayment</t>
  </si>
  <si>
    <t xml:space="preserve">Plus: Net Addition </t>
  </si>
  <si>
    <t>Principle Repayment (cash flow % of opening balance)</t>
  </si>
  <si>
    <t>Interest Expense for Lease Liabilities (average balance)</t>
  </si>
  <si>
    <t>Additions (Repayments)</t>
  </si>
  <si>
    <t>Interest Expense</t>
  </si>
  <si>
    <t>Interest Expense on bank loans (average balance)</t>
  </si>
  <si>
    <t>Change in Bank Loan</t>
  </si>
  <si>
    <t>DEBT (Bank Loan) SCHEDULE</t>
  </si>
  <si>
    <t>DEBT (Immediate Subs) SCHEDULE</t>
  </si>
  <si>
    <t>Interest Expense on immediate subs loans (average balance)</t>
  </si>
  <si>
    <t>Forecast Period</t>
  </si>
  <si>
    <t>Lease liabilities current portion</t>
  </si>
  <si>
    <t>Non-current</t>
  </si>
  <si>
    <t>Dividends</t>
  </si>
  <si>
    <t>Change in share capital</t>
  </si>
  <si>
    <t>Change in treasury shares</t>
  </si>
  <si>
    <t>Less: Depreciation</t>
  </si>
  <si>
    <t>Investment Properties</t>
  </si>
  <si>
    <t>Investment Properties Owned</t>
  </si>
  <si>
    <t>Investment Properties Right-of-use</t>
  </si>
  <si>
    <t>Investment Properties Additions - owned</t>
  </si>
  <si>
    <t>Depreciation of Investment Properties (opening balance) - owned</t>
  </si>
  <si>
    <t>Investment Properties Additions - Right-of-use</t>
  </si>
  <si>
    <t>Depreciation of Investment Properties (average) - Right-of-use</t>
  </si>
  <si>
    <t>NMF</t>
  </si>
  <si>
    <t>PP&amp;E Right of Use Assets</t>
  </si>
  <si>
    <t>Repayments</t>
  </si>
  <si>
    <t xml:space="preserve">Additions </t>
  </si>
  <si>
    <t>Repayment in immediate subs loan</t>
  </si>
  <si>
    <t>Addition in immediate subs loan</t>
  </si>
  <si>
    <t>Total Right-of-use assets</t>
  </si>
  <si>
    <t>Right-of-use Assets</t>
  </si>
  <si>
    <t>PP&amp;E owned &amp; right-of-use</t>
  </si>
  <si>
    <t>Total Depreciation PP&amp;E owned &amp; right-of-use</t>
  </si>
  <si>
    <t>Total Depreciation PP&amp;E owned, PP&amp;E right-of-use &amp; Investment Properties</t>
  </si>
  <si>
    <t>Total Interest Expense (bank loan, right-of-use, immediate subs)</t>
  </si>
  <si>
    <t>Total Lease Liabilities</t>
  </si>
  <si>
    <t>Total Investment Properties owned &amp; right-of-use</t>
  </si>
  <si>
    <t>Total Depreciation of Investment Properties owned &amp; right-of-use</t>
  </si>
  <si>
    <t>Rights of use additions</t>
  </si>
  <si>
    <t>Lease Additions</t>
  </si>
  <si>
    <t>Diff</t>
  </si>
  <si>
    <t>Adjustment to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</si>
</sst>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#\A"/>
    <numFmt numFmtId="165" formatCode="####\F"/>
    <numFmt numFmtId="174" formatCode="0_);\(0\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rgb="FF0432FF"/>
      <name val="Arial Narrow"/>
      <family val="2"/>
    </font>
    <font>
      <b/>
      <sz val="11"/>
      <color rgb="FF0432FF"/>
      <name val="Arial Narrow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color rgb="FF0432FF"/>
      <name val="Arial Narrow"/>
      <family val="2"/>
    </font>
    <font>
      <sz val="11"/>
      <color theme="0" tint="-4.9989318521683403E-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164" fontId="2" fillId="3" borderId="0" xfId="0" applyNumberFormat="1" applyFont="1" applyFill="1"/>
    <xf numFmtId="0" fontId="3" fillId="0" borderId="0" xfId="0" applyFont="1"/>
    <xf numFmtId="0" fontId="4" fillId="0" borderId="0" xfId="0" applyFont="1"/>
    <xf numFmtId="0" fontId="2" fillId="4" borderId="0" xfId="0" applyFont="1" applyFill="1"/>
    <xf numFmtId="14" fontId="3" fillId="0" borderId="0" xfId="0" applyNumberFormat="1" applyFont="1" applyAlignment="1">
      <alignment horizontal="right"/>
    </xf>
    <xf numFmtId="0" fontId="5" fillId="2" borderId="0" xfId="0" applyFont="1" applyFill="1"/>
    <xf numFmtId="0" fontId="2" fillId="3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14" fontId="3" fillId="0" borderId="0" xfId="0" applyNumberFormat="1" applyFont="1"/>
    <xf numFmtId="0" fontId="6" fillId="0" borderId="0" xfId="0" applyFont="1"/>
    <xf numFmtId="0" fontId="3" fillId="0" borderId="1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7" fillId="0" borderId="0" xfId="0" applyFont="1"/>
    <xf numFmtId="37" fontId="7" fillId="0" borderId="0" xfId="0" applyNumberFormat="1" applyFont="1"/>
    <xf numFmtId="37" fontId="3" fillId="0" borderId="0" xfId="0" applyNumberFormat="1" applyFont="1"/>
    <xf numFmtId="37" fontId="3" fillId="0" borderId="1" xfId="0" applyNumberFormat="1" applyFont="1" applyBorder="1"/>
    <xf numFmtId="37" fontId="6" fillId="0" borderId="1" xfId="0" applyNumberFormat="1" applyFont="1" applyBorder="1"/>
    <xf numFmtId="37" fontId="2" fillId="4" borderId="0" xfId="0" applyNumberFormat="1" applyFont="1" applyFill="1"/>
    <xf numFmtId="37" fontId="6" fillId="0" borderId="2" xfId="0" applyNumberFormat="1" applyFont="1" applyBorder="1"/>
    <xf numFmtId="37" fontId="7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37" fontId="6" fillId="0" borderId="1" xfId="0" applyNumberFormat="1" applyFont="1" applyBorder="1" applyAlignment="1">
      <alignment horizontal="right"/>
    </xf>
    <xf numFmtId="37" fontId="6" fillId="0" borderId="3" xfId="0" applyNumberFormat="1" applyFont="1" applyBorder="1" applyAlignment="1">
      <alignment horizontal="right"/>
    </xf>
    <xf numFmtId="37" fontId="3" fillId="0" borderId="0" xfId="0" applyNumberFormat="1" applyFont="1" applyAlignment="1">
      <alignment horizontal="right"/>
    </xf>
    <xf numFmtId="37" fontId="2" fillId="4" borderId="0" xfId="0" applyNumberFormat="1" applyFont="1" applyFill="1" applyAlignment="1">
      <alignment horizontal="right"/>
    </xf>
    <xf numFmtId="37" fontId="6" fillId="0" borderId="2" xfId="0" applyNumberFormat="1" applyFont="1" applyBorder="1" applyAlignment="1">
      <alignment horizontal="right"/>
    </xf>
    <xf numFmtId="2" fontId="4" fillId="0" borderId="0" xfId="0" applyNumberFormat="1" applyFont="1"/>
    <xf numFmtId="0" fontId="3" fillId="0" borderId="4" xfId="0" applyFont="1" applyBorder="1"/>
    <xf numFmtId="37" fontId="3" fillId="0" borderId="4" xfId="0" applyNumberFormat="1" applyFont="1" applyBorder="1" applyAlignment="1">
      <alignment horizontal="right"/>
    </xf>
    <xf numFmtId="0" fontId="3" fillId="0" borderId="0" xfId="0" applyFont="1" applyBorder="1"/>
    <xf numFmtId="0" fontId="6" fillId="0" borderId="0" xfId="0" applyFont="1" applyBorder="1"/>
    <xf numFmtId="10" fontId="3" fillId="0" borderId="0" xfId="2" applyNumberFormat="1" applyFont="1"/>
    <xf numFmtId="10" fontId="3" fillId="0" borderId="1" xfId="2" applyNumberFormat="1" applyFont="1" applyBorder="1"/>
    <xf numFmtId="10" fontId="6" fillId="0" borderId="0" xfId="0" applyNumberFormat="1" applyFont="1" applyBorder="1"/>
    <xf numFmtId="10" fontId="3" fillId="0" borderId="0" xfId="0" applyNumberFormat="1" applyFont="1"/>
    <xf numFmtId="10" fontId="7" fillId="0" borderId="0" xfId="2" applyNumberFormat="1" applyFont="1"/>
    <xf numFmtId="10" fontId="7" fillId="0" borderId="0" xfId="0" applyNumberFormat="1" applyFont="1"/>
    <xf numFmtId="43" fontId="3" fillId="0" borderId="0" xfId="1" applyNumberFormat="1" applyFont="1"/>
    <xf numFmtId="4" fontId="7" fillId="0" borderId="0" xfId="0" applyNumberFormat="1" applyFont="1"/>
    <xf numFmtId="43" fontId="3" fillId="0" borderId="0" xfId="1" applyNumberFormat="1" applyFont="1" applyAlignment="1">
      <alignment horizontal="right"/>
    </xf>
    <xf numFmtId="10" fontId="3" fillId="0" borderId="0" xfId="2" applyNumberFormat="1" applyFont="1" applyAlignment="1">
      <alignment horizontal="right"/>
    </xf>
    <xf numFmtId="174" fontId="3" fillId="0" borderId="1" xfId="0" applyNumberFormat="1" applyFont="1" applyBorder="1"/>
    <xf numFmtId="174" fontId="3" fillId="0" borderId="0" xfId="0" applyNumberFormat="1" applyFont="1"/>
    <xf numFmtId="37" fontId="7" fillId="0" borderId="1" xfId="0" applyNumberFormat="1" applyFont="1" applyBorder="1"/>
    <xf numFmtId="174" fontId="6" fillId="0" borderId="1" xfId="0" applyNumberFormat="1" applyFont="1" applyBorder="1"/>
    <xf numFmtId="174" fontId="6" fillId="0" borderId="0" xfId="0" applyNumberFormat="1" applyFont="1" applyBorder="1"/>
    <xf numFmtId="37" fontId="6" fillId="0" borderId="0" xfId="0" applyNumberFormat="1" applyFont="1" applyBorder="1"/>
    <xf numFmtId="37" fontId="3" fillId="0" borderId="0" xfId="0" applyNumberFormat="1" applyFont="1" applyBorder="1"/>
    <xf numFmtId="37" fontId="7" fillId="0" borderId="0" xfId="0" applyNumberFormat="1" applyFont="1" applyBorder="1"/>
    <xf numFmtId="0" fontId="3" fillId="0" borderId="5" xfId="0" applyFont="1" applyBorder="1"/>
    <xf numFmtId="10" fontId="3" fillId="0" borderId="1" xfId="2" applyNumberFormat="1" applyFont="1" applyBorder="1" applyAlignment="1">
      <alignment horizontal="right"/>
    </xf>
    <xf numFmtId="10" fontId="7" fillId="0" borderId="1" xfId="0" applyNumberFormat="1" applyFont="1" applyBorder="1"/>
    <xf numFmtId="174" fontId="6" fillId="0" borderId="2" xfId="0" applyNumberFormat="1" applyFont="1" applyBorder="1"/>
    <xf numFmtId="0" fontId="6" fillId="6" borderId="0" xfId="0" applyFont="1" applyFill="1"/>
    <xf numFmtId="0" fontId="3" fillId="6" borderId="0" xfId="0" applyFont="1" applyFill="1"/>
    <xf numFmtId="0" fontId="3" fillId="0" borderId="0" xfId="0" applyFont="1" applyAlignment="1">
      <alignment horizontal="left" indent="1"/>
    </xf>
    <xf numFmtId="37" fontId="3" fillId="0" borderId="5" xfId="0" applyNumberFormat="1" applyFont="1" applyBorder="1"/>
    <xf numFmtId="0" fontId="6" fillId="0" borderId="5" xfId="0" applyFont="1" applyBorder="1"/>
    <xf numFmtId="37" fontId="8" fillId="0" borderId="1" xfId="0" applyNumberFormat="1" applyFont="1" applyBorder="1"/>
    <xf numFmtId="37" fontId="3" fillId="0" borderId="0" xfId="1" applyNumberFormat="1" applyFont="1" applyAlignment="1">
      <alignment horizontal="right"/>
    </xf>
    <xf numFmtId="37" fontId="7" fillId="0" borderId="0" xfId="1" applyNumberFormat="1" applyFont="1" applyAlignment="1">
      <alignment horizontal="right"/>
    </xf>
    <xf numFmtId="1" fontId="3" fillId="0" borderId="0" xfId="0" applyNumberFormat="1" applyFont="1"/>
    <xf numFmtId="37" fontId="6" fillId="0" borderId="0" xfId="0" applyNumberFormat="1" applyFont="1"/>
    <xf numFmtId="0" fontId="6" fillId="0" borderId="0" xfId="0" applyFont="1" applyFill="1"/>
    <xf numFmtId="0" fontId="3" fillId="0" borderId="0" xfId="0" applyFont="1" applyFill="1"/>
    <xf numFmtId="10" fontId="7" fillId="0" borderId="0" xfId="2" applyNumberFormat="1" applyFont="1" applyAlignment="1">
      <alignment horizontal="right"/>
    </xf>
    <xf numFmtId="37" fontId="8" fillId="0" borderId="0" xfId="0" applyNumberFormat="1" applyFont="1" applyBorder="1"/>
    <xf numFmtId="37" fontId="3" fillId="5" borderId="0" xfId="0" applyNumberFormat="1" applyFont="1" applyFill="1" applyAlignment="1">
      <alignment horizontal="right"/>
    </xf>
    <xf numFmtId="0" fontId="4" fillId="0" borderId="0" xfId="0" applyFont="1" applyBorder="1"/>
    <xf numFmtId="37" fontId="4" fillId="0" borderId="0" xfId="0" applyNumberFormat="1" applyFont="1" applyBorder="1"/>
    <xf numFmtId="37" fontId="11" fillId="0" borderId="0" xfId="0" applyNumberFormat="1" applyFont="1" applyBorder="1"/>
    <xf numFmtId="37" fontId="4" fillId="0" borderId="0" xfId="0" applyNumberFormat="1" applyFont="1"/>
    <xf numFmtId="37" fontId="7" fillId="5" borderId="0" xfId="0" applyNumberFormat="1" applyFont="1" applyFill="1" applyAlignment="1">
      <alignment horizontal="right"/>
    </xf>
    <xf numFmtId="37" fontId="12" fillId="5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D3DA-3AC7-7E41-A297-AB55078C72FE}">
  <dimension ref="A1:T354"/>
  <sheetViews>
    <sheetView showGridLines="0" tabSelected="1" zoomScale="106" workbookViewId="0">
      <pane ySplit="2" topLeftCell="A136" activePane="bottomLeft" state="frozen"/>
      <selection pane="bottomLeft" activeCell="T131" sqref="T131"/>
    </sheetView>
  </sheetViews>
  <sheetFormatPr baseColWidth="10" defaultRowHeight="14" outlineLevelRow="1" x14ac:dyDescent="0.15"/>
  <cols>
    <col min="1" max="3" width="20" style="2" customWidth="1"/>
    <col min="4" max="16384" width="10.83203125" style="2"/>
  </cols>
  <sheetData>
    <row r="1" spans="1:16" x14ac:dyDescent="0.15">
      <c r="A1" s="6"/>
      <c r="B1" s="6"/>
      <c r="C1" s="6"/>
      <c r="D1" s="7" t="s">
        <v>0</v>
      </c>
      <c r="E1" s="7"/>
      <c r="F1" s="7"/>
      <c r="G1" s="8" t="s">
        <v>178</v>
      </c>
      <c r="H1" s="8"/>
      <c r="I1" s="8"/>
      <c r="J1" s="8"/>
      <c r="K1" s="8"/>
      <c r="L1" s="8"/>
      <c r="M1" s="8"/>
      <c r="N1" s="8"/>
      <c r="O1" s="8"/>
      <c r="P1" s="8"/>
    </row>
    <row r="2" spans="1:16" x14ac:dyDescent="0.15">
      <c r="A2" s="9" t="s">
        <v>5</v>
      </c>
      <c r="B2" s="8"/>
      <c r="C2" s="8"/>
      <c r="D2" s="1">
        <v>2017</v>
      </c>
      <c r="E2" s="1">
        <f>D2+1</f>
        <v>2018</v>
      </c>
      <c r="F2" s="1">
        <f>E2+1</f>
        <v>2019</v>
      </c>
      <c r="G2" s="10">
        <f>F2+1</f>
        <v>2020</v>
      </c>
      <c r="H2" s="10">
        <f>G2+1</f>
        <v>2021</v>
      </c>
      <c r="I2" s="10">
        <f t="shared" ref="I2:K2" si="0">H2+1</f>
        <v>2022</v>
      </c>
      <c r="J2" s="10">
        <f t="shared" si="0"/>
        <v>2023</v>
      </c>
      <c r="K2" s="10">
        <f t="shared" si="0"/>
        <v>2024</v>
      </c>
      <c r="L2" s="10">
        <f t="shared" ref="L2" si="1">K2+1</f>
        <v>2025</v>
      </c>
      <c r="M2" s="10">
        <f t="shared" ref="M2" si="2">L2+1</f>
        <v>2026</v>
      </c>
      <c r="N2" s="10">
        <f t="shared" ref="N2" si="3">M2+1</f>
        <v>2027</v>
      </c>
      <c r="O2" s="10">
        <f t="shared" ref="O2" si="4">N2+1</f>
        <v>2028</v>
      </c>
      <c r="P2" s="10">
        <f t="shared" ref="P2" si="5">O2+1</f>
        <v>2029</v>
      </c>
    </row>
    <row r="4" spans="1:16" x14ac:dyDescent="0.15">
      <c r="A4" s="2" t="s">
        <v>1</v>
      </c>
      <c r="D4" s="5">
        <f>DATE(D2,1,1)</f>
        <v>42736</v>
      </c>
      <c r="E4" s="5">
        <f t="shared" ref="E4:K4" si="6">DATE(E2,1,1)</f>
        <v>43101</v>
      </c>
      <c r="F4" s="5">
        <f t="shared" si="6"/>
        <v>43466</v>
      </c>
      <c r="G4" s="5">
        <f t="shared" si="6"/>
        <v>43831</v>
      </c>
      <c r="H4" s="5">
        <f t="shared" si="6"/>
        <v>44197</v>
      </c>
      <c r="I4" s="5">
        <f t="shared" si="6"/>
        <v>44562</v>
      </c>
      <c r="J4" s="5">
        <f t="shared" si="6"/>
        <v>44927</v>
      </c>
      <c r="K4" s="5">
        <f t="shared" si="6"/>
        <v>45292</v>
      </c>
      <c r="L4" s="5">
        <f t="shared" ref="L4:N4" si="7">DATE(L2,1,1)</f>
        <v>45658</v>
      </c>
      <c r="M4" s="5">
        <f t="shared" si="7"/>
        <v>46023</v>
      </c>
      <c r="N4" s="5">
        <f t="shared" si="7"/>
        <v>46388</v>
      </c>
      <c r="O4" s="5">
        <f t="shared" ref="O4:P4" si="8">DATE(O2,1,1)</f>
        <v>46753</v>
      </c>
      <c r="P4" s="5">
        <f t="shared" si="8"/>
        <v>47119</v>
      </c>
    </row>
    <row r="5" spans="1:16" x14ac:dyDescent="0.15">
      <c r="A5" s="2" t="s">
        <v>2</v>
      </c>
      <c r="D5" s="11">
        <f>DATE(D2,12,31)</f>
        <v>43100</v>
      </c>
      <c r="E5" s="11">
        <f t="shared" ref="E5:K5" si="9">DATE(E2,12,31)</f>
        <v>43465</v>
      </c>
      <c r="F5" s="11">
        <f t="shared" si="9"/>
        <v>43830</v>
      </c>
      <c r="G5" s="11">
        <f t="shared" si="9"/>
        <v>44196</v>
      </c>
      <c r="H5" s="11">
        <f t="shared" si="9"/>
        <v>44561</v>
      </c>
      <c r="I5" s="11">
        <f t="shared" si="9"/>
        <v>44926</v>
      </c>
      <c r="J5" s="11">
        <f t="shared" si="9"/>
        <v>45291</v>
      </c>
      <c r="K5" s="11">
        <f t="shared" si="9"/>
        <v>45657</v>
      </c>
      <c r="L5" s="11">
        <f t="shared" ref="L5:N5" si="10">DATE(L2,12,31)</f>
        <v>46022</v>
      </c>
      <c r="M5" s="11">
        <f t="shared" si="10"/>
        <v>46387</v>
      </c>
      <c r="N5" s="11">
        <f t="shared" si="10"/>
        <v>46752</v>
      </c>
      <c r="O5" s="11">
        <f t="shared" ref="O5:P5" si="11">DATE(O2,12,31)</f>
        <v>47118</v>
      </c>
      <c r="P5" s="11">
        <f t="shared" si="11"/>
        <v>47483</v>
      </c>
    </row>
    <row r="6" spans="1:16" x14ac:dyDescent="0.15">
      <c r="A6" s="2" t="s">
        <v>3</v>
      </c>
      <c r="D6" s="2">
        <f>D5-D4+1</f>
        <v>365</v>
      </c>
      <c r="E6" s="2">
        <f t="shared" ref="E6:K6" si="12">E5-E4+1</f>
        <v>365</v>
      </c>
      <c r="F6" s="2">
        <f t="shared" si="12"/>
        <v>365</v>
      </c>
      <c r="G6" s="2">
        <f t="shared" si="12"/>
        <v>366</v>
      </c>
      <c r="H6" s="2">
        <f t="shared" si="12"/>
        <v>365</v>
      </c>
      <c r="I6" s="2">
        <f t="shared" si="12"/>
        <v>365</v>
      </c>
      <c r="J6" s="2">
        <f t="shared" si="12"/>
        <v>365</v>
      </c>
      <c r="K6" s="2">
        <f t="shared" si="12"/>
        <v>366</v>
      </c>
      <c r="L6" s="2">
        <f t="shared" ref="L6" si="13">L5-L4+1</f>
        <v>365</v>
      </c>
      <c r="M6" s="2">
        <f t="shared" ref="M6" si="14">M5-M4+1</f>
        <v>365</v>
      </c>
      <c r="N6" s="2">
        <f t="shared" ref="N6" si="15">N5-N4+1</f>
        <v>365</v>
      </c>
      <c r="O6" s="2">
        <f t="shared" ref="O6" si="16">O5-O4+1</f>
        <v>366</v>
      </c>
      <c r="P6" s="2">
        <f t="shared" ref="P6" si="17">P5-P4+1</f>
        <v>365</v>
      </c>
    </row>
    <row r="8" spans="1:16" x14ac:dyDescent="0.15">
      <c r="A8" s="4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s="34" customFormat="1" outlineLevel="1" x14ac:dyDescent="0.15"/>
    <row r="10" spans="1:16" s="35" customFormat="1" outlineLevel="1" x14ac:dyDescent="0.15">
      <c r="A10" s="35" t="s">
        <v>118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 outlineLevel="1" x14ac:dyDescent="0.15">
      <c r="A11" s="2" t="s">
        <v>119</v>
      </c>
      <c r="D11" s="39"/>
      <c r="E11" s="36">
        <f>E78/D78-1</f>
        <v>3.3048887986376174E-2</v>
      </c>
      <c r="F11" s="36">
        <f>F78/E78-1</f>
        <v>6.1057005003573916E-2</v>
      </c>
      <c r="G11" s="40">
        <v>0</v>
      </c>
      <c r="H11" s="40">
        <v>2.5000000000000001E-2</v>
      </c>
      <c r="I11" s="40">
        <v>0.08</v>
      </c>
      <c r="J11" s="40">
        <v>0.05</v>
      </c>
      <c r="K11" s="40">
        <v>4.4999999999999998E-2</v>
      </c>
      <c r="L11" s="40">
        <v>0.04</v>
      </c>
      <c r="M11" s="40">
        <v>0.04</v>
      </c>
      <c r="N11" s="40">
        <v>3.5000000000000003E-2</v>
      </c>
      <c r="O11" s="40">
        <v>3.5000000000000003E-2</v>
      </c>
      <c r="P11" s="40">
        <v>3.5000000000000003E-2</v>
      </c>
    </row>
    <row r="12" spans="1:16" outlineLevel="1" x14ac:dyDescent="0.15">
      <c r="A12" s="2" t="s">
        <v>120</v>
      </c>
      <c r="D12" s="36">
        <f>D79/D$78</f>
        <v>1.8695858851111552E-2</v>
      </c>
      <c r="E12" s="36">
        <f>E79/E$78</f>
        <v>2.3816118656182987E-2</v>
      </c>
      <c r="F12" s="36">
        <f>F79/F$78</f>
        <v>2.4096131903480738E-2</v>
      </c>
      <c r="G12" s="41">
        <v>1.4999999999999999E-2</v>
      </c>
      <c r="H12" s="41">
        <v>1.4999999999999999E-2</v>
      </c>
      <c r="I12" s="41">
        <v>0.02</v>
      </c>
      <c r="J12" s="41">
        <v>0.02</v>
      </c>
      <c r="K12" s="41">
        <v>2.5000000000000001E-2</v>
      </c>
      <c r="L12" s="41">
        <v>2.5000000000000001E-2</v>
      </c>
      <c r="M12" s="41">
        <v>2.5000000000000001E-2</v>
      </c>
      <c r="N12" s="41">
        <v>2.5000000000000001E-2</v>
      </c>
      <c r="O12" s="41">
        <v>2.5000000000000001E-2</v>
      </c>
      <c r="P12" s="41">
        <v>2.5000000000000001E-2</v>
      </c>
    </row>
    <row r="13" spans="1:16" outlineLevel="1" x14ac:dyDescent="0.15">
      <c r="A13" s="2" t="s">
        <v>121</v>
      </c>
      <c r="D13" s="36">
        <f>-D80/D$78</f>
        <v>0.16343992726567871</v>
      </c>
      <c r="E13" s="36">
        <f>-E80/E$78</f>
        <v>0.15664313795568263</v>
      </c>
      <c r="F13" s="36">
        <f>-F80/F$78</f>
        <v>0.15543541874555275</v>
      </c>
      <c r="G13" s="41">
        <v>0.155</v>
      </c>
      <c r="H13" s="41">
        <v>0.155</v>
      </c>
      <c r="I13" s="41">
        <v>0.1525</v>
      </c>
      <c r="J13" s="41">
        <v>0.1525</v>
      </c>
      <c r="K13" s="41">
        <v>0.1525</v>
      </c>
      <c r="L13" s="41">
        <v>0.15</v>
      </c>
      <c r="M13" s="41">
        <v>0.15</v>
      </c>
      <c r="N13" s="41">
        <v>0.15</v>
      </c>
      <c r="O13" s="41">
        <v>0.14000000000000001</v>
      </c>
      <c r="P13" s="41">
        <v>0.14000000000000001</v>
      </c>
    </row>
    <row r="14" spans="1:16" outlineLevel="1" x14ac:dyDescent="0.15">
      <c r="A14" s="2" t="s">
        <v>122</v>
      </c>
      <c r="D14" s="36">
        <f>-D81/D$78</f>
        <v>0.1716456140188943</v>
      </c>
      <c r="E14" s="36">
        <f>-E81/E$78</f>
        <v>0.16482308791994282</v>
      </c>
      <c r="F14" s="36">
        <f>-F81/F$78</f>
        <v>0.16799925896920934</v>
      </c>
      <c r="G14" s="41">
        <v>0.16500000000000001</v>
      </c>
      <c r="H14" s="41">
        <v>0.16500000000000001</v>
      </c>
      <c r="I14" s="41">
        <v>0.16250000000000001</v>
      </c>
      <c r="J14" s="41">
        <v>0.16</v>
      </c>
      <c r="K14" s="41">
        <v>0.158</v>
      </c>
      <c r="L14" s="41">
        <v>0.155</v>
      </c>
      <c r="M14" s="41">
        <v>0.155</v>
      </c>
      <c r="N14" s="41">
        <v>0.15</v>
      </c>
      <c r="O14" s="41">
        <v>0.15</v>
      </c>
      <c r="P14" s="41">
        <v>0.15</v>
      </c>
    </row>
    <row r="15" spans="1:16" outlineLevel="1" x14ac:dyDescent="0.15">
      <c r="A15" s="13" t="s">
        <v>23</v>
      </c>
      <c r="B15" s="13"/>
      <c r="C15" s="13"/>
      <c r="D15" s="37">
        <f>D82/D78</f>
        <v>0.68361031756653856</v>
      </c>
      <c r="E15" s="37">
        <f>E82/E78</f>
        <v>0.70234989278055759</v>
      </c>
      <c r="F15" s="37">
        <f>F82/F78</f>
        <v>0.70066145418871861</v>
      </c>
      <c r="G15" s="37">
        <f t="shared" ref="G15:K15" si="18">G82/G78</f>
        <v>0.69500000000000006</v>
      </c>
      <c r="H15" s="37">
        <f t="shared" si="18"/>
        <v>0.69500000000000006</v>
      </c>
      <c r="I15" s="37">
        <f t="shared" si="18"/>
        <v>0.70499999999999985</v>
      </c>
      <c r="J15" s="37">
        <f t="shared" si="18"/>
        <v>0.70750000000000002</v>
      </c>
      <c r="K15" s="37">
        <f t="shared" si="18"/>
        <v>0.71450000000000002</v>
      </c>
      <c r="L15" s="37">
        <f t="shared" ref="L15:N15" si="19">L82/L78</f>
        <v>0.72</v>
      </c>
      <c r="M15" s="37">
        <f t="shared" si="19"/>
        <v>0.72</v>
      </c>
      <c r="N15" s="37">
        <f t="shared" si="19"/>
        <v>0.72499999999999998</v>
      </c>
      <c r="O15" s="37">
        <f t="shared" ref="O15:P15" si="20">O82/O78</f>
        <v>0.73499999999999988</v>
      </c>
      <c r="P15" s="37">
        <f t="shared" si="20"/>
        <v>0.73499999999999999</v>
      </c>
    </row>
    <row r="16" spans="1:16" outlineLevel="1" x14ac:dyDescent="0.15">
      <c r="A16" s="2" t="s">
        <v>123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 outlineLevel="1" x14ac:dyDescent="0.15">
      <c r="A17" s="2" t="s">
        <v>124</v>
      </c>
      <c r="D17" s="36">
        <f>-D84/D$78</f>
        <v>0.44238251053401578</v>
      </c>
      <c r="E17" s="36">
        <f t="shared" ref="E17:F17" si="21">-E84/E$78</f>
        <v>0.4694111865618299</v>
      </c>
      <c r="F17" s="36">
        <f t="shared" si="21"/>
        <v>0.17902630238266662</v>
      </c>
      <c r="G17" s="41">
        <v>0.18</v>
      </c>
      <c r="H17" s="41">
        <v>0.18</v>
      </c>
      <c r="I17" s="41">
        <v>0.18</v>
      </c>
      <c r="J17" s="41">
        <v>0.18</v>
      </c>
      <c r="K17" s="41">
        <v>0.18</v>
      </c>
      <c r="L17" s="41">
        <v>0.18</v>
      </c>
      <c r="M17" s="41">
        <v>0.18</v>
      </c>
      <c r="N17" s="41">
        <v>0.18</v>
      </c>
      <c r="O17" s="41">
        <v>0.18</v>
      </c>
      <c r="P17" s="41">
        <v>0.18</v>
      </c>
    </row>
    <row r="18" spans="1:16" outlineLevel="1" x14ac:dyDescent="0.15">
      <c r="A18" s="2" t="s">
        <v>125</v>
      </c>
      <c r="D18" s="36">
        <f t="shared" ref="D18:F21" si="22">-D85/D$78</f>
        <v>8.4733638239054086E-3</v>
      </c>
      <c r="E18" s="36">
        <f t="shared" si="22"/>
        <v>9.0243030736240175E-3</v>
      </c>
      <c r="F18" s="36">
        <f t="shared" si="22"/>
        <v>3.3935841890975846E-3</v>
      </c>
      <c r="G18" s="41">
        <v>7.0000000000000001E-3</v>
      </c>
      <c r="H18" s="41">
        <v>7.0000000000000001E-3</v>
      </c>
      <c r="I18" s="41">
        <v>5.0000000000000001E-3</v>
      </c>
      <c r="J18" s="41">
        <v>5.0000000000000001E-3</v>
      </c>
      <c r="K18" s="41">
        <v>4.0000000000000001E-3</v>
      </c>
      <c r="L18" s="41">
        <v>4.0000000000000001E-3</v>
      </c>
      <c r="M18" s="41">
        <v>4.0000000000000001E-3</v>
      </c>
      <c r="N18" s="41">
        <v>4.0000000000000001E-3</v>
      </c>
      <c r="O18" s="41">
        <v>4.0000000000000001E-3</v>
      </c>
      <c r="P18" s="41">
        <v>4.0000000000000001E-3</v>
      </c>
    </row>
    <row r="19" spans="1:16" outlineLevel="1" x14ac:dyDescent="0.15">
      <c r="A19" s="2" t="s">
        <v>126</v>
      </c>
      <c r="D19" s="36">
        <f t="shared" si="22"/>
        <v>2.3578657830246586E-2</v>
      </c>
      <c r="E19" s="36">
        <f t="shared" si="22"/>
        <v>2.8046819156540385E-2</v>
      </c>
      <c r="F19" s="36">
        <f t="shared" si="22"/>
        <v>2.1098325523037215E-2</v>
      </c>
      <c r="G19" s="41">
        <v>0.02</v>
      </c>
      <c r="H19" s="41">
        <v>0.02</v>
      </c>
      <c r="I19" s="41">
        <v>0.02</v>
      </c>
      <c r="J19" s="41">
        <v>0.02</v>
      </c>
      <c r="K19" s="41">
        <v>0.02</v>
      </c>
      <c r="L19" s="41">
        <v>1.7500000000000002E-2</v>
      </c>
      <c r="M19" s="41">
        <v>1.7500000000000002E-2</v>
      </c>
      <c r="N19" s="41">
        <v>1.7500000000000002E-2</v>
      </c>
      <c r="O19" s="41">
        <v>1.7500000000000002E-2</v>
      </c>
      <c r="P19" s="41">
        <v>1.4999999999999999E-2</v>
      </c>
    </row>
    <row r="20" spans="1:16" outlineLevel="1" x14ac:dyDescent="0.15">
      <c r="A20" s="2" t="s">
        <v>127</v>
      </c>
      <c r="D20" s="36">
        <f t="shared" si="22"/>
        <v>0</v>
      </c>
      <c r="E20" s="36">
        <f t="shared" si="22"/>
        <v>1.4519299499642603E-3</v>
      </c>
      <c r="F20" s="36">
        <f t="shared" si="22"/>
        <v>1.0399693482718404E-3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</row>
    <row r="21" spans="1:16" outlineLevel="1" x14ac:dyDescent="0.15">
      <c r="A21" s="2" t="s">
        <v>128</v>
      </c>
      <c r="D21" s="36">
        <f t="shared" si="22"/>
        <v>2.6084669026532337E-2</v>
      </c>
      <c r="E21" s="36">
        <f t="shared" si="22"/>
        <v>1.1709256611865618E-2</v>
      </c>
      <c r="F21" s="36">
        <f t="shared" si="22"/>
        <v>1.6660561583448068E-2</v>
      </c>
      <c r="G21" s="41">
        <v>1.7999999999999999E-2</v>
      </c>
      <c r="H21" s="41">
        <v>1.7999999999999999E-2</v>
      </c>
      <c r="I21" s="41">
        <v>1.7999999999999999E-2</v>
      </c>
      <c r="J21" s="41">
        <v>1.7999999999999999E-2</v>
      </c>
      <c r="K21" s="41">
        <v>1.7999999999999999E-2</v>
      </c>
      <c r="L21" s="41">
        <v>1.7999999999999999E-2</v>
      </c>
      <c r="M21" s="41">
        <v>1.7999999999999999E-2</v>
      </c>
      <c r="N21" s="41">
        <v>1.7999999999999999E-2</v>
      </c>
      <c r="O21" s="41">
        <v>1.7999999999999999E-2</v>
      </c>
      <c r="P21" s="41">
        <v>1.7999999999999999E-2</v>
      </c>
    </row>
    <row r="22" spans="1:16" outlineLevel="1" x14ac:dyDescent="0.15">
      <c r="D22" s="39"/>
      <c r="E22" s="39"/>
      <c r="F22" s="39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1:16" outlineLevel="1" x14ac:dyDescent="0.15">
      <c r="A23" s="2" t="s">
        <v>129</v>
      </c>
      <c r="D23" s="36"/>
      <c r="E23" s="36">
        <f>E90/SUM(D118:D119)</f>
        <v>3.9674370730794425E-2</v>
      </c>
      <c r="F23" s="36">
        <f>F90/SUM(E118:E119)</f>
        <v>1.8844944417378981E-2</v>
      </c>
      <c r="G23" s="41">
        <v>1.8800000000000001E-2</v>
      </c>
      <c r="H23" s="41">
        <v>0.02</v>
      </c>
      <c r="I23" s="41">
        <v>0.02</v>
      </c>
      <c r="J23" s="41">
        <v>0.02</v>
      </c>
      <c r="K23" s="41">
        <v>0.02</v>
      </c>
      <c r="L23" s="41">
        <v>0.02</v>
      </c>
      <c r="M23" s="41">
        <v>0.02</v>
      </c>
      <c r="N23" s="41">
        <v>0.02</v>
      </c>
      <c r="O23" s="41">
        <v>0.02</v>
      </c>
      <c r="P23" s="41">
        <v>0.02</v>
      </c>
    </row>
    <row r="24" spans="1:16" outlineLevel="1" x14ac:dyDescent="0.15">
      <c r="A24" s="2" t="s">
        <v>16</v>
      </c>
      <c r="D24" s="39"/>
      <c r="E24" s="39"/>
      <c r="F24" s="39"/>
      <c r="G24" s="41"/>
      <c r="H24" s="41"/>
      <c r="I24" s="41"/>
      <c r="J24" s="41"/>
      <c r="K24" s="41"/>
      <c r="L24" s="41"/>
      <c r="M24" s="41"/>
      <c r="N24" s="41"/>
      <c r="O24" s="41"/>
      <c r="P24" s="41"/>
    </row>
    <row r="25" spans="1:16" outlineLevel="1" x14ac:dyDescent="0.15">
      <c r="D25" s="39"/>
      <c r="E25" s="39"/>
      <c r="F25" s="39"/>
      <c r="G25" s="41"/>
      <c r="H25" s="41"/>
      <c r="I25" s="41"/>
      <c r="J25" s="41"/>
      <c r="K25" s="41"/>
      <c r="L25" s="41"/>
      <c r="M25" s="41"/>
      <c r="N25" s="41"/>
      <c r="O25" s="41"/>
      <c r="P25" s="41"/>
    </row>
    <row r="26" spans="1:16" outlineLevel="1" x14ac:dyDescent="0.15">
      <c r="A26" s="2" t="s">
        <v>18</v>
      </c>
      <c r="D26" s="19">
        <f>D93</f>
        <v>293</v>
      </c>
      <c r="E26" s="19">
        <f t="shared" ref="E26:F26" si="23">E93</f>
        <v>241</v>
      </c>
      <c r="F26" s="19">
        <f t="shared" si="23"/>
        <v>220</v>
      </c>
      <c r="G26" s="19">
        <v>0</v>
      </c>
      <c r="H26" s="19">
        <v>0</v>
      </c>
      <c r="I26" s="19">
        <v>0</v>
      </c>
      <c r="J26" s="19">
        <f t="shared" ref="J26:K26" si="24">I26</f>
        <v>0</v>
      </c>
      <c r="K26" s="19">
        <f t="shared" si="24"/>
        <v>0</v>
      </c>
      <c r="L26" s="19">
        <f t="shared" ref="L26:N26" si="25">K26</f>
        <v>0</v>
      </c>
      <c r="M26" s="19">
        <f t="shared" si="25"/>
        <v>0</v>
      </c>
      <c r="N26" s="19">
        <f t="shared" si="25"/>
        <v>0</v>
      </c>
      <c r="O26" s="19">
        <f t="shared" ref="O26:P26" si="26">N26</f>
        <v>0</v>
      </c>
      <c r="P26" s="19">
        <f t="shared" si="26"/>
        <v>0</v>
      </c>
    </row>
    <row r="27" spans="1:16" outlineLevel="1" x14ac:dyDescent="0.15">
      <c r="D27" s="39"/>
      <c r="E27" s="39"/>
      <c r="F27" s="39"/>
      <c r="G27" s="41"/>
      <c r="H27" s="41"/>
      <c r="I27" s="41"/>
      <c r="J27" s="41"/>
      <c r="K27" s="41"/>
      <c r="L27" s="41"/>
      <c r="M27" s="41"/>
      <c r="N27" s="41"/>
      <c r="O27" s="41"/>
      <c r="P27" s="41"/>
    </row>
    <row r="28" spans="1:16" outlineLevel="1" x14ac:dyDescent="0.15">
      <c r="A28" s="2" t="s">
        <v>20</v>
      </c>
      <c r="D28" s="36">
        <f>-D95/D94</f>
        <v>0.16488136015444976</v>
      </c>
      <c r="E28" s="36">
        <f t="shared" ref="E28:F28" si="27">-E95/E94</f>
        <v>0.16835989263021983</v>
      </c>
      <c r="F28" s="36">
        <f t="shared" si="27"/>
        <v>0.18028152423582072</v>
      </c>
      <c r="G28" s="41">
        <v>0.17</v>
      </c>
      <c r="H28" s="41">
        <v>0.17</v>
      </c>
      <c r="I28" s="41">
        <v>0.17</v>
      </c>
      <c r="J28" s="41">
        <v>0.17</v>
      </c>
      <c r="K28" s="41">
        <v>0.17</v>
      </c>
      <c r="L28" s="41">
        <v>0.17</v>
      </c>
      <c r="M28" s="41">
        <v>0.17</v>
      </c>
      <c r="N28" s="41">
        <v>0.17</v>
      </c>
      <c r="O28" s="41">
        <v>0.17</v>
      </c>
      <c r="P28" s="41">
        <v>0.17</v>
      </c>
    </row>
    <row r="29" spans="1:16" outlineLevel="1" x14ac:dyDescent="0.15">
      <c r="D29" s="36"/>
      <c r="E29" s="36"/>
      <c r="F29" s="36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spans="1:16" outlineLevel="1" x14ac:dyDescent="0.15">
      <c r="A30" s="12" t="s">
        <v>130</v>
      </c>
      <c r="D30" s="36"/>
      <c r="E30" s="36"/>
      <c r="F30" s="36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1" spans="1:16" outlineLevel="1" x14ac:dyDescent="0.15">
      <c r="A31" s="2" t="s">
        <v>131</v>
      </c>
      <c r="D31" s="42">
        <f>D118/D78*D6</f>
        <v>18.002459859977201</v>
      </c>
      <c r="E31" s="42">
        <f>E118/E78*E6</f>
        <v>16.563929592566119</v>
      </c>
      <c r="F31" s="42">
        <f>F118/F78*F6</f>
        <v>15.298812245533815</v>
      </c>
      <c r="G31" s="43">
        <v>18</v>
      </c>
      <c r="H31" s="43">
        <v>16</v>
      </c>
      <c r="I31" s="43">
        <v>15</v>
      </c>
      <c r="J31" s="43">
        <v>14</v>
      </c>
      <c r="K31" s="43">
        <v>14</v>
      </c>
      <c r="L31" s="43">
        <v>14</v>
      </c>
      <c r="M31" s="43">
        <v>14</v>
      </c>
      <c r="N31" s="43">
        <v>14</v>
      </c>
      <c r="O31" s="43">
        <v>14</v>
      </c>
      <c r="P31" s="43">
        <v>14</v>
      </c>
    </row>
    <row r="32" spans="1:16" outlineLevel="1" x14ac:dyDescent="0.15">
      <c r="A32" s="2" t="s">
        <v>132</v>
      </c>
      <c r="D32" s="42">
        <f>D117/-D80*D6</f>
        <v>13.347122606878635</v>
      </c>
      <c r="E32" s="42">
        <f>E117/-E80*E6</f>
        <v>13.407865841485327</v>
      </c>
      <c r="F32" s="42">
        <f>F117/-F80*F6</f>
        <v>14.187908009859957</v>
      </c>
      <c r="G32" s="43">
        <v>14</v>
      </c>
      <c r="H32" s="43">
        <v>14</v>
      </c>
      <c r="I32" s="43">
        <v>14</v>
      </c>
      <c r="J32" s="43">
        <v>14</v>
      </c>
      <c r="K32" s="43">
        <v>14</v>
      </c>
      <c r="L32" s="43">
        <v>14</v>
      </c>
      <c r="M32" s="43">
        <v>14</v>
      </c>
      <c r="N32" s="43">
        <v>14</v>
      </c>
      <c r="O32" s="43">
        <v>14</v>
      </c>
      <c r="P32" s="43">
        <v>14</v>
      </c>
    </row>
    <row r="33" spans="1:16" outlineLevel="1" x14ac:dyDescent="0.15">
      <c r="A33" s="2" t="s">
        <v>133</v>
      </c>
      <c r="D33" s="42">
        <f>D126/-(D80+D84+D88)*D6</f>
        <v>120.50883356095851</v>
      </c>
      <c r="E33" s="42">
        <f>E126/-(E80+E84+E88)*E6</f>
        <v>117.66613896341336</v>
      </c>
      <c r="F33" s="42">
        <f>F126/-(F80+F84+F88)*F6</f>
        <v>180.23281051394585</v>
      </c>
      <c r="G33" s="43">
        <v>200</v>
      </c>
      <c r="H33" s="43">
        <v>180</v>
      </c>
      <c r="I33" s="43">
        <v>180</v>
      </c>
      <c r="J33" s="43">
        <v>170</v>
      </c>
      <c r="K33" s="43">
        <v>170</v>
      </c>
      <c r="L33" s="43">
        <v>170</v>
      </c>
      <c r="M33" s="43">
        <v>170</v>
      </c>
      <c r="N33" s="43">
        <v>170</v>
      </c>
      <c r="O33" s="43">
        <v>170</v>
      </c>
      <c r="P33" s="43">
        <v>170</v>
      </c>
    </row>
    <row r="34" spans="1:16" outlineLevel="1" x14ac:dyDescent="0.15">
      <c r="D34" s="42"/>
      <c r="E34" s="42"/>
      <c r="F34" s="42"/>
      <c r="G34" s="43"/>
      <c r="H34" s="43"/>
      <c r="I34" s="43"/>
      <c r="J34" s="43"/>
      <c r="K34" s="43"/>
      <c r="L34" s="43"/>
      <c r="M34" s="43"/>
      <c r="N34" s="43"/>
      <c r="O34" s="43"/>
      <c r="P34" s="43"/>
    </row>
    <row r="35" spans="1:16" outlineLevel="1" x14ac:dyDescent="0.15">
      <c r="A35" s="2" t="s">
        <v>134</v>
      </c>
      <c r="D35" s="44" t="str">
        <f>IFERROR(D112/D78,"na")</f>
        <v>na</v>
      </c>
      <c r="E35" s="45">
        <f t="shared" ref="E35:F35" si="28">IFERROR(E112/E78,"na")</f>
        <v>5.0612044317369549E-2</v>
      </c>
      <c r="F35" s="45">
        <f t="shared" si="28"/>
        <v>4.3931336760600743E-2</v>
      </c>
      <c r="G35" s="41">
        <v>4.4999999999999998E-2</v>
      </c>
      <c r="H35" s="41">
        <v>4.4999999999999998E-2</v>
      </c>
      <c r="I35" s="41">
        <v>4.4999999999999998E-2</v>
      </c>
      <c r="J35" s="41">
        <v>4.4999999999999998E-2</v>
      </c>
      <c r="K35" s="41">
        <v>4.4999999999999998E-2</v>
      </c>
      <c r="L35" s="41">
        <v>4.4999999999999998E-2</v>
      </c>
      <c r="M35" s="41">
        <v>4.4999999999999998E-2</v>
      </c>
      <c r="N35" s="41">
        <v>4.4999999999999998E-2</v>
      </c>
      <c r="O35" s="41">
        <v>4.4999999999999998E-2</v>
      </c>
      <c r="P35" s="41">
        <v>4.4999999999999998E-2</v>
      </c>
    </row>
    <row r="36" spans="1:16" outlineLevel="1" x14ac:dyDescent="0.15">
      <c r="A36" s="2" t="s">
        <v>135</v>
      </c>
      <c r="D36" s="45">
        <f>D134/D78</f>
        <v>2.9961371429626314E-2</v>
      </c>
      <c r="E36" s="45">
        <f t="shared" ref="E36:F36" si="29">E134/E78</f>
        <v>3.0213545389563973E-2</v>
      </c>
      <c r="F36" s="45">
        <f t="shared" si="29"/>
        <v>3.1026453957146528E-2</v>
      </c>
      <c r="G36" s="41">
        <v>0.03</v>
      </c>
      <c r="H36" s="41">
        <v>0.03</v>
      </c>
      <c r="I36" s="41">
        <v>0.03</v>
      </c>
      <c r="J36" s="41">
        <v>0.03</v>
      </c>
      <c r="K36" s="41">
        <v>0.03</v>
      </c>
      <c r="L36" s="41">
        <v>0.03</v>
      </c>
      <c r="M36" s="41">
        <v>0.03</v>
      </c>
      <c r="N36" s="41">
        <v>0.03</v>
      </c>
      <c r="O36" s="41">
        <v>0.03</v>
      </c>
      <c r="P36" s="41">
        <v>0.03</v>
      </c>
    </row>
    <row r="37" spans="1:16" outlineLevel="1" x14ac:dyDescent="0.15">
      <c r="D37" s="45"/>
      <c r="E37" s="45"/>
      <c r="F37" s="45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 outlineLevel="1" x14ac:dyDescent="0.15">
      <c r="A38" s="2" t="s">
        <v>154</v>
      </c>
      <c r="D38" s="45"/>
      <c r="F38" s="45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 outlineLevel="1" x14ac:dyDescent="0.15">
      <c r="A39" s="13" t="s">
        <v>138</v>
      </c>
      <c r="B39" s="13"/>
      <c r="C39" s="13"/>
      <c r="D39" s="55"/>
      <c r="E39" s="55">
        <f>E232/$E$78</f>
        <v>0</v>
      </c>
      <c r="F39" s="55">
        <f>F232/$E$78</f>
        <v>1.4050214438884918E-2</v>
      </c>
      <c r="G39" s="56">
        <v>1.4E-2</v>
      </c>
      <c r="H39" s="56">
        <v>1.4E-2</v>
      </c>
      <c r="I39" s="56">
        <v>1.2E-2</v>
      </c>
      <c r="J39" s="56">
        <v>1.2E-2</v>
      </c>
      <c r="K39" s="56">
        <v>0.01</v>
      </c>
      <c r="L39" s="56">
        <v>0.01</v>
      </c>
      <c r="M39" s="56">
        <v>0.01</v>
      </c>
      <c r="N39" s="56">
        <v>0.01</v>
      </c>
      <c r="O39" s="56">
        <v>0.01</v>
      </c>
      <c r="P39" s="56">
        <v>0.01</v>
      </c>
    </row>
    <row r="40" spans="1:16" outlineLevel="1" x14ac:dyDescent="0.15">
      <c r="A40" s="2" t="s">
        <v>139</v>
      </c>
      <c r="D40" s="45"/>
      <c r="E40" s="45">
        <f>E233/$E$78</f>
        <v>3.7642959256611867E-2</v>
      </c>
      <c r="F40" s="45">
        <f>F233/$E$78</f>
        <v>9.3504288777698355E-2</v>
      </c>
      <c r="G40" s="41">
        <v>8.5000000000000006E-2</v>
      </c>
      <c r="H40" s="41">
        <v>7.0000000000000007E-2</v>
      </c>
      <c r="I40" s="41">
        <v>0.06</v>
      </c>
      <c r="J40" s="41">
        <v>0.05</v>
      </c>
      <c r="K40" s="41">
        <v>0.04</v>
      </c>
      <c r="L40" s="41">
        <v>0.04</v>
      </c>
      <c r="M40" s="41">
        <v>0.04</v>
      </c>
      <c r="N40" s="41">
        <v>0.04</v>
      </c>
      <c r="O40" s="41">
        <v>0.04</v>
      </c>
      <c r="P40" s="41">
        <v>0.04</v>
      </c>
    </row>
    <row r="41" spans="1:16" outlineLevel="1" x14ac:dyDescent="0.15">
      <c r="A41" s="2" t="s">
        <v>140</v>
      </c>
      <c r="D41" s="45"/>
      <c r="E41" s="45">
        <f>E234/$E$78</f>
        <v>2.3213009292351681E-2</v>
      </c>
      <c r="F41" s="45">
        <f>F234/$E$78</f>
        <v>1.7923516797712653E-2</v>
      </c>
      <c r="G41" s="41">
        <v>1.4999999999999999E-2</v>
      </c>
      <c r="H41" s="41">
        <v>1.4999999999999999E-2</v>
      </c>
      <c r="I41" s="41">
        <v>1.4999999999999999E-2</v>
      </c>
      <c r="J41" s="41">
        <v>1.4999999999999999E-2</v>
      </c>
      <c r="K41" s="41">
        <v>1.4999999999999999E-2</v>
      </c>
      <c r="L41" s="41">
        <v>1.4999999999999999E-2</v>
      </c>
      <c r="M41" s="41">
        <v>1.4999999999999999E-2</v>
      </c>
      <c r="N41" s="41">
        <v>1.4999999999999999E-2</v>
      </c>
      <c r="O41" s="41">
        <v>1.4999999999999999E-2</v>
      </c>
      <c r="P41" s="41">
        <v>1.4999999999999999E-2</v>
      </c>
    </row>
    <row r="42" spans="1:16" outlineLevel="1" x14ac:dyDescent="0.15">
      <c r="A42" s="2" t="s">
        <v>141</v>
      </c>
      <c r="D42" s="45"/>
      <c r="E42" s="45">
        <f>E235/$E$78</f>
        <v>4.5121515368120083E-4</v>
      </c>
      <c r="F42" s="45">
        <f>F235/$E$78</f>
        <v>3.4399571122230164E-4</v>
      </c>
      <c r="G42" s="41">
        <v>3.4399571122230164E-4</v>
      </c>
      <c r="H42" s="41">
        <v>3.4399571122230164E-4</v>
      </c>
      <c r="I42" s="41">
        <v>3.4399571122230164E-4</v>
      </c>
      <c r="J42" s="41">
        <v>3.4399571122230164E-4</v>
      </c>
      <c r="K42" s="41">
        <v>3.4399571122230164E-4</v>
      </c>
      <c r="L42" s="41">
        <v>3.4399571122230164E-4</v>
      </c>
      <c r="M42" s="41">
        <v>3.4399571122230164E-4</v>
      </c>
      <c r="N42" s="41">
        <v>3.4399571122230164E-4</v>
      </c>
      <c r="O42" s="41">
        <v>3.4399571122230164E-4</v>
      </c>
      <c r="P42" s="41">
        <v>3.4399571122230164E-4</v>
      </c>
    </row>
    <row r="43" spans="1:16" outlineLevel="1" x14ac:dyDescent="0.15">
      <c r="A43" s="2" t="s">
        <v>142</v>
      </c>
      <c r="D43" s="45"/>
      <c r="E43" s="45">
        <f>E236/$E$78</f>
        <v>2.1890636168691922E-3</v>
      </c>
      <c r="F43" s="45">
        <f>F236/$E$78</f>
        <v>3.0780914939242316E-3</v>
      </c>
      <c r="G43" s="41">
        <v>3.0000000000000001E-3</v>
      </c>
      <c r="H43" s="41">
        <v>3.0000000000000001E-3</v>
      </c>
      <c r="I43" s="41">
        <v>3.0000000000000001E-3</v>
      </c>
      <c r="J43" s="41">
        <v>3.0000000000000001E-3</v>
      </c>
      <c r="K43" s="41">
        <v>3.0000000000000001E-3</v>
      </c>
      <c r="L43" s="41">
        <v>3.0000000000000001E-3</v>
      </c>
      <c r="M43" s="41">
        <v>3.0000000000000001E-3</v>
      </c>
      <c r="N43" s="41">
        <v>3.0000000000000001E-3</v>
      </c>
      <c r="O43" s="41">
        <v>3.0000000000000001E-3</v>
      </c>
      <c r="P43" s="41">
        <v>3.0000000000000001E-3</v>
      </c>
    </row>
    <row r="44" spans="1:16" outlineLevel="1" x14ac:dyDescent="0.15">
      <c r="A44" s="2" t="s">
        <v>143</v>
      </c>
      <c r="D44" s="45"/>
      <c r="E44" s="45">
        <f>E237/$E$78</f>
        <v>1.1436740528949249E-3</v>
      </c>
      <c r="F44" s="45">
        <f>F237/$E$78</f>
        <v>2.0416368834882057E-3</v>
      </c>
      <c r="G44" s="41">
        <v>2E-3</v>
      </c>
      <c r="H44" s="41">
        <v>2E-3</v>
      </c>
      <c r="I44" s="41">
        <v>2E-3</v>
      </c>
      <c r="J44" s="41">
        <v>2E-3</v>
      </c>
      <c r="K44" s="41">
        <v>2E-3</v>
      </c>
      <c r="L44" s="41">
        <v>2E-3</v>
      </c>
      <c r="M44" s="41">
        <v>2E-3</v>
      </c>
      <c r="N44" s="41">
        <v>2E-3</v>
      </c>
      <c r="O44" s="41">
        <v>2E-3</v>
      </c>
      <c r="P44" s="41">
        <v>2E-3</v>
      </c>
    </row>
    <row r="45" spans="1:16" outlineLevel="1" x14ac:dyDescent="0.15">
      <c r="D45" s="45"/>
      <c r="E45" s="45"/>
      <c r="F45" s="45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 outlineLevel="1" x14ac:dyDescent="0.15">
      <c r="A46" s="2" t="s">
        <v>155</v>
      </c>
      <c r="D46" s="45"/>
      <c r="F46" s="45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 outlineLevel="1" x14ac:dyDescent="0.15">
      <c r="A47" s="13" t="s">
        <v>138</v>
      </c>
      <c r="B47" s="13"/>
      <c r="C47" s="13"/>
      <c r="D47" s="55"/>
      <c r="E47" s="55">
        <f>E241/E223</f>
        <v>7.3825503355704702E-2</v>
      </c>
      <c r="F47" s="55">
        <f t="shared" ref="F47:F52" si="30">F241/F223</f>
        <v>7.8743961352657002E-2</v>
      </c>
      <c r="G47" s="56">
        <v>7.4999999999999997E-2</v>
      </c>
      <c r="H47" s="56">
        <v>7.4999999999999997E-2</v>
      </c>
      <c r="I47" s="56">
        <v>7.4999999999999997E-2</v>
      </c>
      <c r="J47" s="56">
        <v>7.4999999999999997E-2</v>
      </c>
      <c r="K47" s="56">
        <v>7.4999999999999997E-2</v>
      </c>
      <c r="L47" s="56">
        <v>7.4999999999999997E-2</v>
      </c>
      <c r="M47" s="56">
        <v>7.4999999999999997E-2</v>
      </c>
      <c r="N47" s="56">
        <v>7.4999999999999997E-2</v>
      </c>
      <c r="O47" s="56">
        <v>7.4999999999999997E-2</v>
      </c>
      <c r="P47" s="56">
        <v>7.4999999999999997E-2</v>
      </c>
    </row>
    <row r="48" spans="1:16" outlineLevel="1" x14ac:dyDescent="0.15">
      <c r="A48" s="2" t="s">
        <v>139</v>
      </c>
      <c r="D48" s="45"/>
      <c r="E48" s="45">
        <f t="shared" ref="E48" si="31">E242/E224</f>
        <v>0.85362014690451204</v>
      </c>
      <c r="F48" s="45">
        <f t="shared" si="30"/>
        <v>0.58770568146538338</v>
      </c>
      <c r="G48" s="41">
        <v>0.57999999999999996</v>
      </c>
      <c r="H48" s="41">
        <v>0.57999999999999996</v>
      </c>
      <c r="I48" s="41">
        <v>0.4</v>
      </c>
      <c r="J48" s="41">
        <v>0.4</v>
      </c>
      <c r="K48" s="41">
        <v>0.4</v>
      </c>
      <c r="L48" s="41">
        <v>0.4</v>
      </c>
      <c r="M48" s="41">
        <v>0.4</v>
      </c>
      <c r="N48" s="41">
        <v>0.4</v>
      </c>
      <c r="O48" s="41">
        <v>0.4</v>
      </c>
      <c r="P48" s="41">
        <v>0.4</v>
      </c>
    </row>
    <row r="49" spans="1:16" outlineLevel="1" x14ac:dyDescent="0.15">
      <c r="A49" s="2" t="s">
        <v>140</v>
      </c>
      <c r="D49" s="45"/>
      <c r="E49" s="45">
        <f t="shared" ref="E49" si="32">E243/E225</f>
        <v>0.62715432179976316</v>
      </c>
      <c r="F49" s="45">
        <f t="shared" si="30"/>
        <v>0.6033761160714286</v>
      </c>
      <c r="G49" s="41">
        <v>0.6</v>
      </c>
      <c r="H49" s="41">
        <v>0.6</v>
      </c>
      <c r="I49" s="41">
        <v>0.6</v>
      </c>
      <c r="J49" s="41">
        <v>0.6</v>
      </c>
      <c r="K49" s="41">
        <v>0.6</v>
      </c>
      <c r="L49" s="41">
        <v>0.6</v>
      </c>
      <c r="M49" s="41">
        <v>0.6</v>
      </c>
      <c r="N49" s="41">
        <v>0.6</v>
      </c>
      <c r="O49" s="41">
        <v>0.6</v>
      </c>
      <c r="P49" s="41">
        <v>0.6</v>
      </c>
    </row>
    <row r="50" spans="1:16" outlineLevel="1" x14ac:dyDescent="0.15">
      <c r="A50" s="2" t="s">
        <v>141</v>
      </c>
      <c r="D50" s="45"/>
      <c r="E50" s="45">
        <f t="shared" ref="E50" si="33">E244/E226</f>
        <v>0.36666666666666664</v>
      </c>
      <c r="F50" s="45">
        <f t="shared" si="30"/>
        <v>0.51976573938506587</v>
      </c>
      <c r="G50" s="41">
        <v>0.45</v>
      </c>
      <c r="H50" s="41">
        <v>0.45</v>
      </c>
      <c r="I50" s="41">
        <v>0.45</v>
      </c>
      <c r="J50" s="41">
        <v>0.4</v>
      </c>
      <c r="K50" s="41">
        <v>0.4</v>
      </c>
      <c r="L50" s="41">
        <v>0.4</v>
      </c>
      <c r="M50" s="41">
        <v>0.4</v>
      </c>
      <c r="N50" s="41">
        <v>0.4</v>
      </c>
      <c r="O50" s="41">
        <v>0.4</v>
      </c>
      <c r="P50" s="41">
        <v>0.4</v>
      </c>
    </row>
    <row r="51" spans="1:16" outlineLevel="1" x14ac:dyDescent="0.15">
      <c r="A51" s="2" t="s">
        <v>142</v>
      </c>
      <c r="D51" s="45"/>
      <c r="E51" s="45">
        <f t="shared" ref="E51" si="34">E245/E227</f>
        <v>0.5509615384615385</v>
      </c>
      <c r="F51" s="45">
        <f t="shared" si="30"/>
        <v>0.74476439790575921</v>
      </c>
      <c r="G51" s="41">
        <v>0.75</v>
      </c>
      <c r="H51" s="41">
        <v>0.75</v>
      </c>
      <c r="I51" s="41">
        <v>0.7</v>
      </c>
      <c r="J51" s="41">
        <v>0.7</v>
      </c>
      <c r="K51" s="41">
        <v>0.7</v>
      </c>
      <c r="L51" s="41">
        <v>0.7</v>
      </c>
      <c r="M51" s="41">
        <v>0.7</v>
      </c>
      <c r="N51" s="41">
        <v>0.7</v>
      </c>
      <c r="O51" s="41">
        <v>0.7</v>
      </c>
      <c r="P51" s="41">
        <v>0.7</v>
      </c>
    </row>
    <row r="52" spans="1:16" outlineLevel="1" x14ac:dyDescent="0.15">
      <c r="A52" s="2" t="s">
        <v>143</v>
      </c>
      <c r="D52" s="45"/>
      <c r="E52" s="45">
        <f t="shared" ref="E52" si="35">E246/E228</f>
        <v>0.37814465408805031</v>
      </c>
      <c r="F52" s="45">
        <f t="shared" si="30"/>
        <v>0.48695652173913045</v>
      </c>
      <c r="G52" s="41">
        <v>0.48</v>
      </c>
      <c r="H52" s="41">
        <v>0.48</v>
      </c>
      <c r="I52" s="41">
        <v>0.48</v>
      </c>
      <c r="J52" s="41">
        <v>0.48</v>
      </c>
      <c r="K52" s="41">
        <v>0.48</v>
      </c>
      <c r="L52" s="41">
        <v>0.48</v>
      </c>
      <c r="M52" s="41">
        <v>0.48</v>
      </c>
      <c r="N52" s="41">
        <v>0.48</v>
      </c>
      <c r="O52" s="41">
        <v>0.48</v>
      </c>
      <c r="P52" s="41">
        <v>0.48</v>
      </c>
    </row>
    <row r="53" spans="1:16" outlineLevel="1" x14ac:dyDescent="0.15">
      <c r="D53" s="45"/>
      <c r="E53" s="45"/>
      <c r="F53" s="45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 outlineLevel="1" x14ac:dyDescent="0.15">
      <c r="A54" s="2" t="s">
        <v>165</v>
      </c>
      <c r="D54" s="45"/>
      <c r="E54" s="45"/>
      <c r="F54" s="45">
        <f>F280/F278</f>
        <v>0.4905892483700332</v>
      </c>
      <c r="G54" s="41">
        <v>0.5</v>
      </c>
      <c r="H54" s="41">
        <v>0.5</v>
      </c>
      <c r="I54" s="41">
        <v>0.5</v>
      </c>
      <c r="J54" s="41">
        <v>0.5</v>
      </c>
      <c r="K54" s="41">
        <v>0.5</v>
      </c>
      <c r="L54" s="41">
        <v>0.5</v>
      </c>
      <c r="M54" s="41">
        <v>0.5</v>
      </c>
      <c r="N54" s="41">
        <v>0.5</v>
      </c>
      <c r="O54" s="41">
        <v>0.5</v>
      </c>
      <c r="P54" s="41">
        <v>0.5</v>
      </c>
    </row>
    <row r="55" spans="1:16" outlineLevel="1" x14ac:dyDescent="0.15">
      <c r="A55" s="2" t="s">
        <v>166</v>
      </c>
      <c r="D55" s="45"/>
      <c r="E55" s="45"/>
      <c r="F55" s="45">
        <f>F279/F78</f>
        <v>0.46933353543263989</v>
      </c>
      <c r="G55" s="41">
        <v>0.1</v>
      </c>
      <c r="H55" s="41">
        <v>0.1</v>
      </c>
      <c r="I55" s="41">
        <v>0.1</v>
      </c>
      <c r="J55" s="41">
        <v>0.1</v>
      </c>
      <c r="K55" s="41">
        <v>0.1</v>
      </c>
      <c r="L55" s="41">
        <v>0.1</v>
      </c>
      <c r="M55" s="41">
        <v>0.1</v>
      </c>
      <c r="N55" s="41">
        <v>0.1</v>
      </c>
      <c r="O55" s="41">
        <v>0.1</v>
      </c>
      <c r="P55" s="41">
        <v>0.1</v>
      </c>
    </row>
    <row r="56" spans="1:16" outlineLevel="1" x14ac:dyDescent="0.15">
      <c r="A56" s="2" t="s">
        <v>169</v>
      </c>
      <c r="D56" s="45"/>
      <c r="E56" s="45"/>
      <c r="F56" s="45">
        <f>-F204/F295</f>
        <v>0.50300882745486764</v>
      </c>
      <c r="G56" s="41">
        <v>0.5</v>
      </c>
      <c r="H56" s="41">
        <v>0.5</v>
      </c>
      <c r="I56" s="41">
        <v>0.5</v>
      </c>
      <c r="J56" s="41">
        <v>0.5</v>
      </c>
      <c r="K56" s="41">
        <v>0.5</v>
      </c>
      <c r="L56" s="41">
        <v>0.5</v>
      </c>
      <c r="M56" s="41">
        <v>0.5</v>
      </c>
      <c r="N56" s="41">
        <v>0.5</v>
      </c>
      <c r="O56" s="41">
        <v>0.5</v>
      </c>
      <c r="P56" s="41">
        <v>0.5</v>
      </c>
    </row>
    <row r="57" spans="1:16" outlineLevel="1" x14ac:dyDescent="0.15">
      <c r="A57" s="2" t="s">
        <v>179</v>
      </c>
      <c r="D57" s="45"/>
      <c r="E57" s="45"/>
      <c r="F57" s="45">
        <f>F127/SUM(F127,F135)</f>
        <v>0.34967741222129467</v>
      </c>
      <c r="G57" s="45">
        <f>F57</f>
        <v>0.34967741222129467</v>
      </c>
      <c r="H57" s="45">
        <f t="shared" ref="H57:P57" si="36">G57</f>
        <v>0.34967741222129467</v>
      </c>
      <c r="I57" s="45">
        <f t="shared" si="36"/>
        <v>0.34967741222129467</v>
      </c>
      <c r="J57" s="45">
        <f t="shared" si="36"/>
        <v>0.34967741222129467</v>
      </c>
      <c r="K57" s="45">
        <f t="shared" si="36"/>
        <v>0.34967741222129467</v>
      </c>
      <c r="L57" s="45">
        <f t="shared" si="36"/>
        <v>0.34967741222129467</v>
      </c>
      <c r="M57" s="45">
        <f t="shared" si="36"/>
        <v>0.34967741222129467</v>
      </c>
      <c r="N57" s="45">
        <f t="shared" si="36"/>
        <v>0.34967741222129467</v>
      </c>
      <c r="O57" s="45">
        <f t="shared" si="36"/>
        <v>0.34967741222129467</v>
      </c>
      <c r="P57" s="45">
        <f t="shared" si="36"/>
        <v>0.34967741222129467</v>
      </c>
    </row>
    <row r="58" spans="1:16" outlineLevel="1" x14ac:dyDescent="0.15"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</row>
    <row r="59" spans="1:16" outlineLevel="1" x14ac:dyDescent="0.15">
      <c r="A59" s="2" t="s">
        <v>188</v>
      </c>
      <c r="D59" s="45"/>
      <c r="E59" s="45">
        <f>E270/E78</f>
        <v>1.7423159399571123E-2</v>
      </c>
      <c r="F59" s="45">
        <f>F270/F78</f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</row>
    <row r="60" spans="1:16" outlineLevel="1" x14ac:dyDescent="0.15">
      <c r="A60" s="2" t="s">
        <v>189</v>
      </c>
      <c r="D60" s="45"/>
      <c r="E60" s="45">
        <f>E271/E269</f>
        <v>6.1061061061061059E-2</v>
      </c>
      <c r="F60" s="45">
        <f>F271/F269</f>
        <v>6.0733745005448599E-2</v>
      </c>
      <c r="G60" s="45">
        <v>0.06</v>
      </c>
      <c r="H60" s="45">
        <v>0.06</v>
      </c>
      <c r="I60" s="45">
        <v>0.06</v>
      </c>
      <c r="J60" s="45">
        <v>0.06</v>
      </c>
      <c r="K60" s="45">
        <v>0.06</v>
      </c>
      <c r="L60" s="45">
        <v>0.06</v>
      </c>
      <c r="M60" s="45">
        <v>0.06</v>
      </c>
      <c r="N60" s="45">
        <v>0.06</v>
      </c>
      <c r="O60" s="45">
        <v>0.06</v>
      </c>
      <c r="P60" s="45">
        <v>0.06</v>
      </c>
    </row>
    <row r="61" spans="1:16" outlineLevel="1" x14ac:dyDescent="0.15">
      <c r="A61" s="2" t="s">
        <v>190</v>
      </c>
      <c r="D61" s="45"/>
      <c r="E61" s="45"/>
      <c r="F61" s="45">
        <f>F286/F78</f>
        <v>3.6445241613931381E-2</v>
      </c>
      <c r="G61" s="45">
        <v>3.5000000000000003E-2</v>
      </c>
      <c r="H61" s="45">
        <v>3.2500000000000001E-2</v>
      </c>
      <c r="I61" s="45">
        <v>0.03</v>
      </c>
      <c r="J61" s="45">
        <v>2.5000000000000001E-2</v>
      </c>
      <c r="K61" s="45">
        <v>0.02</v>
      </c>
      <c r="L61" s="45">
        <v>0.02</v>
      </c>
      <c r="M61" s="45">
        <v>0.02</v>
      </c>
      <c r="N61" s="45">
        <v>0.02</v>
      </c>
      <c r="O61" s="45">
        <v>1.7500000000000002E-2</v>
      </c>
      <c r="P61" s="45">
        <v>1.4999999999999999E-2</v>
      </c>
    </row>
    <row r="62" spans="1:16" outlineLevel="1" x14ac:dyDescent="0.15">
      <c r="A62" s="2" t="s">
        <v>191</v>
      </c>
      <c r="D62" s="45"/>
      <c r="E62" s="45" t="s">
        <v>192</v>
      </c>
      <c r="F62" s="45" t="s">
        <v>192</v>
      </c>
      <c r="G62" s="70">
        <v>0.4</v>
      </c>
      <c r="H62" s="70">
        <v>0.4</v>
      </c>
      <c r="I62" s="70">
        <v>0.4</v>
      </c>
      <c r="J62" s="70">
        <v>0.4</v>
      </c>
      <c r="K62" s="70">
        <v>0.4</v>
      </c>
      <c r="L62" s="70">
        <v>0.4</v>
      </c>
      <c r="M62" s="70">
        <v>0.4</v>
      </c>
      <c r="N62" s="70">
        <v>0.4</v>
      </c>
      <c r="O62" s="70">
        <v>0.4</v>
      </c>
      <c r="P62" s="70">
        <v>0.4</v>
      </c>
    </row>
    <row r="63" spans="1:16" outlineLevel="1" x14ac:dyDescent="0.15">
      <c r="A63" s="2" t="s">
        <v>170</v>
      </c>
      <c r="D63" s="45"/>
      <c r="E63" s="45"/>
      <c r="F63" s="45">
        <f>F302/AVERAGE(E298:F298)</f>
        <v>2.5824908415425042E-2</v>
      </c>
      <c r="G63" s="41">
        <v>2.58E-2</v>
      </c>
      <c r="H63" s="41">
        <v>2.58E-2</v>
      </c>
      <c r="I63" s="41">
        <v>2.58E-2</v>
      </c>
      <c r="J63" s="41">
        <v>2.58E-2</v>
      </c>
      <c r="K63" s="41">
        <v>2.58E-2</v>
      </c>
      <c r="L63" s="41">
        <v>2.58E-2</v>
      </c>
      <c r="M63" s="41">
        <v>2.58E-2</v>
      </c>
      <c r="N63" s="41">
        <v>2.58E-2</v>
      </c>
      <c r="O63" s="41">
        <v>2.58E-2</v>
      </c>
      <c r="P63" s="41">
        <v>2.58E-2</v>
      </c>
    </row>
    <row r="64" spans="1:16" outlineLevel="1" x14ac:dyDescent="0.15">
      <c r="D64" s="45"/>
      <c r="E64" s="45"/>
      <c r="F64" s="45"/>
      <c r="G64" s="41"/>
      <c r="H64" s="41"/>
      <c r="I64" s="41"/>
      <c r="J64" s="41"/>
      <c r="K64" s="41"/>
      <c r="L64" s="41"/>
      <c r="M64" s="41"/>
      <c r="N64" s="41"/>
      <c r="O64" s="41"/>
      <c r="P64" s="41"/>
    </row>
    <row r="65" spans="1:16" outlineLevel="1" x14ac:dyDescent="0.15">
      <c r="A65" s="2" t="s">
        <v>173</v>
      </c>
      <c r="D65" s="45"/>
      <c r="E65" s="45">
        <f>E325/AVERAGE(D323:E323)</f>
        <v>2.2657685241886098E-2</v>
      </c>
      <c r="F65" s="45">
        <f>F325/AVERAGE(E323:F323)</f>
        <v>3.2444959443800693E-2</v>
      </c>
      <c r="G65" s="41">
        <v>0.03</v>
      </c>
      <c r="H65" s="41">
        <v>0.03</v>
      </c>
      <c r="I65" s="41">
        <v>0.03</v>
      </c>
      <c r="J65" s="41">
        <v>0.03</v>
      </c>
      <c r="K65" s="41">
        <v>0.03</v>
      </c>
      <c r="L65" s="41">
        <v>0.03</v>
      </c>
      <c r="M65" s="41">
        <v>0.03</v>
      </c>
      <c r="N65" s="41">
        <v>0.03</v>
      </c>
      <c r="O65" s="41">
        <v>0.03</v>
      </c>
      <c r="P65" s="41">
        <v>0.03</v>
      </c>
    </row>
    <row r="66" spans="1:16" outlineLevel="1" x14ac:dyDescent="0.15">
      <c r="A66" s="2" t="s">
        <v>174</v>
      </c>
      <c r="D66" s="45"/>
      <c r="E66" s="64">
        <f>E323-D323</f>
        <v>3018</v>
      </c>
      <c r="F66" s="64">
        <f>F323-E323</f>
        <v>-57</v>
      </c>
      <c r="G66" s="65">
        <v>0</v>
      </c>
      <c r="H66" s="65">
        <v>0</v>
      </c>
      <c r="I66" s="65">
        <v>0</v>
      </c>
      <c r="J66" s="65">
        <v>0</v>
      </c>
      <c r="K66" s="65">
        <v>0</v>
      </c>
      <c r="L66" s="65">
        <v>0</v>
      </c>
      <c r="M66" s="65">
        <v>0</v>
      </c>
      <c r="N66" s="65">
        <v>0</v>
      </c>
      <c r="O66" s="65">
        <v>0</v>
      </c>
      <c r="P66" s="65">
        <v>0</v>
      </c>
    </row>
    <row r="67" spans="1:16" outlineLevel="1" x14ac:dyDescent="0.15">
      <c r="A67" s="2" t="s">
        <v>177</v>
      </c>
      <c r="D67" s="45"/>
      <c r="E67" s="45"/>
      <c r="F67" s="36">
        <f>F333/AVERAGE(E331:F331)</f>
        <v>5.2995780590717301E-2</v>
      </c>
      <c r="G67" s="41">
        <v>5.2999999999999999E-2</v>
      </c>
      <c r="H67" s="41">
        <v>5.2999999999999999E-2</v>
      </c>
      <c r="I67" s="41">
        <v>5.2999999999999999E-2</v>
      </c>
      <c r="J67" s="41">
        <v>5.2999999999999999E-2</v>
      </c>
      <c r="K67" s="41">
        <v>5.2999999999999999E-2</v>
      </c>
      <c r="L67" s="41">
        <v>5.2999999999999999E-2</v>
      </c>
      <c r="M67" s="41">
        <v>5.2999999999999999E-2</v>
      </c>
      <c r="N67" s="41">
        <v>5.2999999999999999E-2</v>
      </c>
      <c r="O67" s="41">
        <v>5.2999999999999999E-2</v>
      </c>
      <c r="P67" s="41">
        <v>5.2999999999999999E-2</v>
      </c>
    </row>
    <row r="68" spans="1:16" outlineLevel="1" x14ac:dyDescent="0.15">
      <c r="A68" s="2" t="s">
        <v>197</v>
      </c>
      <c r="D68" s="45"/>
      <c r="E68" s="45"/>
      <c r="F68" s="36"/>
      <c r="G68" s="65">
        <v>0</v>
      </c>
      <c r="H68" s="65">
        <v>0</v>
      </c>
      <c r="I68" s="65">
        <v>0</v>
      </c>
      <c r="J68" s="65">
        <v>0</v>
      </c>
      <c r="K68" s="65">
        <v>0</v>
      </c>
      <c r="L68" s="65">
        <v>0</v>
      </c>
      <c r="M68" s="65">
        <v>0</v>
      </c>
      <c r="N68" s="65">
        <v>0</v>
      </c>
      <c r="O68" s="65">
        <v>0</v>
      </c>
      <c r="P68" s="65">
        <v>0</v>
      </c>
    </row>
    <row r="69" spans="1:16" x14ac:dyDescent="0.15">
      <c r="A69" s="2" t="s">
        <v>196</v>
      </c>
      <c r="E69" s="64"/>
      <c r="F69" s="64"/>
      <c r="G69" s="65">
        <v>110</v>
      </c>
      <c r="H69" s="65">
        <v>0</v>
      </c>
      <c r="I69" s="65">
        <v>0</v>
      </c>
      <c r="J69" s="65">
        <v>0</v>
      </c>
      <c r="K69" s="65">
        <v>0</v>
      </c>
      <c r="L69" s="65">
        <v>0</v>
      </c>
      <c r="M69" s="65">
        <v>0</v>
      </c>
      <c r="N69" s="65">
        <v>0</v>
      </c>
      <c r="O69" s="65">
        <v>0</v>
      </c>
      <c r="P69" s="65">
        <v>0</v>
      </c>
    </row>
    <row r="70" spans="1:16" x14ac:dyDescent="0.15"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6" x14ac:dyDescent="0.15">
      <c r="A71" s="2" t="s">
        <v>182</v>
      </c>
      <c r="E71" s="64">
        <f>E143-D143</f>
        <v>43961</v>
      </c>
      <c r="F71" s="64">
        <f>F143-E143</f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</row>
    <row r="72" spans="1:16" x14ac:dyDescent="0.15">
      <c r="A72" s="2" t="s">
        <v>183</v>
      </c>
      <c r="E72" s="64">
        <f>E144-D144</f>
        <v>0</v>
      </c>
      <c r="F72" s="64">
        <f>F144-E144</f>
        <v>-240</v>
      </c>
      <c r="G72" s="64">
        <v>0</v>
      </c>
      <c r="H72" s="64">
        <v>0</v>
      </c>
      <c r="I72" s="64"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</row>
    <row r="73" spans="1:16" x14ac:dyDescent="0.15">
      <c r="A73" s="2" t="s">
        <v>181</v>
      </c>
      <c r="D73" s="17"/>
      <c r="E73" s="65"/>
      <c r="F73" s="36">
        <f>F98/E98-1</f>
        <v>-0.32362065145136276</v>
      </c>
      <c r="G73" s="36">
        <v>-0.1</v>
      </c>
      <c r="H73" s="36">
        <v>-0.05</v>
      </c>
      <c r="I73" s="36">
        <v>0.04</v>
      </c>
      <c r="J73" s="36">
        <v>0.04</v>
      </c>
      <c r="K73" s="36">
        <v>0.03</v>
      </c>
      <c r="L73" s="36">
        <v>0.01</v>
      </c>
      <c r="M73" s="36">
        <v>1.4999999999999999E-2</v>
      </c>
      <c r="N73" s="36">
        <v>1.4999999999999999E-2</v>
      </c>
      <c r="O73" s="36">
        <v>1.4999999999999999E-2</v>
      </c>
      <c r="P73" s="36">
        <v>1.4999999999999999E-2</v>
      </c>
    </row>
    <row r="74" spans="1:16" x14ac:dyDescent="0.15"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</row>
    <row r="76" spans="1:16" x14ac:dyDescent="0.15">
      <c r="A76" s="4" t="s">
        <v>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outlineLevel="1" x14ac:dyDescent="0.15"/>
    <row r="78" spans="1:16" outlineLevel="1" x14ac:dyDescent="0.15">
      <c r="A78" s="2" t="s">
        <v>6</v>
      </c>
      <c r="D78" s="24">
        <v>216679</v>
      </c>
      <c r="E78" s="24">
        <v>223840</v>
      </c>
      <c r="F78" s="24">
        <v>237507</v>
      </c>
      <c r="G78" s="19">
        <f>F78*(1+G11)</f>
        <v>237507</v>
      </c>
      <c r="H78" s="19">
        <f>G78*(1+H11)</f>
        <v>243444.67499999999</v>
      </c>
      <c r="I78" s="19">
        <f>H78*(1+I11)</f>
        <v>262920.24900000001</v>
      </c>
      <c r="J78" s="19">
        <f>I78*(1+J11)</f>
        <v>276066.26145000005</v>
      </c>
      <c r="K78" s="19">
        <f>J78*(1+K11)</f>
        <v>288489.24321525003</v>
      </c>
      <c r="L78" s="19">
        <f>K78*(1+L11)</f>
        <v>300028.81294386002</v>
      </c>
      <c r="M78" s="19">
        <f>L78*(1+M11)</f>
        <v>312029.96546161443</v>
      </c>
      <c r="N78" s="19">
        <f>M78*(1+N11)</f>
        <v>322951.01425277092</v>
      </c>
      <c r="O78" s="19">
        <f>N78*(1+O11)</f>
        <v>334254.29975161789</v>
      </c>
      <c r="P78" s="19">
        <f>O78*(1+P11)</f>
        <v>345953.2002429245</v>
      </c>
    </row>
    <row r="79" spans="1:16" outlineLevel="1" x14ac:dyDescent="0.15">
      <c r="A79" s="2" t="s">
        <v>7</v>
      </c>
      <c r="D79" s="24">
        <v>4051</v>
      </c>
      <c r="E79" s="24">
        <v>5331</v>
      </c>
      <c r="F79" s="24">
        <v>5723</v>
      </c>
      <c r="G79" s="19">
        <f>G$78*G12</f>
        <v>3562.605</v>
      </c>
      <c r="H79" s="19">
        <f>H$78*H12</f>
        <v>3651.6701249999996</v>
      </c>
      <c r="I79" s="19">
        <f>I$78*I12</f>
        <v>5258.4049800000003</v>
      </c>
      <c r="J79" s="19">
        <f>J$78*J12</f>
        <v>5521.3252290000009</v>
      </c>
      <c r="K79" s="19">
        <f>K$78*K12</f>
        <v>7212.2310803812506</v>
      </c>
      <c r="L79" s="19">
        <f>L$78*L12</f>
        <v>7500.7203235965007</v>
      </c>
      <c r="M79" s="19">
        <f>M$78*M12</f>
        <v>7800.7491365403612</v>
      </c>
      <c r="N79" s="19">
        <f>N$78*N12</f>
        <v>8073.7753563192737</v>
      </c>
      <c r="O79" s="19">
        <f>O$78*O12</f>
        <v>8356.3574937904468</v>
      </c>
      <c r="P79" s="19">
        <f>P$78*P12</f>
        <v>8648.8300060731126</v>
      </c>
    </row>
    <row r="80" spans="1:16" outlineLevel="1" x14ac:dyDescent="0.15">
      <c r="A80" s="2" t="s">
        <v>8</v>
      </c>
      <c r="D80" s="24">
        <v>-35414</v>
      </c>
      <c r="E80" s="24">
        <v>-35063</v>
      </c>
      <c r="F80" s="24">
        <v>-36917</v>
      </c>
      <c r="G80" s="19">
        <f>-G$78*G13</f>
        <v>-36813.584999999999</v>
      </c>
      <c r="H80" s="19">
        <f>-H$78*H13</f>
        <v>-37733.924625</v>
      </c>
      <c r="I80" s="19">
        <f>-I$78*I13</f>
        <v>-40095.337972499998</v>
      </c>
      <c r="J80" s="19">
        <f>-J$78*J13</f>
        <v>-42100.104871125004</v>
      </c>
      <c r="K80" s="19">
        <f>-K$78*K13</f>
        <v>-43994.609590325628</v>
      </c>
      <c r="L80" s="19">
        <f>-L$78*L13</f>
        <v>-45004.321941579001</v>
      </c>
      <c r="M80" s="19">
        <f>-M$78*M13</f>
        <v>-46804.494819242165</v>
      </c>
      <c r="N80" s="19">
        <f>-N$78*N13</f>
        <v>-48442.65213791564</v>
      </c>
      <c r="O80" s="19">
        <f>-O$78*O13</f>
        <v>-46795.601965226509</v>
      </c>
      <c r="P80" s="19">
        <f>-P$78*P13</f>
        <v>-48433.448034009438</v>
      </c>
    </row>
    <row r="81" spans="1:16" outlineLevel="1" x14ac:dyDescent="0.15">
      <c r="A81" s="2" t="s">
        <v>9</v>
      </c>
      <c r="D81" s="24">
        <v>-37192</v>
      </c>
      <c r="E81" s="24">
        <v>-36894</v>
      </c>
      <c r="F81" s="24">
        <v>-39901</v>
      </c>
      <c r="G81" s="19">
        <f>-G$78*G14</f>
        <v>-39188.654999999999</v>
      </c>
      <c r="H81" s="19">
        <f>-H$78*H14</f>
        <v>-40168.371375000002</v>
      </c>
      <c r="I81" s="19">
        <f>-I$78*I14</f>
        <v>-42724.540462500001</v>
      </c>
      <c r="J81" s="19">
        <f>-J$78*J14</f>
        <v>-44170.601832000008</v>
      </c>
      <c r="K81" s="19">
        <f>-K$78*K14</f>
        <v>-45581.300428009505</v>
      </c>
      <c r="L81" s="19">
        <f>-L$78*L14</f>
        <v>-46504.466006298302</v>
      </c>
      <c r="M81" s="19">
        <f>-M$78*M14</f>
        <v>-48364.644646550238</v>
      </c>
      <c r="N81" s="19">
        <f>-N$78*N14</f>
        <v>-48442.65213791564</v>
      </c>
      <c r="O81" s="19">
        <f>-O$78*O14</f>
        <v>-50138.144962742685</v>
      </c>
      <c r="P81" s="19">
        <f>-P$78*P14</f>
        <v>-51892.980036438676</v>
      </c>
    </row>
    <row r="82" spans="1:16" outlineLevel="1" x14ac:dyDescent="0.15">
      <c r="A82" s="14" t="s">
        <v>23</v>
      </c>
      <c r="B82" s="14"/>
      <c r="C82" s="14"/>
      <c r="D82" s="26">
        <f>SUM(D78:D81)</f>
        <v>148124</v>
      </c>
      <c r="E82" s="26">
        <f>SUM(E78:E81)</f>
        <v>157214</v>
      </c>
      <c r="F82" s="26">
        <f>SUM(F78:F81)</f>
        <v>166412</v>
      </c>
      <c r="G82" s="26">
        <f>SUM(G78:G81)</f>
        <v>165067.36500000002</v>
      </c>
      <c r="H82" s="26">
        <f t="shared" ref="H82:K82" si="37">SUM(H78:H81)</f>
        <v>169194.04912500002</v>
      </c>
      <c r="I82" s="26">
        <f t="shared" si="37"/>
        <v>185358.77554499998</v>
      </c>
      <c r="J82" s="26">
        <f t="shared" si="37"/>
        <v>195316.87997587502</v>
      </c>
      <c r="K82" s="26">
        <f t="shared" si="37"/>
        <v>206125.56427729616</v>
      </c>
      <c r="L82" s="26">
        <f t="shared" ref="L82" si="38">SUM(L78:L81)</f>
        <v>216020.7453195792</v>
      </c>
      <c r="M82" s="26">
        <f t="shared" ref="M82" si="39">SUM(M78:M81)</f>
        <v>224661.57513236237</v>
      </c>
      <c r="N82" s="26">
        <f t="shared" ref="N82" si="40">SUM(N78:N81)</f>
        <v>234139.4853332589</v>
      </c>
      <c r="O82" s="26">
        <f t="shared" ref="O82" si="41">SUM(O78:O81)</f>
        <v>245676.91031743912</v>
      </c>
      <c r="P82" s="26">
        <f t="shared" ref="P82" si="42">SUM(P78:P81)</f>
        <v>254275.60217854951</v>
      </c>
    </row>
    <row r="83" spans="1:16" outlineLevel="1" x14ac:dyDescent="0.15">
      <c r="A83" s="2" t="s">
        <v>22</v>
      </c>
      <c r="D83" s="24">
        <v>-8970</v>
      </c>
      <c r="E83" s="24">
        <v>-11851</v>
      </c>
      <c r="F83" s="24">
        <v>-76551</v>
      </c>
      <c r="G83" s="19">
        <f>-(G313+G287+G271)</f>
        <v>-109271.41999999998</v>
      </c>
      <c r="H83" s="19">
        <f>-(H313+H287+H271)</f>
        <v>-83772.225445223376</v>
      </c>
      <c r="I83" s="19">
        <f>-(I313+I287+I271)</f>
        <v>-64003.619556626807</v>
      </c>
      <c r="J83" s="19">
        <f>-(J313+J287+J271)</f>
        <v>-60033.891199194797</v>
      </c>
      <c r="K83" s="19">
        <f>-(K313+K287+K271)</f>
        <v>-57947.202433339306</v>
      </c>
      <c r="L83" s="19">
        <f>-(L313+L287+L271)</f>
        <v>-56327.250583733607</v>
      </c>
      <c r="M83" s="19">
        <f>-(M313+M287+M271)</f>
        <v>-56404.923945895833</v>
      </c>
      <c r="N83" s="19">
        <f>-(N313+N287+N271)</f>
        <v>-57452.937731432517</v>
      </c>
      <c r="O83" s="19">
        <f>-(O313+O287+O271)</f>
        <v>-58941.424341743092</v>
      </c>
      <c r="P83" s="19">
        <f>-(P313+P287+P271)</f>
        <v>-60377.316660814293</v>
      </c>
    </row>
    <row r="84" spans="1:16" outlineLevel="1" x14ac:dyDescent="0.15">
      <c r="A84" s="2" t="s">
        <v>10</v>
      </c>
      <c r="D84" s="24">
        <v>-95855</v>
      </c>
      <c r="E84" s="24">
        <v>-105073</v>
      </c>
      <c r="F84" s="24">
        <v>-42520</v>
      </c>
      <c r="G84" s="19">
        <f>-G$78*G17</f>
        <v>-42751.26</v>
      </c>
      <c r="H84" s="19">
        <f>-H$78*H17</f>
        <v>-43820.041499999999</v>
      </c>
      <c r="I84" s="19">
        <f>-I$78*I17</f>
        <v>-47325.644820000001</v>
      </c>
      <c r="J84" s="19">
        <f>-J$78*J17</f>
        <v>-49691.927061000009</v>
      </c>
      <c r="K84" s="19">
        <f>-K$78*K17</f>
        <v>-51928.063778745003</v>
      </c>
      <c r="L84" s="19">
        <f>-L$78*L17</f>
        <v>-54005.186329894801</v>
      </c>
      <c r="M84" s="19">
        <f>-M$78*M17</f>
        <v>-56165.393783090592</v>
      </c>
      <c r="N84" s="19">
        <f>-N$78*N17</f>
        <v>-58131.182565498762</v>
      </c>
      <c r="O84" s="19">
        <f>-O$78*O17</f>
        <v>-60165.773955291217</v>
      </c>
      <c r="P84" s="19">
        <f>-P$78*P17</f>
        <v>-62271.576043726411</v>
      </c>
    </row>
    <row r="85" spans="1:16" outlineLevel="1" x14ac:dyDescent="0.15">
      <c r="A85" s="2" t="s">
        <v>11</v>
      </c>
      <c r="D85" s="24">
        <v>-1836</v>
      </c>
      <c r="E85" s="24">
        <v>-2020</v>
      </c>
      <c r="F85" s="24">
        <v>-806</v>
      </c>
      <c r="G85" s="19">
        <f>-G$78*G18</f>
        <v>-1662.549</v>
      </c>
      <c r="H85" s="19">
        <f>-H$78*H18</f>
        <v>-1704.112725</v>
      </c>
      <c r="I85" s="19">
        <f>-I$78*I18</f>
        <v>-1314.6012450000001</v>
      </c>
      <c r="J85" s="19">
        <f>-J$78*J18</f>
        <v>-1380.3313072500002</v>
      </c>
      <c r="K85" s="19">
        <f>-K$78*K18</f>
        <v>-1153.9569728610002</v>
      </c>
      <c r="L85" s="19">
        <f>-L$78*L18</f>
        <v>-1200.1152517754401</v>
      </c>
      <c r="M85" s="19">
        <f>-M$78*M18</f>
        <v>-1248.1198618464578</v>
      </c>
      <c r="N85" s="19">
        <f>-N$78*N18</f>
        <v>-1291.8040570110836</v>
      </c>
      <c r="O85" s="19">
        <f>-O$78*O18</f>
        <v>-1337.0171990064716</v>
      </c>
      <c r="P85" s="19">
        <f>-P$78*P18</f>
        <v>-1383.8128009716982</v>
      </c>
    </row>
    <row r="86" spans="1:16" outlineLevel="1" x14ac:dyDescent="0.15">
      <c r="A86" s="2" t="s">
        <v>12</v>
      </c>
      <c r="D86" s="24">
        <v>-5109</v>
      </c>
      <c r="E86" s="24">
        <v>-6278</v>
      </c>
      <c r="F86" s="24">
        <v>-5011</v>
      </c>
      <c r="G86" s="19">
        <f>-G$78*G19</f>
        <v>-4750.1400000000003</v>
      </c>
      <c r="H86" s="19">
        <f>-H$78*H19</f>
        <v>-4868.8935000000001</v>
      </c>
      <c r="I86" s="19">
        <f>-I$78*I19</f>
        <v>-5258.4049800000003</v>
      </c>
      <c r="J86" s="19">
        <f>-J$78*J19</f>
        <v>-5521.3252290000009</v>
      </c>
      <c r="K86" s="19">
        <f>-K$78*K19</f>
        <v>-5769.7848643050011</v>
      </c>
      <c r="L86" s="19">
        <f>-L$78*L19</f>
        <v>-5250.5042265175507</v>
      </c>
      <c r="M86" s="19">
        <f>-M$78*M19</f>
        <v>-5460.5243955782526</v>
      </c>
      <c r="N86" s="19">
        <f>-N$78*N19</f>
        <v>-5651.6427494234913</v>
      </c>
      <c r="O86" s="19">
        <f>-O$78*O19</f>
        <v>-5849.4502456533137</v>
      </c>
      <c r="P86" s="19">
        <f>-P$78*P19</f>
        <v>-5189.2980036438676</v>
      </c>
    </row>
    <row r="87" spans="1:16" outlineLevel="1" x14ac:dyDescent="0.15">
      <c r="A87" s="2" t="s">
        <v>13</v>
      </c>
      <c r="D87" s="24">
        <v>0</v>
      </c>
      <c r="E87" s="24">
        <v>-325</v>
      </c>
      <c r="F87" s="24">
        <v>-247</v>
      </c>
      <c r="G87" s="19">
        <f>-G$78*G20</f>
        <v>0</v>
      </c>
      <c r="H87" s="19">
        <f>-H$78*H20</f>
        <v>0</v>
      </c>
      <c r="I87" s="19">
        <f>-I$78*I20</f>
        <v>0</v>
      </c>
      <c r="J87" s="19">
        <f>-J$78*J20</f>
        <v>0</v>
      </c>
      <c r="K87" s="19">
        <f>-K$78*K20</f>
        <v>0</v>
      </c>
      <c r="L87" s="19">
        <f>-L$78*L20</f>
        <v>0</v>
      </c>
      <c r="M87" s="19">
        <f>-M$78*M20</f>
        <v>0</v>
      </c>
      <c r="N87" s="19">
        <f>-N$78*N20</f>
        <v>0</v>
      </c>
      <c r="O87" s="19">
        <f>-O$78*O20</f>
        <v>0</v>
      </c>
      <c r="P87" s="19">
        <f>-P$78*P20</f>
        <v>0</v>
      </c>
    </row>
    <row r="88" spans="1:16" outlineLevel="1" x14ac:dyDescent="0.15">
      <c r="A88" s="2" t="s">
        <v>14</v>
      </c>
      <c r="D88" s="24">
        <v>-5652</v>
      </c>
      <c r="E88" s="24">
        <v>-2621</v>
      </c>
      <c r="F88" s="24">
        <v>-3957</v>
      </c>
      <c r="G88" s="19">
        <f>-G$78*G21</f>
        <v>-4275.1259999999993</v>
      </c>
      <c r="H88" s="19">
        <f>-H$78*H21</f>
        <v>-4382.0041499999998</v>
      </c>
      <c r="I88" s="19">
        <f>-I$78*I21</f>
        <v>-4732.5644819999998</v>
      </c>
      <c r="J88" s="19">
        <f>-J$78*J21</f>
        <v>-4969.1927061000006</v>
      </c>
      <c r="K88" s="19">
        <f>-K$78*K21</f>
        <v>-5192.8063778745</v>
      </c>
      <c r="L88" s="19">
        <f>-L$78*L21</f>
        <v>-5400.5186329894796</v>
      </c>
      <c r="M88" s="19">
        <f>-M$78*M21</f>
        <v>-5616.5393783090594</v>
      </c>
      <c r="N88" s="19">
        <f>-N$78*N21</f>
        <v>-5813.1182565498766</v>
      </c>
      <c r="O88" s="19">
        <f>-O$78*O21</f>
        <v>-6016.5773955291215</v>
      </c>
      <c r="P88" s="19">
        <f>-P$78*P21</f>
        <v>-6227.1576043726409</v>
      </c>
    </row>
    <row r="89" spans="1:16" outlineLevel="1" x14ac:dyDescent="0.15">
      <c r="A89" s="14" t="s">
        <v>24</v>
      </c>
      <c r="B89" s="14"/>
      <c r="C89" s="14"/>
      <c r="D89" s="26">
        <f>SUM(D82:D88)</f>
        <v>30702</v>
      </c>
      <c r="E89" s="26">
        <f>SUM(E82:E88)</f>
        <v>29046</v>
      </c>
      <c r="F89" s="26">
        <f>SUM(F82:F88)</f>
        <v>37320</v>
      </c>
      <c r="G89" s="26">
        <f>SUM(G82:G88)</f>
        <v>2356.8700000000354</v>
      </c>
      <c r="H89" s="26">
        <f t="shared" ref="H89:K89" si="43">SUM(H82:H88)</f>
        <v>30646.771804776647</v>
      </c>
      <c r="I89" s="26">
        <f t="shared" si="43"/>
        <v>62723.940461373175</v>
      </c>
      <c r="J89" s="26">
        <f t="shared" si="43"/>
        <v>73720.212473330219</v>
      </c>
      <c r="K89" s="26">
        <f t="shared" si="43"/>
        <v>84133.749850171371</v>
      </c>
      <c r="L89" s="26">
        <f t="shared" ref="L89" si="44">SUM(L82:L88)</f>
        <v>93837.170294668336</v>
      </c>
      <c r="M89" s="26">
        <f t="shared" ref="M89" si="45">SUM(M82:M88)</f>
        <v>99766.073767642185</v>
      </c>
      <c r="N89" s="26">
        <f t="shared" ref="N89" si="46">SUM(N82:N88)</f>
        <v>105798.79997334315</v>
      </c>
      <c r="O89" s="26">
        <f t="shared" ref="O89" si="47">SUM(O82:O88)</f>
        <v>113366.66718021591</v>
      </c>
      <c r="P89" s="26">
        <f t="shared" ref="P89" si="48">SUM(P82:P88)</f>
        <v>118826.44106502061</v>
      </c>
    </row>
    <row r="90" spans="1:16" outlineLevel="1" x14ac:dyDescent="0.15">
      <c r="A90" s="2" t="s">
        <v>15</v>
      </c>
      <c r="D90" s="24">
        <v>1470</v>
      </c>
      <c r="E90" s="24">
        <v>424</v>
      </c>
      <c r="F90" s="24">
        <v>851</v>
      </c>
      <c r="G90" s="19">
        <f>G23*(F119+F120)</f>
        <v>1785.9248</v>
      </c>
      <c r="H90" s="19">
        <f t="shared" ref="H90:P90" si="49">H23*(G119+G120)</f>
        <v>1539.6182870662624</v>
      </c>
      <c r="I90" s="19">
        <f t="shared" si="49"/>
        <v>1795.29385957563</v>
      </c>
      <c r="J90" s="19">
        <f t="shared" si="49"/>
        <v>2646.1229891195217</v>
      </c>
      <c r="K90" s="19">
        <f t="shared" si="49"/>
        <v>3725.3648838484414</v>
      </c>
      <c r="L90" s="19">
        <f t="shared" si="49"/>
        <v>5088.9868925499895</v>
      </c>
      <c r="M90" s="19">
        <f t="shared" si="49"/>
        <v>6598.2407435439281</v>
      </c>
      <c r="N90" s="19">
        <f t="shared" si="49"/>
        <v>8213.9963312554501</v>
      </c>
      <c r="O90" s="19">
        <f t="shared" si="49"/>
        <v>9942.3411652232535</v>
      </c>
      <c r="P90" s="19">
        <f t="shared" si="49"/>
        <v>11786.896662429612</v>
      </c>
    </row>
    <row r="91" spans="1:16" outlineLevel="1" x14ac:dyDescent="0.15">
      <c r="A91" s="2" t="s">
        <v>16</v>
      </c>
      <c r="D91" s="24">
        <v>-351</v>
      </c>
      <c r="E91" s="24">
        <v>-280</v>
      </c>
      <c r="F91" s="24">
        <v>-4433</v>
      </c>
      <c r="G91" s="19">
        <f>-G335</f>
        <v>-3950.8863799999999</v>
      </c>
      <c r="H91" s="19">
        <f t="shared" ref="H91:K91" si="50">-H335</f>
        <v>-2665.18335075</v>
      </c>
      <c r="I91" s="19">
        <f t="shared" si="50"/>
        <v>-2056.5724273350006</v>
      </c>
      <c r="J91" s="19">
        <f t="shared" si="50"/>
        <v>-1794.3488121480002</v>
      </c>
      <c r="K91" s="19">
        <f t="shared" si="50"/>
        <v>-1696.2210070921728</v>
      </c>
      <c r="L91" s="19">
        <f t="shared" ref="L91:N91" si="51">-L335</f>
        <v>-1678.0687959913382</v>
      </c>
      <c r="M91" s="19">
        <f t="shared" si="51"/>
        <v>-1699.3602221387314</v>
      </c>
      <c r="N91" s="19">
        <f t="shared" si="51"/>
        <v>-1739.5755749009229</v>
      </c>
      <c r="O91" s="19">
        <f t="shared" ref="O91:P91" si="52">-O335</f>
        <v>-1788.3526425161231</v>
      </c>
      <c r="P91" s="19">
        <f t="shared" si="52"/>
        <v>-1842.413996251021</v>
      </c>
    </row>
    <row r="92" spans="1:16" outlineLevel="1" x14ac:dyDescent="0.15">
      <c r="A92" s="13" t="s">
        <v>17</v>
      </c>
      <c r="B92" s="13"/>
      <c r="C92" s="13"/>
      <c r="D92" s="25">
        <f>SUM(D90:D91)</f>
        <v>1119</v>
      </c>
      <c r="E92" s="25">
        <f>SUM(E90:E91)</f>
        <v>144</v>
      </c>
      <c r="F92" s="25">
        <f>SUM(F90:F91)</f>
        <v>-3582</v>
      </c>
      <c r="G92" s="25">
        <f>SUM(G90:G91)</f>
        <v>-2164.9615800000001</v>
      </c>
      <c r="H92" s="25">
        <f t="shared" ref="H92:K92" si="53">SUM(H90:H91)</f>
        <v>-1125.5650636837377</v>
      </c>
      <c r="I92" s="25">
        <f t="shared" si="53"/>
        <v>-261.27856775937062</v>
      </c>
      <c r="J92" s="25">
        <f t="shared" si="53"/>
        <v>851.77417697152146</v>
      </c>
      <c r="K92" s="25">
        <f t="shared" si="53"/>
        <v>2029.1438767562686</v>
      </c>
      <c r="L92" s="25">
        <f t="shared" ref="L92" si="54">SUM(L90:L91)</f>
        <v>3410.9180965586511</v>
      </c>
      <c r="M92" s="25">
        <f t="shared" ref="M92" si="55">SUM(M90:M91)</f>
        <v>4898.8805214051972</v>
      </c>
      <c r="N92" s="25">
        <f t="shared" ref="N92" si="56">SUM(N90:N91)</f>
        <v>6474.4207563545269</v>
      </c>
      <c r="O92" s="25">
        <f t="shared" ref="O92" si="57">SUM(O90:O91)</f>
        <v>8153.98852270713</v>
      </c>
      <c r="P92" s="25">
        <f t="shared" ref="P92" si="58">SUM(P90:P91)</f>
        <v>9944.4826661785901</v>
      </c>
    </row>
    <row r="93" spans="1:16" outlineLevel="1" x14ac:dyDescent="0.15">
      <c r="A93" s="2" t="s">
        <v>18</v>
      </c>
      <c r="D93" s="24">
        <v>293</v>
      </c>
      <c r="E93" s="24">
        <v>241</v>
      </c>
      <c r="F93" s="24">
        <v>220</v>
      </c>
      <c r="G93" s="19">
        <f>G26</f>
        <v>0</v>
      </c>
      <c r="H93" s="19">
        <f>H26</f>
        <v>0</v>
      </c>
      <c r="I93" s="19">
        <f>I26</f>
        <v>0</v>
      </c>
      <c r="J93" s="19">
        <f>J26</f>
        <v>0</v>
      </c>
      <c r="K93" s="19">
        <f>K26</f>
        <v>0</v>
      </c>
      <c r="L93" s="19">
        <f>L26</f>
        <v>0</v>
      </c>
      <c r="M93" s="19">
        <f>M26</f>
        <v>0</v>
      </c>
      <c r="N93" s="19">
        <f>N26</f>
        <v>0</v>
      </c>
      <c r="O93" s="19">
        <f>O26</f>
        <v>0</v>
      </c>
      <c r="P93" s="19">
        <f>P26</f>
        <v>0</v>
      </c>
    </row>
    <row r="94" spans="1:16" outlineLevel="1" x14ac:dyDescent="0.15">
      <c r="A94" s="13" t="s">
        <v>19</v>
      </c>
      <c r="B94" s="13"/>
      <c r="C94" s="13"/>
      <c r="D94" s="25">
        <f>D89+D92+D93</f>
        <v>32114</v>
      </c>
      <c r="E94" s="25">
        <f>E89+E92+E93</f>
        <v>29431</v>
      </c>
      <c r="F94" s="25">
        <f>F89+F92+F93</f>
        <v>33958</v>
      </c>
      <c r="G94" s="25">
        <f>G89+G92+G93</f>
        <v>191.90842000003522</v>
      </c>
      <c r="H94" s="25">
        <f t="shared" ref="H94:K94" si="59">H89+H92+H93</f>
        <v>29521.206741092908</v>
      </c>
      <c r="I94" s="25">
        <f t="shared" si="59"/>
        <v>62462.661893613804</v>
      </c>
      <c r="J94" s="25">
        <f t="shared" si="59"/>
        <v>74571.98665030174</v>
      </c>
      <c r="K94" s="25">
        <f t="shared" si="59"/>
        <v>86162.893726927636</v>
      </c>
      <c r="L94" s="25">
        <f t="shared" ref="L94" si="60">L89+L92+L93</f>
        <v>97248.088391226993</v>
      </c>
      <c r="M94" s="25">
        <f t="shared" ref="M94" si="61">M89+M92+M93</f>
        <v>104664.95428904738</v>
      </c>
      <c r="N94" s="25">
        <f t="shared" ref="N94" si="62">N89+N92+N93</f>
        <v>112273.22072969767</v>
      </c>
      <c r="O94" s="25">
        <f t="shared" ref="O94" si="63">O89+O92+O93</f>
        <v>121520.65570292305</v>
      </c>
      <c r="P94" s="25">
        <f t="shared" ref="P94" si="64">P89+P92+P93</f>
        <v>128770.9237311992</v>
      </c>
    </row>
    <row r="95" spans="1:16" outlineLevel="1" x14ac:dyDescent="0.15">
      <c r="A95" s="2" t="s">
        <v>20</v>
      </c>
      <c r="D95" s="24">
        <v>-5295</v>
      </c>
      <c r="E95" s="24">
        <v>-4955</v>
      </c>
      <c r="F95" s="24">
        <v>-6122</v>
      </c>
      <c r="G95" s="19">
        <f>IF(G94&lt;0,0,G94*-G28)</f>
        <v>-32.624431400005989</v>
      </c>
      <c r="H95" s="19">
        <f>IF(H94&lt;0,0,H94*-H28)</f>
        <v>-5018.6051459857945</v>
      </c>
      <c r="I95" s="19">
        <f>IF(I94&lt;0,0,I94*-I28)</f>
        <v>-10618.652521914348</v>
      </c>
      <c r="J95" s="19">
        <f>IF(J94&lt;0,0,J94*-J28)</f>
        <v>-12677.237730551296</v>
      </c>
      <c r="K95" s="19">
        <f>IF(K94&lt;0,0,K94*-K28)</f>
        <v>-14647.691933577698</v>
      </c>
      <c r="L95" s="19">
        <f>IF(L94&lt;0,0,L94*-L28)</f>
        <v>-16532.17502650859</v>
      </c>
      <c r="M95" s="19">
        <f>IF(M94&lt;0,0,M94*-M28)</f>
        <v>-17793.042229138056</v>
      </c>
      <c r="N95" s="19">
        <f>IF(N94&lt;0,0,N94*-N28)</f>
        <v>-19086.447524048606</v>
      </c>
      <c r="O95" s="19">
        <f>IF(O94&lt;0,0,O94*-O28)</f>
        <v>-20658.51146949692</v>
      </c>
      <c r="P95" s="19">
        <f>IF(P94&lt;0,0,P94*-P28)</f>
        <v>-21891.057034303867</v>
      </c>
    </row>
    <row r="96" spans="1:16" ht="15" outlineLevel="1" thickBot="1" x14ac:dyDescent="0.2">
      <c r="A96" s="16" t="s">
        <v>21</v>
      </c>
      <c r="B96" s="16"/>
      <c r="C96" s="16"/>
      <c r="D96" s="27">
        <f>SUM(D94:D95)</f>
        <v>26819</v>
      </c>
      <c r="E96" s="27">
        <f>SUM(E94:E95)</f>
        <v>24476</v>
      </c>
      <c r="F96" s="27">
        <f>SUM(F94:F95)</f>
        <v>27836</v>
      </c>
      <c r="G96" s="27">
        <f>SUM(G94:G95)</f>
        <v>159.28398860002923</v>
      </c>
      <c r="H96" s="27">
        <f t="shared" ref="H96:K96" si="65">SUM(H94:H95)</f>
        <v>24502.601595107113</v>
      </c>
      <c r="I96" s="27">
        <f t="shared" si="65"/>
        <v>51844.00937169946</v>
      </c>
      <c r="J96" s="27">
        <f t="shared" si="65"/>
        <v>61894.748919750447</v>
      </c>
      <c r="K96" s="27">
        <f t="shared" si="65"/>
        <v>71515.20179334993</v>
      </c>
      <c r="L96" s="27">
        <f t="shared" ref="L96" si="66">SUM(L94:L95)</f>
        <v>80715.913364718406</v>
      </c>
      <c r="M96" s="27">
        <f t="shared" ref="M96" si="67">SUM(M94:M95)</f>
        <v>86871.912059909329</v>
      </c>
      <c r="N96" s="27">
        <f t="shared" ref="N96" si="68">SUM(N94:N95)</f>
        <v>93186.773205649064</v>
      </c>
      <c r="O96" s="27">
        <f t="shared" ref="O96" si="69">SUM(O94:O95)</f>
        <v>100862.14423342612</v>
      </c>
      <c r="P96" s="27">
        <f t="shared" ref="P96" si="70">SUM(P94:P95)</f>
        <v>106879.86669689533</v>
      </c>
    </row>
    <row r="97" spans="1:16" ht="15" thickTop="1" x14ac:dyDescent="0.15">
      <c r="E97" s="28"/>
      <c r="F97" s="28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15">
      <c r="A98" s="2" t="s">
        <v>181</v>
      </c>
      <c r="D98" s="17"/>
      <c r="E98" s="65">
        <v>18052</v>
      </c>
      <c r="F98" s="65">
        <v>12210</v>
      </c>
      <c r="G98" s="64">
        <f>F98*(1+G73)</f>
        <v>10989</v>
      </c>
      <c r="H98" s="64">
        <f t="shared" ref="H98:P98" si="71">G98*(1+H73)</f>
        <v>10439.549999999999</v>
      </c>
      <c r="I98" s="64">
        <f t="shared" si="71"/>
        <v>10857.132</v>
      </c>
      <c r="J98" s="64">
        <f t="shared" si="71"/>
        <v>11291.41728</v>
      </c>
      <c r="K98" s="64">
        <f t="shared" si="71"/>
        <v>11630.1597984</v>
      </c>
      <c r="L98" s="64">
        <f t="shared" si="71"/>
        <v>11746.461396384</v>
      </c>
      <c r="M98" s="64">
        <f t="shared" si="71"/>
        <v>11922.658317329759</v>
      </c>
      <c r="N98" s="64">
        <f t="shared" si="71"/>
        <v>12101.498192089704</v>
      </c>
      <c r="O98" s="64">
        <f t="shared" si="71"/>
        <v>12283.020664971049</v>
      </c>
      <c r="P98" s="64">
        <f t="shared" si="71"/>
        <v>12467.265974945614</v>
      </c>
    </row>
    <row r="99" spans="1:16" x14ac:dyDescent="0.15">
      <c r="E99" s="28"/>
      <c r="F99" s="28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15">
      <c r="A100" s="4" t="s">
        <v>26</v>
      </c>
      <c r="B100" s="4"/>
      <c r="C100" s="4"/>
      <c r="D100" s="4"/>
      <c r="E100" s="29"/>
      <c r="F100" s="29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outlineLevel="1" x14ac:dyDescent="0.15">
      <c r="E101" s="28"/>
      <c r="F101" s="28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outlineLevel="1" x14ac:dyDescent="0.15">
      <c r="A102" s="12" t="s">
        <v>27</v>
      </c>
      <c r="E102" s="28"/>
      <c r="F102" s="28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outlineLevel="1" x14ac:dyDescent="0.15">
      <c r="A103" s="12" t="s">
        <v>28</v>
      </c>
      <c r="E103" s="28"/>
      <c r="F103" s="28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outlineLevel="1" x14ac:dyDescent="0.15">
      <c r="A104" s="2" t="s">
        <v>29</v>
      </c>
      <c r="D104" s="24">
        <v>18886</v>
      </c>
      <c r="E104" s="24">
        <v>21383</v>
      </c>
      <c r="F104" s="24">
        <v>209989</v>
      </c>
      <c r="G104" s="19">
        <f>G312</f>
        <v>156335.01438938527</v>
      </c>
      <c r="H104" s="19">
        <f>H312</f>
        <v>128012.87056828177</v>
      </c>
      <c r="I104" s="19">
        <f>I312</f>
        <v>121416.91307270448</v>
      </c>
      <c r="J104" s="19">
        <f>J312</f>
        <v>119213.60964596167</v>
      </c>
      <c r="K104" s="19">
        <f>K312</f>
        <v>117884.94281877868</v>
      </c>
      <c r="L104" s="19">
        <f>L312</f>
        <v>119666.68165779124</v>
      </c>
      <c r="M104" s="19">
        <f>M312</f>
        <v>123209.80479362022</v>
      </c>
      <c r="N104" s="19">
        <f>N312</f>
        <v>127526.40712879381</v>
      </c>
      <c r="O104" s="19">
        <f>O312</f>
        <v>132333.04292442213</v>
      </c>
      <c r="P104" s="19">
        <f>P312</f>
        <v>137474.30931134435</v>
      </c>
    </row>
    <row r="105" spans="1:16" outlineLevel="1" x14ac:dyDescent="0.15">
      <c r="A105" s="2" t="s">
        <v>30</v>
      </c>
      <c r="D105" s="24" t="s">
        <v>66</v>
      </c>
      <c r="E105" s="24">
        <v>3658</v>
      </c>
      <c r="F105" s="24">
        <v>0</v>
      </c>
      <c r="G105" s="19">
        <f>F105</f>
        <v>0</v>
      </c>
      <c r="H105" s="19">
        <f>G105</f>
        <v>0</v>
      </c>
      <c r="I105" s="19">
        <f t="shared" ref="I105:K105" si="72">H105</f>
        <v>0</v>
      </c>
      <c r="J105" s="19">
        <f t="shared" si="72"/>
        <v>0</v>
      </c>
      <c r="K105" s="19">
        <f t="shared" si="72"/>
        <v>0</v>
      </c>
      <c r="L105" s="19">
        <f t="shared" ref="L105:N105" si="73">K105</f>
        <v>0</v>
      </c>
      <c r="M105" s="19">
        <f t="shared" si="73"/>
        <v>0</v>
      </c>
      <c r="N105" s="19">
        <f t="shared" si="73"/>
        <v>0</v>
      </c>
      <c r="O105" s="19">
        <f t="shared" ref="O105:P105" si="74">N105</f>
        <v>0</v>
      </c>
      <c r="P105" s="19">
        <f t="shared" si="74"/>
        <v>0</v>
      </c>
    </row>
    <row r="106" spans="1:16" outlineLevel="1" x14ac:dyDescent="0.15">
      <c r="A106" s="2" t="s">
        <v>31</v>
      </c>
      <c r="D106" s="24">
        <v>180</v>
      </c>
      <c r="E106" s="24">
        <v>143</v>
      </c>
      <c r="F106" s="24">
        <v>150</v>
      </c>
      <c r="G106" s="19">
        <f>F106</f>
        <v>150</v>
      </c>
      <c r="H106" s="19">
        <f>G106</f>
        <v>150</v>
      </c>
      <c r="I106" s="19">
        <f t="shared" ref="I106:K106" si="75">H106</f>
        <v>150</v>
      </c>
      <c r="J106" s="19">
        <f t="shared" si="75"/>
        <v>150</v>
      </c>
      <c r="K106" s="19">
        <f t="shared" si="75"/>
        <v>150</v>
      </c>
      <c r="L106" s="19">
        <f t="shared" ref="L106:N106" si="76">K106</f>
        <v>150</v>
      </c>
      <c r="M106" s="19">
        <f t="shared" si="76"/>
        <v>150</v>
      </c>
      <c r="N106" s="19">
        <f t="shared" si="76"/>
        <v>150</v>
      </c>
      <c r="O106" s="19">
        <f t="shared" ref="O106:P106" si="77">N106</f>
        <v>150</v>
      </c>
      <c r="P106" s="19">
        <f t="shared" si="77"/>
        <v>150</v>
      </c>
    </row>
    <row r="107" spans="1:16" outlineLevel="1" x14ac:dyDescent="0.15">
      <c r="A107" s="2" t="s">
        <v>32</v>
      </c>
      <c r="D107" s="24">
        <v>9990</v>
      </c>
      <c r="E107" s="24">
        <v>13765</v>
      </c>
      <c r="F107" s="24">
        <v>19867</v>
      </c>
      <c r="G107" s="19">
        <f>G315</f>
        <v>24658.044999999998</v>
      </c>
      <c r="H107" s="19">
        <f>H315</f>
        <v>26866.3729375</v>
      </c>
      <c r="I107" s="19">
        <f>I315</f>
        <v>27917.449592500001</v>
      </c>
      <c r="J107" s="19">
        <f>J315</f>
        <v>27327.543550149996</v>
      </c>
      <c r="K107" s="19">
        <f>K315</f>
        <v>25621.203217290997</v>
      </c>
      <c r="L107" s="19">
        <f>L315</f>
        <v>24620.896878774038</v>
      </c>
      <c r="M107" s="19">
        <f>M315</f>
        <v>24065.880204647616</v>
      </c>
      <c r="N107" s="19">
        <f>N315</f>
        <v>23768.126609905841</v>
      </c>
      <c r="O107" s="19">
        <f>O315</f>
        <v>22807.729721534954</v>
      </c>
      <c r="P107" s="19">
        <f>P315</f>
        <v>21409.495135906691</v>
      </c>
    </row>
    <row r="108" spans="1:16" outlineLevel="1" x14ac:dyDescent="0.15">
      <c r="A108" s="2" t="s">
        <v>33</v>
      </c>
      <c r="D108" s="24" t="s">
        <v>66</v>
      </c>
      <c r="E108" s="24">
        <v>0</v>
      </c>
      <c r="F108" s="24">
        <v>0</v>
      </c>
      <c r="G108" s="19">
        <f>F108</f>
        <v>0</v>
      </c>
      <c r="H108" s="19">
        <f>G108</f>
        <v>0</v>
      </c>
      <c r="I108" s="19">
        <f t="shared" ref="I108:K108" si="78">H108</f>
        <v>0</v>
      </c>
      <c r="J108" s="19">
        <f t="shared" si="78"/>
        <v>0</v>
      </c>
      <c r="K108" s="19">
        <f t="shared" si="78"/>
        <v>0</v>
      </c>
      <c r="L108" s="19">
        <f t="shared" ref="L108:N108" si="79">K108</f>
        <v>0</v>
      </c>
      <c r="M108" s="19">
        <f t="shared" si="79"/>
        <v>0</v>
      </c>
      <c r="N108" s="19">
        <f t="shared" si="79"/>
        <v>0</v>
      </c>
      <c r="O108" s="19">
        <f t="shared" ref="O108:P108" si="80">N108</f>
        <v>0</v>
      </c>
      <c r="P108" s="19">
        <f t="shared" si="80"/>
        <v>0</v>
      </c>
    </row>
    <row r="109" spans="1:16" outlineLevel="1" x14ac:dyDescent="0.15">
      <c r="A109" s="2" t="s">
        <v>34</v>
      </c>
      <c r="D109" s="24">
        <v>401</v>
      </c>
      <c r="E109" s="24">
        <v>262</v>
      </c>
      <c r="F109" s="24">
        <v>0</v>
      </c>
      <c r="G109" s="19">
        <f>F109</f>
        <v>0</v>
      </c>
      <c r="H109" s="19">
        <f>G109</f>
        <v>0</v>
      </c>
      <c r="I109" s="19">
        <f t="shared" ref="I109:K109" si="81">H109</f>
        <v>0</v>
      </c>
      <c r="J109" s="19">
        <f t="shared" si="81"/>
        <v>0</v>
      </c>
      <c r="K109" s="19">
        <f t="shared" si="81"/>
        <v>0</v>
      </c>
      <c r="L109" s="19">
        <f t="shared" ref="L109:N109" si="82">K109</f>
        <v>0</v>
      </c>
      <c r="M109" s="19">
        <f t="shared" si="82"/>
        <v>0</v>
      </c>
      <c r="N109" s="19">
        <f t="shared" si="82"/>
        <v>0</v>
      </c>
      <c r="O109" s="19">
        <f t="shared" ref="O109:P109" si="83">N109</f>
        <v>0</v>
      </c>
      <c r="P109" s="19">
        <f t="shared" si="83"/>
        <v>0</v>
      </c>
    </row>
    <row r="110" spans="1:16" outlineLevel="1" x14ac:dyDescent="0.15">
      <c r="A110" s="2" t="s">
        <v>35</v>
      </c>
      <c r="D110" s="24">
        <v>1600</v>
      </c>
      <c r="E110" s="24">
        <v>1600</v>
      </c>
      <c r="F110" s="24">
        <v>1600</v>
      </c>
      <c r="G110" s="19">
        <f>F110</f>
        <v>1600</v>
      </c>
      <c r="H110" s="19">
        <f>G110</f>
        <v>1600</v>
      </c>
      <c r="I110" s="19">
        <f t="shared" ref="I110:K111" si="84">H110</f>
        <v>1600</v>
      </c>
      <c r="J110" s="19">
        <f t="shared" si="84"/>
        <v>1600</v>
      </c>
      <c r="K110" s="19">
        <f t="shared" si="84"/>
        <v>1600</v>
      </c>
      <c r="L110" s="19">
        <f t="shared" ref="L110:N111" si="85">K110</f>
        <v>1600</v>
      </c>
      <c r="M110" s="19">
        <f t="shared" si="85"/>
        <v>1600</v>
      </c>
      <c r="N110" s="19">
        <f t="shared" si="85"/>
        <v>1600</v>
      </c>
      <c r="O110" s="19">
        <f t="shared" ref="O110:P111" si="86">N110</f>
        <v>1600</v>
      </c>
      <c r="P110" s="19">
        <f t="shared" si="86"/>
        <v>1600</v>
      </c>
    </row>
    <row r="111" spans="1:16" outlineLevel="1" x14ac:dyDescent="0.15">
      <c r="A111" s="2" t="s">
        <v>36</v>
      </c>
      <c r="D111" s="24">
        <v>11129</v>
      </c>
      <c r="E111" s="24">
        <v>0</v>
      </c>
      <c r="F111" s="24">
        <v>455</v>
      </c>
      <c r="G111" s="19">
        <f>F111</f>
        <v>455</v>
      </c>
      <c r="H111" s="19">
        <f>G111</f>
        <v>455</v>
      </c>
      <c r="I111" s="19">
        <f t="shared" si="84"/>
        <v>455</v>
      </c>
      <c r="J111" s="19">
        <f t="shared" si="84"/>
        <v>455</v>
      </c>
      <c r="K111" s="19">
        <f t="shared" si="84"/>
        <v>455</v>
      </c>
      <c r="L111" s="19">
        <f t="shared" si="85"/>
        <v>455</v>
      </c>
      <c r="M111" s="19">
        <f t="shared" si="85"/>
        <v>455</v>
      </c>
      <c r="N111" s="19">
        <f t="shared" si="85"/>
        <v>455</v>
      </c>
      <c r="O111" s="19">
        <f t="shared" si="86"/>
        <v>455</v>
      </c>
      <c r="P111" s="19">
        <f t="shared" si="86"/>
        <v>455</v>
      </c>
    </row>
    <row r="112" spans="1:16" outlineLevel="1" x14ac:dyDescent="0.15">
      <c r="A112" s="2" t="s">
        <v>37</v>
      </c>
      <c r="D112" s="24" t="s">
        <v>66</v>
      </c>
      <c r="E112" s="24">
        <v>11329</v>
      </c>
      <c r="F112" s="24">
        <v>10434</v>
      </c>
      <c r="G112" s="19">
        <f>G35*G78</f>
        <v>10687.815000000001</v>
      </c>
      <c r="H112" s="19">
        <f>H35*H78</f>
        <v>10955.010375</v>
      </c>
      <c r="I112" s="19">
        <f>I35*I78</f>
        <v>11831.411205</v>
      </c>
      <c r="J112" s="19">
        <f>J35*J78</f>
        <v>12422.981765250002</v>
      </c>
      <c r="K112" s="19">
        <f>K35*K78</f>
        <v>12982.015944686251</v>
      </c>
      <c r="L112" s="19">
        <f>L35*L78</f>
        <v>13501.2965824737</v>
      </c>
      <c r="M112" s="19">
        <f>M35*M78</f>
        <v>14041.348445772648</v>
      </c>
      <c r="N112" s="19">
        <f>N35*N78</f>
        <v>14532.795641374691</v>
      </c>
      <c r="O112" s="19">
        <f>O35*O78</f>
        <v>15041.443488822804</v>
      </c>
      <c r="P112" s="19">
        <f>P35*P78</f>
        <v>15567.894010931603</v>
      </c>
    </row>
    <row r="113" spans="1:19" outlineLevel="1" x14ac:dyDescent="0.15">
      <c r="A113" s="13" t="s">
        <v>38</v>
      </c>
      <c r="B113" s="13"/>
      <c r="C113" s="13"/>
      <c r="D113" s="25">
        <f>SUM(D104:D112)</f>
        <v>42186</v>
      </c>
      <c r="E113" s="25">
        <f>SUM(E104:E112)</f>
        <v>52140</v>
      </c>
      <c r="F113" s="25">
        <f>SUM(F104:F112)</f>
        <v>242495</v>
      </c>
      <c r="G113" s="25">
        <f t="shared" ref="G113:K113" si="87">SUM(G104:G112)</f>
        <v>193885.87438938528</v>
      </c>
      <c r="H113" s="25">
        <f t="shared" si="87"/>
        <v>168039.25388078179</v>
      </c>
      <c r="I113" s="25">
        <f t="shared" si="87"/>
        <v>163370.77387020449</v>
      </c>
      <c r="J113" s="25">
        <f t="shared" si="87"/>
        <v>161169.13496136168</v>
      </c>
      <c r="K113" s="25">
        <f t="shared" si="87"/>
        <v>158693.16198075592</v>
      </c>
      <c r="L113" s="25">
        <f t="shared" ref="L113" si="88">SUM(L104:L112)</f>
        <v>159993.87511903897</v>
      </c>
      <c r="M113" s="25">
        <f t="shared" ref="M113" si="89">SUM(M104:M112)</f>
        <v>163522.03344404048</v>
      </c>
      <c r="N113" s="25">
        <f t="shared" ref="N113" si="90">SUM(N104:N112)</f>
        <v>168032.32938007434</v>
      </c>
      <c r="O113" s="25">
        <f t="shared" ref="O113" si="91">SUM(O104:O112)</f>
        <v>172387.21613477988</v>
      </c>
      <c r="P113" s="25">
        <f t="shared" ref="P113" si="92">SUM(P104:P112)</f>
        <v>176656.69845818263</v>
      </c>
    </row>
    <row r="114" spans="1:19" outlineLevel="1" x14ac:dyDescent="0.15">
      <c r="E114" s="24"/>
      <c r="F114" s="24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9" outlineLevel="1" x14ac:dyDescent="0.15">
      <c r="A115" s="12" t="s">
        <v>39</v>
      </c>
      <c r="E115" s="24"/>
      <c r="F115" s="24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9" outlineLevel="1" x14ac:dyDescent="0.15">
      <c r="A116" s="2" t="s">
        <v>30</v>
      </c>
      <c r="D116" s="24" t="s">
        <v>66</v>
      </c>
      <c r="E116" s="24">
        <v>130</v>
      </c>
      <c r="F116" s="24">
        <v>0</v>
      </c>
      <c r="G116" s="19">
        <f>F116</f>
        <v>0</v>
      </c>
      <c r="H116" s="19">
        <f>G116</f>
        <v>0</v>
      </c>
      <c r="I116" s="19">
        <f t="shared" ref="I116:K116" si="93">H116</f>
        <v>0</v>
      </c>
      <c r="J116" s="19">
        <f t="shared" si="93"/>
        <v>0</v>
      </c>
      <c r="K116" s="19">
        <f t="shared" si="93"/>
        <v>0</v>
      </c>
      <c r="L116" s="19">
        <f t="shared" ref="L116:N116" si="94">K116</f>
        <v>0</v>
      </c>
      <c r="M116" s="19">
        <f t="shared" si="94"/>
        <v>0</v>
      </c>
      <c r="N116" s="19">
        <f t="shared" si="94"/>
        <v>0</v>
      </c>
      <c r="O116" s="19">
        <f t="shared" ref="O116:P116" si="95">N116</f>
        <v>0</v>
      </c>
      <c r="P116" s="19">
        <f t="shared" si="95"/>
        <v>0</v>
      </c>
    </row>
    <row r="117" spans="1:19" outlineLevel="1" x14ac:dyDescent="0.15">
      <c r="A117" s="2" t="s">
        <v>40</v>
      </c>
      <c r="D117" s="24">
        <v>1295</v>
      </c>
      <c r="E117" s="24">
        <v>1288</v>
      </c>
      <c r="F117" s="24">
        <v>1435</v>
      </c>
      <c r="G117" s="19">
        <f>-G80/G6*G32</f>
        <v>1408.1699180327869</v>
      </c>
      <c r="H117" s="19">
        <f>-H80/H6*H32</f>
        <v>1447.3286157534249</v>
      </c>
      <c r="I117" s="19">
        <f>-I80/I6*I32</f>
        <v>1537.9033742876711</v>
      </c>
      <c r="J117" s="19">
        <f>-J80/J6*J32</f>
        <v>1614.7985430020551</v>
      </c>
      <c r="K117" s="19">
        <f>-K80/K6*K32</f>
        <v>1682.853918755625</v>
      </c>
      <c r="L117" s="19">
        <f>-L80/L6*L32</f>
        <v>1726.1931703619343</v>
      </c>
      <c r="M117" s="19">
        <f>-M80/M6*M32</f>
        <v>1795.2408971764121</v>
      </c>
      <c r="N117" s="19">
        <f>-N80/N6*N32</f>
        <v>1858.0743285775861</v>
      </c>
      <c r="O117" s="19">
        <f>-O80/O6*O32</f>
        <v>1789.9957035878992</v>
      </c>
      <c r="P117" s="19">
        <f>-P80/P6*P32</f>
        <v>1857.7212944551563</v>
      </c>
    </row>
    <row r="118" spans="1:19" outlineLevel="1" x14ac:dyDescent="0.15">
      <c r="A118" s="2" t="s">
        <v>37</v>
      </c>
      <c r="D118" s="24">
        <v>10687</v>
      </c>
      <c r="E118" s="24">
        <v>10158</v>
      </c>
      <c r="F118" s="24">
        <v>9955</v>
      </c>
      <c r="G118" s="19">
        <f>G78/G6*G31</f>
        <v>11680.672131147541</v>
      </c>
      <c r="H118" s="19">
        <f>H78/H6*H31</f>
        <v>10671.547397260274</v>
      </c>
      <c r="I118" s="19">
        <f>I78/I6*I31</f>
        <v>10804.941739726028</v>
      </c>
      <c r="J118" s="19">
        <f>J78/J6*J31</f>
        <v>10588.842904931509</v>
      </c>
      <c r="K118" s="19">
        <f>K78/K6*K31</f>
        <v>11035.107663971312</v>
      </c>
      <c r="L118" s="19">
        <f>L78/L6*L31</f>
        <v>11507.954469079563</v>
      </c>
      <c r="M118" s="19">
        <f>M78/M6*M31</f>
        <v>11968.272647842745</v>
      </c>
      <c r="N118" s="19">
        <f>N78/N6*N31</f>
        <v>12387.16219051724</v>
      </c>
      <c r="O118" s="19">
        <f>O78/O6*O31</f>
        <v>12785.683597056423</v>
      </c>
      <c r="P118" s="19">
        <f>P78/P6*P31</f>
        <v>13269.437817536831</v>
      </c>
    </row>
    <row r="119" spans="1:19" outlineLevel="1" x14ac:dyDescent="0.15">
      <c r="A119" s="2" t="s">
        <v>41</v>
      </c>
      <c r="D119" s="24">
        <v>0</v>
      </c>
      <c r="E119" s="24">
        <v>35000</v>
      </c>
      <c r="F119" s="24">
        <v>4600</v>
      </c>
      <c r="G119" s="19">
        <f>F119</f>
        <v>4600</v>
      </c>
      <c r="H119" s="19">
        <f>G119</f>
        <v>4600</v>
      </c>
      <c r="I119" s="19">
        <f t="shared" ref="I119:K119" si="96">H119</f>
        <v>4600</v>
      </c>
      <c r="J119" s="19">
        <f t="shared" si="96"/>
        <v>4600</v>
      </c>
      <c r="K119" s="19">
        <f t="shared" si="96"/>
        <v>4600</v>
      </c>
      <c r="L119" s="19">
        <f t="shared" ref="L119:N119" si="97">K119</f>
        <v>4600</v>
      </c>
      <c r="M119" s="19">
        <f t="shared" si="97"/>
        <v>4600</v>
      </c>
      <c r="N119" s="19">
        <f t="shared" si="97"/>
        <v>4600</v>
      </c>
      <c r="O119" s="19">
        <f t="shared" ref="O119:P119" si="98">N119</f>
        <v>4600</v>
      </c>
      <c r="P119" s="19">
        <f t="shared" si="98"/>
        <v>4600</v>
      </c>
      <c r="S119" s="19"/>
    </row>
    <row r="120" spans="1:19" outlineLevel="1" x14ac:dyDescent="0.15">
      <c r="A120" s="2" t="s">
        <v>42</v>
      </c>
      <c r="D120" s="24">
        <v>53043</v>
      </c>
      <c r="E120" s="28">
        <f>E216</f>
        <v>60979</v>
      </c>
      <c r="F120" s="28">
        <f>F216</f>
        <v>90396</v>
      </c>
      <c r="G120" s="19">
        <f>G216</f>
        <v>72380.914353313114</v>
      </c>
      <c r="H120" s="19">
        <f>H216</f>
        <v>85164.692978781502</v>
      </c>
      <c r="I120" s="19">
        <f t="shared" ref="I120:P120" si="99">I216</f>
        <v>127706.14945597609</v>
      </c>
      <c r="J120" s="19">
        <f t="shared" si="99"/>
        <v>181668.24419242208</v>
      </c>
      <c r="K120" s="19">
        <f t="shared" si="99"/>
        <v>249849.34462749946</v>
      </c>
      <c r="L120" s="19">
        <f t="shared" si="99"/>
        <v>325312.03717719641</v>
      </c>
      <c r="M120" s="19">
        <f t="shared" si="99"/>
        <v>406099.8165627725</v>
      </c>
      <c r="N120" s="19">
        <f t="shared" si="99"/>
        <v>492517.05826116266</v>
      </c>
      <c r="O120" s="19">
        <f t="shared" si="99"/>
        <v>584744.83312148054</v>
      </c>
      <c r="P120" s="19">
        <f t="shared" si="99"/>
        <v>684039.06316786259</v>
      </c>
    </row>
    <row r="121" spans="1:19" outlineLevel="1" x14ac:dyDescent="0.15">
      <c r="A121" s="13" t="s">
        <v>43</v>
      </c>
      <c r="B121" s="13"/>
      <c r="C121" s="13"/>
      <c r="D121" s="25">
        <f>SUM(D116:D120)</f>
        <v>65025</v>
      </c>
      <c r="E121" s="25">
        <f>SUM(E116:E120)</f>
        <v>107555</v>
      </c>
      <c r="F121" s="25">
        <f>SUM(F116:F120)</f>
        <v>106386</v>
      </c>
      <c r="G121" s="25">
        <f>SUM(G116:G120)</f>
        <v>90069.75640249344</v>
      </c>
      <c r="H121" s="25">
        <f>SUM(H116:H120)</f>
        <v>101883.5689917952</v>
      </c>
      <c r="I121" s="25">
        <f t="shared" ref="I121:K121" si="100">SUM(I116:I120)</f>
        <v>144648.99456998979</v>
      </c>
      <c r="J121" s="25">
        <f t="shared" si="100"/>
        <v>198471.88564035564</v>
      </c>
      <c r="K121" s="25">
        <f t="shared" si="100"/>
        <v>267167.30621022638</v>
      </c>
      <c r="L121" s="25">
        <f t="shared" ref="L121" si="101">SUM(L116:L120)</f>
        <v>343146.18481663789</v>
      </c>
      <c r="M121" s="25">
        <f t="shared" ref="M121" si="102">SUM(M116:M120)</f>
        <v>424463.33010779164</v>
      </c>
      <c r="N121" s="25">
        <f t="shared" ref="N121" si="103">SUM(N116:N120)</f>
        <v>511362.29478025751</v>
      </c>
      <c r="O121" s="25">
        <f t="shared" ref="O121" si="104">SUM(O116:O120)</f>
        <v>603920.51242212486</v>
      </c>
      <c r="P121" s="25">
        <f t="shared" ref="P121" si="105">SUM(P116:P120)</f>
        <v>703766.22227985458</v>
      </c>
    </row>
    <row r="122" spans="1:19" outlineLevel="1" x14ac:dyDescent="0.15">
      <c r="A122" s="15" t="s">
        <v>44</v>
      </c>
      <c r="B122" s="15"/>
      <c r="C122" s="15"/>
      <c r="D122" s="30">
        <f>D121+D113</f>
        <v>107211</v>
      </c>
      <c r="E122" s="30">
        <f>E121+E113</f>
        <v>159695</v>
      </c>
      <c r="F122" s="30">
        <f>F121+F113</f>
        <v>348881</v>
      </c>
      <c r="G122" s="30">
        <f>G121+G113</f>
        <v>283955.63079187874</v>
      </c>
      <c r="H122" s="30">
        <f>H121+H113</f>
        <v>269922.822872577</v>
      </c>
      <c r="I122" s="30">
        <f t="shared" ref="I122:K122" si="106">I121+I113</f>
        <v>308019.76844019431</v>
      </c>
      <c r="J122" s="30">
        <f t="shared" si="106"/>
        <v>359641.02060171729</v>
      </c>
      <c r="K122" s="30">
        <f t="shared" si="106"/>
        <v>425860.4681909823</v>
      </c>
      <c r="L122" s="30">
        <f t="shared" ref="L122" si="107">L121+L113</f>
        <v>503140.05993567687</v>
      </c>
      <c r="M122" s="30">
        <f t="shared" ref="M122" si="108">M121+M113</f>
        <v>587985.36355183215</v>
      </c>
      <c r="N122" s="30">
        <f t="shared" ref="N122" si="109">N121+N113</f>
        <v>679394.62416033191</v>
      </c>
      <c r="O122" s="30">
        <f t="shared" ref="O122" si="110">O121+O113</f>
        <v>776307.72855690471</v>
      </c>
      <c r="P122" s="30">
        <f t="shared" ref="P122" si="111">P121+P113</f>
        <v>880422.92073803721</v>
      </c>
    </row>
    <row r="123" spans="1:19" outlineLevel="1" x14ac:dyDescent="0.15">
      <c r="E123" s="24"/>
      <c r="F123" s="24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9" outlineLevel="1" x14ac:dyDescent="0.15">
      <c r="A124" s="12" t="s">
        <v>45</v>
      </c>
      <c r="E124" s="28"/>
      <c r="F124" s="28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9" outlineLevel="1" x14ac:dyDescent="0.15">
      <c r="A125" s="2" t="s">
        <v>46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9" outlineLevel="1" x14ac:dyDescent="0.15">
      <c r="A126" s="2" t="s">
        <v>47</v>
      </c>
      <c r="D126" s="24">
        <v>45206</v>
      </c>
      <c r="E126" s="24">
        <v>46021</v>
      </c>
      <c r="F126" s="24">
        <v>41179</v>
      </c>
      <c r="G126" s="19">
        <f>-SUM(G80,G84,G88)/G6*G33</f>
        <v>45814.191803278693</v>
      </c>
      <c r="H126" s="19">
        <f>-SUM(H80,H84,H88)/H6*H33</f>
        <v>42379.382601369864</v>
      </c>
      <c r="I126" s="19">
        <f>-SUM(I80,I84,I88)/I6*I33</f>
        <v>45445.584957287676</v>
      </c>
      <c r="J126" s="19">
        <f>-SUM(J80,J84,J88)/J6*J33</f>
        <v>45066.871749310281</v>
      </c>
      <c r="K126" s="19">
        <f>-SUM(K80,K84,K88)/K6*K33</f>
        <v>46966.206439837908</v>
      </c>
      <c r="L126" s="19">
        <f>-SUM(L80,L84,L88)/L6*L33</f>
        <v>48629.327599339063</v>
      </c>
      <c r="M126" s="19">
        <f>-SUM(M80,M84,M88)/M6*M33</f>
        <v>50574.500703312624</v>
      </c>
      <c r="N126" s="19">
        <f>-SUM(N80,N84,N88)/N6*N33</f>
        <v>52344.608227928569</v>
      </c>
      <c r="O126" s="19">
        <f>-SUM(O80,O84,O88)/O6*O33</f>
        <v>52476.098534775854</v>
      </c>
      <c r="P126" s="19">
        <f>-SUM(P80,P84,P88)/P6*P33</f>
        <v>54461.564071119014</v>
      </c>
    </row>
    <row r="127" spans="1:19" outlineLevel="1" x14ac:dyDescent="0.15">
      <c r="A127" s="2" t="s">
        <v>48</v>
      </c>
      <c r="D127" s="24"/>
      <c r="E127" s="24">
        <v>0</v>
      </c>
      <c r="F127" s="24">
        <v>63250</v>
      </c>
      <c r="G127" s="19">
        <f>G299</f>
        <v>39930.083314444302</v>
      </c>
      <c r="H127" s="19">
        <f>H299</f>
        <v>28477.752054527566</v>
      </c>
      <c r="I127" s="19">
        <f>I299</f>
        <v>23432.603256353628</v>
      </c>
      <c r="J127" s="19">
        <f>J299</f>
        <v>21369.715218721154</v>
      </c>
      <c r="K127" s="19">
        <f>K299</f>
        <v>20772.67481147941</v>
      </c>
      <c r="L127" s="19">
        <f>L299</f>
        <v>20877.667295943291</v>
      </c>
      <c r="M127" s="19">
        <f>M299</f>
        <v>21349.816733783377</v>
      </c>
      <c r="N127" s="19">
        <f>N299</f>
        <v>21967.775860706828</v>
      </c>
      <c r="O127" s="19">
        <f>O299</f>
        <v>22672.005786452082</v>
      </c>
      <c r="P127" s="19">
        <f>P299</f>
        <v>23433.204874288163</v>
      </c>
    </row>
    <row r="128" spans="1:19" outlineLevel="1" x14ac:dyDescent="0.15">
      <c r="A128" s="2" t="s">
        <v>49</v>
      </c>
      <c r="D128" s="24">
        <v>184</v>
      </c>
      <c r="E128" s="24">
        <v>411</v>
      </c>
      <c r="F128" s="24">
        <v>605</v>
      </c>
      <c r="G128" s="19">
        <f>F128</f>
        <v>605</v>
      </c>
      <c r="H128" s="19">
        <f>G128</f>
        <v>605</v>
      </c>
      <c r="I128" s="19">
        <f t="shared" ref="I128:P128" si="112">H128</f>
        <v>605</v>
      </c>
      <c r="J128" s="19">
        <f t="shared" si="112"/>
        <v>605</v>
      </c>
      <c r="K128" s="19">
        <f t="shared" si="112"/>
        <v>605</v>
      </c>
      <c r="L128" s="19">
        <f t="shared" si="112"/>
        <v>605</v>
      </c>
      <c r="M128" s="19">
        <f t="shared" si="112"/>
        <v>605</v>
      </c>
      <c r="N128" s="19">
        <f t="shared" si="112"/>
        <v>605</v>
      </c>
      <c r="O128" s="19">
        <f t="shared" si="112"/>
        <v>605</v>
      </c>
      <c r="P128" s="19">
        <f t="shared" si="112"/>
        <v>605</v>
      </c>
    </row>
    <row r="129" spans="1:20" outlineLevel="1" x14ac:dyDescent="0.15">
      <c r="A129" s="2" t="s">
        <v>50</v>
      </c>
      <c r="D129" s="24">
        <v>6779</v>
      </c>
      <c r="E129" s="24">
        <v>6009</v>
      </c>
      <c r="F129" s="24">
        <v>6019</v>
      </c>
      <c r="G129" s="19">
        <f>F129</f>
        <v>6019</v>
      </c>
      <c r="H129" s="19">
        <f>G129</f>
        <v>6019</v>
      </c>
      <c r="I129" s="19">
        <f t="shared" ref="I129:P129" si="113">H129</f>
        <v>6019</v>
      </c>
      <c r="J129" s="19">
        <f t="shared" si="113"/>
        <v>6019</v>
      </c>
      <c r="K129" s="19">
        <f t="shared" si="113"/>
        <v>6019</v>
      </c>
      <c r="L129" s="19">
        <f t="shared" si="113"/>
        <v>6019</v>
      </c>
      <c r="M129" s="19">
        <f t="shared" si="113"/>
        <v>6019</v>
      </c>
      <c r="N129" s="19">
        <f t="shared" si="113"/>
        <v>6019</v>
      </c>
      <c r="O129" s="19">
        <f t="shared" si="113"/>
        <v>6019</v>
      </c>
      <c r="P129" s="19">
        <f t="shared" si="113"/>
        <v>6019</v>
      </c>
    </row>
    <row r="130" spans="1:20" outlineLevel="1" x14ac:dyDescent="0.15">
      <c r="A130" s="2" t="s">
        <v>51</v>
      </c>
      <c r="D130" s="24">
        <v>1296</v>
      </c>
      <c r="E130" s="24">
        <v>1329</v>
      </c>
      <c r="F130" s="24">
        <v>1524</v>
      </c>
      <c r="G130" s="19">
        <f>F130</f>
        <v>1524</v>
      </c>
      <c r="H130" s="19">
        <f>G130</f>
        <v>1524</v>
      </c>
      <c r="I130" s="19">
        <f t="shared" ref="I130:P130" si="114">H130</f>
        <v>1524</v>
      </c>
      <c r="J130" s="19">
        <f t="shared" si="114"/>
        <v>1524</v>
      </c>
      <c r="K130" s="19">
        <f t="shared" si="114"/>
        <v>1524</v>
      </c>
      <c r="L130" s="19">
        <f t="shared" si="114"/>
        <v>1524</v>
      </c>
      <c r="M130" s="19">
        <f t="shared" si="114"/>
        <v>1524</v>
      </c>
      <c r="N130" s="19">
        <f t="shared" si="114"/>
        <v>1524</v>
      </c>
      <c r="O130" s="19">
        <f t="shared" si="114"/>
        <v>1524</v>
      </c>
      <c r="P130" s="19">
        <f t="shared" si="114"/>
        <v>1524</v>
      </c>
    </row>
    <row r="131" spans="1:20" outlineLevel="1" x14ac:dyDescent="0.15">
      <c r="A131" s="13" t="s">
        <v>52</v>
      </c>
      <c r="B131" s="13"/>
      <c r="C131" s="13"/>
      <c r="D131" s="25">
        <f>SUM(D126:D130)</f>
        <v>53465</v>
      </c>
      <c r="E131" s="25">
        <f>SUM(E126:E130)</f>
        <v>53770</v>
      </c>
      <c r="F131" s="25">
        <f>SUM(F126:F130)</f>
        <v>112577</v>
      </c>
      <c r="G131" s="25">
        <f>SUM(G126:G130)</f>
        <v>93892.275117722995</v>
      </c>
      <c r="H131" s="25">
        <f>SUM(H126:H130)</f>
        <v>79005.134655897433</v>
      </c>
      <c r="I131" s="25">
        <f t="shared" ref="I131:P131" si="115">SUM(I126:I130)</f>
        <v>77026.188213641304</v>
      </c>
      <c r="J131" s="25">
        <f t="shared" si="115"/>
        <v>74584.586968031435</v>
      </c>
      <c r="K131" s="25">
        <f t="shared" si="115"/>
        <v>75886.881251317318</v>
      </c>
      <c r="L131" s="25">
        <f t="shared" si="115"/>
        <v>77654.994895282347</v>
      </c>
      <c r="M131" s="25">
        <f t="shared" si="115"/>
        <v>80072.317437096004</v>
      </c>
      <c r="N131" s="25">
        <f t="shared" si="115"/>
        <v>82460.384088635401</v>
      </c>
      <c r="O131" s="25">
        <f t="shared" si="115"/>
        <v>83296.104321227933</v>
      </c>
      <c r="P131" s="25">
        <f t="shared" si="115"/>
        <v>86042.768945407181</v>
      </c>
      <c r="T131" s="19"/>
    </row>
    <row r="132" spans="1:20" outlineLevel="1" x14ac:dyDescent="0.15">
      <c r="E132" s="28"/>
      <c r="F132" s="28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20" outlineLevel="1" x14ac:dyDescent="0.15">
      <c r="A133" s="12" t="s">
        <v>53</v>
      </c>
      <c r="E133" s="28"/>
      <c r="F133" s="28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20" outlineLevel="1" x14ac:dyDescent="0.15">
      <c r="A134" s="2" t="s">
        <v>47</v>
      </c>
      <c r="D134" s="24">
        <v>6492</v>
      </c>
      <c r="E134" s="24">
        <v>6763</v>
      </c>
      <c r="F134" s="24">
        <v>7369</v>
      </c>
      <c r="G134" s="19">
        <f>G78*G36</f>
        <v>7125.21</v>
      </c>
      <c r="H134" s="19">
        <f>H78*H36</f>
        <v>7303.3402499999993</v>
      </c>
      <c r="I134" s="19">
        <f>I78*I36</f>
        <v>7887.6074699999999</v>
      </c>
      <c r="J134" s="19">
        <f>J78*J36</f>
        <v>8281.987843500001</v>
      </c>
      <c r="K134" s="19">
        <f>K78*K36</f>
        <v>8654.6772964575011</v>
      </c>
      <c r="L134" s="19">
        <f>L78*L36</f>
        <v>9000.8643883158002</v>
      </c>
      <c r="M134" s="19">
        <f>M78*M36</f>
        <v>9360.8989638484327</v>
      </c>
      <c r="N134" s="19">
        <f>N78*N36</f>
        <v>9688.5304275831277</v>
      </c>
      <c r="O134" s="19">
        <f>O78*O36</f>
        <v>10027.628992548536</v>
      </c>
      <c r="P134" s="19">
        <f>P78*P36</f>
        <v>10378.596007287735</v>
      </c>
    </row>
    <row r="135" spans="1:20" outlineLevel="1" x14ac:dyDescent="0.15">
      <c r="A135" s="2" t="s">
        <v>48</v>
      </c>
      <c r="D135" s="24">
        <v>0</v>
      </c>
      <c r="E135" s="24">
        <v>0</v>
      </c>
      <c r="F135" s="24">
        <v>117631</v>
      </c>
      <c r="G135" s="19">
        <f>G300</f>
        <v>74261.116685555695</v>
      </c>
      <c r="H135" s="19">
        <f>H300</f>
        <v>52962.315445472443</v>
      </c>
      <c r="I135" s="19">
        <f>I300</f>
        <v>43579.455393646378</v>
      </c>
      <c r="J135" s="19">
        <f>J300</f>
        <v>39742.940251278858</v>
      </c>
      <c r="K135" s="19">
        <f>K300</f>
        <v>38632.577245045599</v>
      </c>
      <c r="L135" s="19">
        <f>L300</f>
        <v>38827.84002670522</v>
      </c>
      <c r="M135" s="19">
        <f>M300</f>
        <v>39705.933473702331</v>
      </c>
      <c r="N135" s="19">
        <f>N300</f>
        <v>40855.200668313119</v>
      </c>
      <c r="O135" s="19">
        <f>O300</f>
        <v>42164.912453219673</v>
      </c>
      <c r="P135" s="19">
        <f>P300</f>
        <v>43580.574269840174</v>
      </c>
    </row>
    <row r="136" spans="1:20" outlineLevel="1" x14ac:dyDescent="0.15">
      <c r="A136" s="2" t="s">
        <v>49</v>
      </c>
      <c r="D136" s="24">
        <v>1573</v>
      </c>
      <c r="E136" s="24">
        <v>4364</v>
      </c>
      <c r="F136" s="24">
        <v>4113</v>
      </c>
      <c r="G136" s="19">
        <f>-G128+G323</f>
        <v>4113</v>
      </c>
      <c r="H136" s="19">
        <f>-H128+H323</f>
        <v>4113</v>
      </c>
      <c r="I136" s="19">
        <f>-I128+I323</f>
        <v>4113</v>
      </c>
      <c r="J136" s="19">
        <f>-J128+J323</f>
        <v>4113</v>
      </c>
      <c r="K136" s="19">
        <f>-K128+K323</f>
        <v>4113</v>
      </c>
      <c r="L136" s="19">
        <f>-L128+L323</f>
        <v>4113</v>
      </c>
      <c r="M136" s="19">
        <f>-M128+M323</f>
        <v>4113</v>
      </c>
      <c r="N136" s="19">
        <f>-N128+N323</f>
        <v>4113</v>
      </c>
      <c r="O136" s="19">
        <f>-O128+O323</f>
        <v>4113</v>
      </c>
      <c r="P136" s="19">
        <f>-P128+P323</f>
        <v>4113</v>
      </c>
    </row>
    <row r="137" spans="1:20" outlineLevel="1" x14ac:dyDescent="0.15">
      <c r="A137" s="2" t="s">
        <v>54</v>
      </c>
      <c r="D137" s="24">
        <v>14</v>
      </c>
      <c r="E137" s="24">
        <v>14</v>
      </c>
      <c r="F137" s="24">
        <v>81</v>
      </c>
      <c r="G137" s="19">
        <f>F137</f>
        <v>81</v>
      </c>
      <c r="H137" s="19">
        <f>G137</f>
        <v>81</v>
      </c>
      <c r="I137" s="19">
        <f t="shared" ref="I137:P137" si="116">H137</f>
        <v>81</v>
      </c>
      <c r="J137" s="19">
        <f t="shared" si="116"/>
        <v>81</v>
      </c>
      <c r="K137" s="19">
        <f t="shared" si="116"/>
        <v>81</v>
      </c>
      <c r="L137" s="19">
        <f t="shared" si="116"/>
        <v>81</v>
      </c>
      <c r="M137" s="19">
        <f t="shared" si="116"/>
        <v>81</v>
      </c>
      <c r="N137" s="19">
        <f t="shared" si="116"/>
        <v>81</v>
      </c>
      <c r="O137" s="19">
        <f t="shared" si="116"/>
        <v>81</v>
      </c>
      <c r="P137" s="19">
        <f t="shared" si="116"/>
        <v>81</v>
      </c>
    </row>
    <row r="138" spans="1:20" outlineLevel="1" x14ac:dyDescent="0.15">
      <c r="A138" s="2" t="s">
        <v>51</v>
      </c>
      <c r="D138" s="24">
        <v>2551</v>
      </c>
      <c r="E138" s="24">
        <v>3256</v>
      </c>
      <c r="F138" s="24">
        <v>4096</v>
      </c>
      <c r="G138" s="19">
        <f>F138</f>
        <v>4096</v>
      </c>
      <c r="H138" s="19">
        <f>G138</f>
        <v>4096</v>
      </c>
      <c r="I138" s="19">
        <f t="shared" ref="I138:P138" si="117">H138</f>
        <v>4096</v>
      </c>
      <c r="J138" s="19">
        <f t="shared" si="117"/>
        <v>4096</v>
      </c>
      <c r="K138" s="19">
        <f t="shared" si="117"/>
        <v>4096</v>
      </c>
      <c r="L138" s="19">
        <f t="shared" si="117"/>
        <v>4096</v>
      </c>
      <c r="M138" s="19">
        <f t="shared" si="117"/>
        <v>4096</v>
      </c>
      <c r="N138" s="19">
        <f t="shared" si="117"/>
        <v>4096</v>
      </c>
      <c r="O138" s="19">
        <f t="shared" si="117"/>
        <v>4096</v>
      </c>
      <c r="P138" s="19">
        <f t="shared" si="117"/>
        <v>4096</v>
      </c>
    </row>
    <row r="139" spans="1:20" outlineLevel="1" x14ac:dyDescent="0.15">
      <c r="A139" s="13" t="s">
        <v>55</v>
      </c>
      <c r="B139" s="13"/>
      <c r="C139" s="13"/>
      <c r="D139" s="25">
        <f>SUM(D134:D138)</f>
        <v>10630</v>
      </c>
      <c r="E139" s="25">
        <f>SUM(E134:E138)</f>
        <v>14397</v>
      </c>
      <c r="F139" s="25">
        <f>SUM(F134:F138)</f>
        <v>133290</v>
      </c>
      <c r="G139" s="25">
        <f t="shared" ref="G139:K139" si="118">SUM(G134:G138)</f>
        <v>89676.326685555701</v>
      </c>
      <c r="H139" s="25">
        <f t="shared" si="118"/>
        <v>68555.655695472436</v>
      </c>
      <c r="I139" s="25">
        <f t="shared" si="118"/>
        <v>59757.062863646381</v>
      </c>
      <c r="J139" s="25">
        <f t="shared" si="118"/>
        <v>56314.928094778857</v>
      </c>
      <c r="K139" s="25">
        <f t="shared" si="118"/>
        <v>55577.254541503098</v>
      </c>
      <c r="L139" s="25">
        <f t="shared" ref="L139" si="119">SUM(L134:L138)</f>
        <v>56118.70441502102</v>
      </c>
      <c r="M139" s="25">
        <f t="shared" ref="M139" si="120">SUM(M134:M138)</f>
        <v>57356.832437550765</v>
      </c>
      <c r="N139" s="25">
        <f t="shared" ref="N139" si="121">SUM(N134:N138)</f>
        <v>58833.731095896248</v>
      </c>
      <c r="O139" s="25">
        <f t="shared" ref="O139" si="122">SUM(O134:O138)</f>
        <v>60482.541445768205</v>
      </c>
      <c r="P139" s="25">
        <f t="shared" ref="P139" si="123">SUM(P134:P138)</f>
        <v>62249.170277127909</v>
      </c>
    </row>
    <row r="140" spans="1:20" outlineLevel="1" x14ac:dyDescent="0.15">
      <c r="A140" s="15" t="s">
        <v>56</v>
      </c>
      <c r="B140" s="15"/>
      <c r="C140" s="15"/>
      <c r="D140" s="30">
        <f>D139+D131</f>
        <v>64095</v>
      </c>
      <c r="E140" s="30">
        <f>E139+E131</f>
        <v>68167</v>
      </c>
      <c r="F140" s="30">
        <f>F139+F131</f>
        <v>245867</v>
      </c>
      <c r="G140" s="30">
        <f t="shared" ref="G140:K140" si="124">G139+G131</f>
        <v>183568.6018032787</v>
      </c>
      <c r="H140" s="30">
        <f t="shared" si="124"/>
        <v>147560.79035136988</v>
      </c>
      <c r="I140" s="30">
        <f t="shared" si="124"/>
        <v>136783.25107728768</v>
      </c>
      <c r="J140" s="30">
        <f t="shared" si="124"/>
        <v>130899.5150628103</v>
      </c>
      <c r="K140" s="30">
        <f t="shared" si="124"/>
        <v>131464.13579282042</v>
      </c>
      <c r="L140" s="30">
        <f t="shared" ref="L140" si="125">L139+L131</f>
        <v>133773.69931030337</v>
      </c>
      <c r="M140" s="30">
        <f t="shared" ref="M140" si="126">M139+M131</f>
        <v>137429.14987464677</v>
      </c>
      <c r="N140" s="30">
        <f t="shared" ref="N140" si="127">N139+N131</f>
        <v>141294.11518453166</v>
      </c>
      <c r="O140" s="30">
        <f t="shared" ref="O140" si="128">O139+O131</f>
        <v>143778.64576699614</v>
      </c>
      <c r="P140" s="30">
        <f t="shared" ref="P140" si="129">P139+P131</f>
        <v>148291.93922253509</v>
      </c>
    </row>
    <row r="141" spans="1:20" outlineLevel="1" x14ac:dyDescent="0.15">
      <c r="E141" s="28"/>
      <c r="F141" s="28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20" outlineLevel="1" x14ac:dyDescent="0.15">
      <c r="A142" s="12" t="s">
        <v>57</v>
      </c>
      <c r="E142" s="28"/>
      <c r="F142" s="28"/>
      <c r="G142" s="28"/>
      <c r="H142" s="28"/>
      <c r="I142" s="19"/>
      <c r="J142" s="19"/>
      <c r="K142" s="19"/>
      <c r="L142" s="19"/>
      <c r="M142" s="19"/>
      <c r="N142" s="19"/>
      <c r="O142" s="19"/>
      <c r="P142" s="19"/>
    </row>
    <row r="143" spans="1:20" outlineLevel="1" x14ac:dyDescent="0.15">
      <c r="A143" s="2" t="s">
        <v>58</v>
      </c>
      <c r="D143" s="19">
        <v>1000</v>
      </c>
      <c r="E143" s="24">
        <v>44961</v>
      </c>
      <c r="F143" s="24">
        <v>44961</v>
      </c>
      <c r="G143" s="19">
        <f>F143+G71</f>
        <v>44961</v>
      </c>
      <c r="H143" s="19">
        <f>G143+H71</f>
        <v>44961</v>
      </c>
      <c r="I143" s="19">
        <f t="shared" ref="I143:P143" si="130">H143+I71</f>
        <v>44961</v>
      </c>
      <c r="J143" s="19">
        <f t="shared" si="130"/>
        <v>44961</v>
      </c>
      <c r="K143" s="19">
        <f t="shared" si="130"/>
        <v>44961</v>
      </c>
      <c r="L143" s="19">
        <f t="shared" si="130"/>
        <v>44961</v>
      </c>
      <c r="M143" s="19">
        <f t="shared" si="130"/>
        <v>44961</v>
      </c>
      <c r="N143" s="19">
        <f t="shared" si="130"/>
        <v>44961</v>
      </c>
      <c r="O143" s="19">
        <f t="shared" si="130"/>
        <v>44961</v>
      </c>
      <c r="P143" s="19">
        <f t="shared" si="130"/>
        <v>44961</v>
      </c>
    </row>
    <row r="144" spans="1:20" outlineLevel="1" x14ac:dyDescent="0.15">
      <c r="A144" s="2" t="s">
        <v>59</v>
      </c>
      <c r="D144" s="19"/>
      <c r="E144" s="24">
        <v>0</v>
      </c>
      <c r="F144" s="24">
        <v>-240</v>
      </c>
      <c r="G144" s="19">
        <f>F144+G72</f>
        <v>-240</v>
      </c>
      <c r="H144" s="19">
        <f>G144+H72</f>
        <v>-240</v>
      </c>
      <c r="I144" s="19">
        <f t="shared" ref="I144:P144" si="131">H144+I72</f>
        <v>-240</v>
      </c>
      <c r="J144" s="19">
        <f t="shared" si="131"/>
        <v>-240</v>
      </c>
      <c r="K144" s="19">
        <f t="shared" si="131"/>
        <v>-240</v>
      </c>
      <c r="L144" s="19">
        <f t="shared" si="131"/>
        <v>-240</v>
      </c>
      <c r="M144" s="19">
        <f t="shared" si="131"/>
        <v>-240</v>
      </c>
      <c r="N144" s="19">
        <f t="shared" si="131"/>
        <v>-240</v>
      </c>
      <c r="O144" s="19">
        <f t="shared" si="131"/>
        <v>-240</v>
      </c>
      <c r="P144" s="19">
        <f t="shared" si="131"/>
        <v>-240</v>
      </c>
    </row>
    <row r="145" spans="1:16" outlineLevel="1" x14ac:dyDescent="0.15">
      <c r="A145" s="2" t="s">
        <v>60</v>
      </c>
      <c r="D145" s="19">
        <v>-395</v>
      </c>
      <c r="E145" s="24">
        <v>-287</v>
      </c>
      <c r="F145" s="24">
        <v>-389</v>
      </c>
      <c r="G145" s="19">
        <f>F145</f>
        <v>-389</v>
      </c>
      <c r="H145" s="19">
        <f>G145</f>
        <v>-389</v>
      </c>
      <c r="I145" s="19">
        <f t="shared" ref="I145:P145" si="132">H145</f>
        <v>-389</v>
      </c>
      <c r="J145" s="19">
        <f t="shared" si="132"/>
        <v>-389</v>
      </c>
      <c r="K145" s="19">
        <f t="shared" si="132"/>
        <v>-389</v>
      </c>
      <c r="L145" s="19">
        <f t="shared" si="132"/>
        <v>-389</v>
      </c>
      <c r="M145" s="19">
        <f t="shared" si="132"/>
        <v>-389</v>
      </c>
      <c r="N145" s="19">
        <f t="shared" si="132"/>
        <v>-389</v>
      </c>
      <c r="O145" s="19">
        <f t="shared" si="132"/>
        <v>-389</v>
      </c>
      <c r="P145" s="19">
        <f t="shared" si="132"/>
        <v>-389</v>
      </c>
    </row>
    <row r="146" spans="1:16" outlineLevel="1" x14ac:dyDescent="0.15">
      <c r="A146" s="2" t="s">
        <v>61</v>
      </c>
      <c r="D146" s="19">
        <v>42361</v>
      </c>
      <c r="E146" s="24">
        <v>46737</v>
      </c>
      <c r="F146" s="24">
        <v>57953</v>
      </c>
      <c r="G146" s="19">
        <f>F146+G96-G98+G306</f>
        <v>54219.728988600022</v>
      </c>
      <c r="H146" s="19">
        <f>G146+H96-H98+H306</f>
        <v>80985.349521207114</v>
      </c>
      <c r="I146" s="19">
        <f t="shared" ref="I146:P146" si="133">H146+I96-I98+I306</f>
        <v>137747.75072540657</v>
      </c>
      <c r="J146" s="19">
        <f t="shared" si="133"/>
        <v>204851.24070090702</v>
      </c>
      <c r="K146" s="19">
        <f t="shared" si="133"/>
        <v>280472.75631161191</v>
      </c>
      <c r="L146" s="19">
        <f t="shared" si="133"/>
        <v>364917.96558327647</v>
      </c>
      <c r="M146" s="19">
        <f t="shared" si="133"/>
        <v>455409.92145458644</v>
      </c>
      <c r="N146" s="19">
        <f t="shared" si="133"/>
        <v>552288.16224918945</v>
      </c>
      <c r="O146" s="19">
        <f t="shared" si="133"/>
        <v>656196.67764129897</v>
      </c>
      <c r="P146" s="19">
        <f t="shared" si="133"/>
        <v>764998.29251577274</v>
      </c>
    </row>
    <row r="147" spans="1:16" outlineLevel="1" x14ac:dyDescent="0.15">
      <c r="A147" s="13" t="s">
        <v>62</v>
      </c>
      <c r="B147" s="13"/>
      <c r="C147" s="13"/>
      <c r="D147" s="25">
        <f>SUM(D143:D146)</f>
        <v>42966</v>
      </c>
      <c r="E147" s="25">
        <f>SUM(E143:E146)</f>
        <v>91411</v>
      </c>
      <c r="F147" s="25">
        <f>SUM(F143:F146)</f>
        <v>102285</v>
      </c>
      <c r="G147" s="25">
        <f>SUM(G143:G146)</f>
        <v>98551.728988600022</v>
      </c>
      <c r="H147" s="25">
        <f>SUM(H143:H146)</f>
        <v>125317.34952120711</v>
      </c>
      <c r="I147" s="25">
        <f t="shared" ref="I147:K147" si="134">SUM(I143:I146)</f>
        <v>182079.75072540657</v>
      </c>
      <c r="J147" s="25">
        <f t="shared" si="134"/>
        <v>249183.24070090702</v>
      </c>
      <c r="K147" s="25">
        <f t="shared" si="134"/>
        <v>324804.75631161191</v>
      </c>
      <c r="L147" s="25">
        <f t="shared" ref="L147" si="135">SUM(L143:L146)</f>
        <v>409249.96558327647</v>
      </c>
      <c r="M147" s="25">
        <f t="shared" ref="M147" si="136">SUM(M143:M146)</f>
        <v>499741.92145458644</v>
      </c>
      <c r="N147" s="25">
        <f t="shared" ref="N147" si="137">SUM(N143:N146)</f>
        <v>596620.16224918945</v>
      </c>
      <c r="O147" s="25">
        <f t="shared" ref="O147" si="138">SUM(O143:O146)</f>
        <v>700528.67764129897</v>
      </c>
      <c r="P147" s="25">
        <f t="shared" ref="P147" si="139">SUM(P143:P146)</f>
        <v>809330.29251577274</v>
      </c>
    </row>
    <row r="148" spans="1:16" outlineLevel="1" x14ac:dyDescent="0.15">
      <c r="A148" s="2" t="s">
        <v>63</v>
      </c>
      <c r="D148" s="19">
        <v>150</v>
      </c>
      <c r="E148" s="24">
        <v>117</v>
      </c>
      <c r="F148" s="24">
        <v>729</v>
      </c>
      <c r="G148" s="19">
        <f>F148</f>
        <v>729</v>
      </c>
      <c r="H148" s="19">
        <f>G148</f>
        <v>729</v>
      </c>
      <c r="I148" s="19">
        <f t="shared" ref="I148:P148" si="140">H148</f>
        <v>729</v>
      </c>
      <c r="J148" s="19">
        <f t="shared" si="140"/>
        <v>729</v>
      </c>
      <c r="K148" s="19">
        <f t="shared" si="140"/>
        <v>729</v>
      </c>
      <c r="L148" s="19">
        <f t="shared" si="140"/>
        <v>729</v>
      </c>
      <c r="M148" s="19">
        <f t="shared" si="140"/>
        <v>729</v>
      </c>
      <c r="N148" s="19">
        <f t="shared" si="140"/>
        <v>729</v>
      </c>
      <c r="O148" s="19">
        <f t="shared" si="140"/>
        <v>729</v>
      </c>
      <c r="P148" s="19">
        <f t="shared" si="140"/>
        <v>729</v>
      </c>
    </row>
    <row r="149" spans="1:16" outlineLevel="1" x14ac:dyDescent="0.15">
      <c r="A149" s="13" t="s">
        <v>64</v>
      </c>
      <c r="B149" s="13"/>
      <c r="C149" s="13"/>
      <c r="D149" s="25">
        <f>D148+D147</f>
        <v>43116</v>
      </c>
      <c r="E149" s="25">
        <f>E148+E147</f>
        <v>91528</v>
      </c>
      <c r="F149" s="25">
        <f>F148+F147</f>
        <v>103014</v>
      </c>
      <c r="G149" s="25">
        <f>G148+G147</f>
        <v>99280.728988600022</v>
      </c>
      <c r="H149" s="25">
        <f>H148+H147</f>
        <v>126046.34952120711</v>
      </c>
      <c r="I149" s="25">
        <f t="shared" ref="I149:K149" si="141">I148+I147</f>
        <v>182808.75072540657</v>
      </c>
      <c r="J149" s="25">
        <f t="shared" si="141"/>
        <v>249912.24070090702</v>
      </c>
      <c r="K149" s="25">
        <f t="shared" si="141"/>
        <v>325533.75631161191</v>
      </c>
      <c r="L149" s="25">
        <f t="shared" ref="L149" si="142">L148+L147</f>
        <v>409978.96558327647</v>
      </c>
      <c r="M149" s="25">
        <f t="shared" ref="M149" si="143">M148+M147</f>
        <v>500470.92145458644</v>
      </c>
      <c r="N149" s="25">
        <f t="shared" ref="N149" si="144">N148+N147</f>
        <v>597349.16224918945</v>
      </c>
      <c r="O149" s="25">
        <f t="shared" ref="O149" si="145">O148+O147</f>
        <v>701257.67764129897</v>
      </c>
      <c r="P149" s="25">
        <f t="shared" ref="P149" si="146">P148+P147</f>
        <v>810059.29251577274</v>
      </c>
    </row>
    <row r="150" spans="1:16" outlineLevel="1" x14ac:dyDescent="0.15">
      <c r="A150" s="15" t="s">
        <v>65</v>
      </c>
      <c r="B150" s="15"/>
      <c r="C150" s="15"/>
      <c r="D150" s="30">
        <f>SUM(D149,D140)</f>
        <v>107211</v>
      </c>
      <c r="E150" s="30">
        <f>SUM(E149,E140)</f>
        <v>159695</v>
      </c>
      <c r="F150" s="30">
        <f>SUM(F149,F140)</f>
        <v>348881</v>
      </c>
      <c r="G150" s="30">
        <f t="shared" ref="G150:K150" si="147">SUM(G149,G140)</f>
        <v>282849.33079187875</v>
      </c>
      <c r="H150" s="30">
        <f t="shared" si="147"/>
        <v>273607.13987257698</v>
      </c>
      <c r="I150" s="30">
        <f t="shared" si="147"/>
        <v>319592.00180269429</v>
      </c>
      <c r="J150" s="30">
        <f t="shared" si="147"/>
        <v>380811.75576371734</v>
      </c>
      <c r="K150" s="30">
        <f t="shared" si="147"/>
        <v>456997.89210443234</v>
      </c>
      <c r="L150" s="30">
        <f t="shared" ref="L150" si="148">SUM(L149,L140)</f>
        <v>543752.6648935799</v>
      </c>
      <c r="M150" s="30">
        <f t="shared" ref="M150" si="149">SUM(M149,M140)</f>
        <v>637900.07132923324</v>
      </c>
      <c r="N150" s="30">
        <f t="shared" ref="N150" si="150">SUM(N149,N140)</f>
        <v>738643.27743372112</v>
      </c>
      <c r="O150" s="30">
        <f t="shared" ref="O150" si="151">SUM(O149,O140)</f>
        <v>845036.32340829517</v>
      </c>
      <c r="P150" s="30">
        <f t="shared" ref="P150" si="152">SUM(P149,P140)</f>
        <v>958351.23173830786</v>
      </c>
    </row>
    <row r="151" spans="1:16" outlineLevel="1" x14ac:dyDescent="0.15"/>
    <row r="152" spans="1:16" outlineLevel="1" x14ac:dyDescent="0.15">
      <c r="A152" s="3" t="s">
        <v>67</v>
      </c>
      <c r="D152" s="31">
        <f>D150-D122</f>
        <v>0</v>
      </c>
      <c r="E152" s="31">
        <f t="shared" ref="E152:K152" si="153">E150-E122</f>
        <v>0</v>
      </c>
      <c r="F152" s="31">
        <f t="shared" si="153"/>
        <v>0</v>
      </c>
      <c r="G152" s="31">
        <f>G150-G122</f>
        <v>-1106.2999999999884</v>
      </c>
      <c r="H152" s="31">
        <f t="shared" si="153"/>
        <v>3684.3169999999809</v>
      </c>
      <c r="I152" s="31">
        <f t="shared" si="153"/>
        <v>11572.233362499974</v>
      </c>
      <c r="J152" s="31">
        <f t="shared" si="153"/>
        <v>21170.735162000055</v>
      </c>
      <c r="K152" s="31">
        <f t="shared" si="153"/>
        <v>31137.423913450039</v>
      </c>
      <c r="L152" s="31">
        <f t="shared" ref="L152:N152" si="154">L150-L122</f>
        <v>40612.604957903037</v>
      </c>
      <c r="M152" s="31">
        <f t="shared" si="154"/>
        <v>49914.707777401083</v>
      </c>
      <c r="N152" s="31">
        <f t="shared" si="154"/>
        <v>59248.653273389209</v>
      </c>
      <c r="O152" s="31">
        <f t="shared" ref="O152:P152" si="155">O150-O122</f>
        <v>68728.594851390459</v>
      </c>
      <c r="P152" s="31">
        <f t="shared" si="155"/>
        <v>77928.311000270653</v>
      </c>
    </row>
    <row r="154" spans="1:16" x14ac:dyDescent="0.15">
      <c r="A154" s="4" t="s">
        <v>136</v>
      </c>
      <c r="B154" s="4"/>
      <c r="C154" s="4"/>
      <c r="D154" s="4"/>
      <c r="E154" s="29"/>
      <c r="F154" s="29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1:16" outlineLevel="1" x14ac:dyDescent="0.15"/>
    <row r="156" spans="1:16" outlineLevel="1" x14ac:dyDescent="0.15">
      <c r="A156" s="12" t="s">
        <v>68</v>
      </c>
    </row>
    <row r="157" spans="1:16" outlineLevel="1" x14ac:dyDescent="0.15">
      <c r="A157" s="2" t="s">
        <v>21</v>
      </c>
      <c r="D157" s="28"/>
      <c r="E157" s="24">
        <v>24476</v>
      </c>
      <c r="F157" s="24">
        <v>27836</v>
      </c>
      <c r="G157" s="28">
        <f>G96</f>
        <v>159.28398860002923</v>
      </c>
      <c r="H157" s="28">
        <f t="shared" ref="H157:P157" si="156">H96</f>
        <v>24502.601595107113</v>
      </c>
      <c r="I157" s="28">
        <f t="shared" si="156"/>
        <v>51844.00937169946</v>
      </c>
      <c r="J157" s="28">
        <f t="shared" si="156"/>
        <v>61894.748919750447</v>
      </c>
      <c r="K157" s="28">
        <f t="shared" si="156"/>
        <v>71515.20179334993</v>
      </c>
      <c r="L157" s="28">
        <f t="shared" si="156"/>
        <v>80715.913364718406</v>
      </c>
      <c r="M157" s="28">
        <f t="shared" si="156"/>
        <v>86871.912059909329</v>
      </c>
      <c r="N157" s="28">
        <f t="shared" si="156"/>
        <v>93186.773205649064</v>
      </c>
      <c r="O157" s="28">
        <f t="shared" si="156"/>
        <v>100862.14423342612</v>
      </c>
      <c r="P157" s="28">
        <f t="shared" si="156"/>
        <v>106879.86669689533</v>
      </c>
    </row>
    <row r="158" spans="1:16" outlineLevel="1" x14ac:dyDescent="0.15">
      <c r="A158" s="2" t="s">
        <v>69</v>
      </c>
      <c r="D158" s="28"/>
      <c r="E158" s="24"/>
      <c r="F158" s="24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outlineLevel="1" x14ac:dyDescent="0.15">
      <c r="A159" s="2" t="s">
        <v>70</v>
      </c>
      <c r="D159" s="28"/>
      <c r="E159" s="24">
        <v>77</v>
      </c>
      <c r="F159" s="24">
        <v>59</v>
      </c>
      <c r="G159" s="28">
        <f>-(G106-F106)</f>
        <v>0</v>
      </c>
      <c r="H159" s="28">
        <f t="shared" ref="H159:P159" si="157">-(H106-G106)</f>
        <v>0</v>
      </c>
      <c r="I159" s="28">
        <f t="shared" si="157"/>
        <v>0</v>
      </c>
      <c r="J159" s="28">
        <f t="shared" si="157"/>
        <v>0</v>
      </c>
      <c r="K159" s="28">
        <f t="shared" si="157"/>
        <v>0</v>
      </c>
      <c r="L159" s="28">
        <f t="shared" si="157"/>
        <v>0</v>
      </c>
      <c r="M159" s="28">
        <f t="shared" si="157"/>
        <v>0</v>
      </c>
      <c r="N159" s="28">
        <f t="shared" si="157"/>
        <v>0</v>
      </c>
      <c r="O159" s="28">
        <f t="shared" si="157"/>
        <v>0</v>
      </c>
      <c r="P159" s="28">
        <f t="shared" si="157"/>
        <v>0</v>
      </c>
    </row>
    <row r="160" spans="1:16" outlineLevel="1" x14ac:dyDescent="0.15">
      <c r="A160" s="2" t="s">
        <v>71</v>
      </c>
      <c r="D160" s="28"/>
      <c r="E160" s="24">
        <v>108</v>
      </c>
      <c r="F160" s="24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</row>
    <row r="161" spans="1:16" outlineLevel="1" x14ac:dyDescent="0.15">
      <c r="A161" s="2" t="s">
        <v>72</v>
      </c>
      <c r="D161" s="28"/>
      <c r="E161" s="24">
        <v>12</v>
      </c>
      <c r="F161" s="24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</row>
    <row r="162" spans="1:16" outlineLevel="1" x14ac:dyDescent="0.15">
      <c r="A162" s="2" t="s">
        <v>73</v>
      </c>
      <c r="D162" s="28"/>
      <c r="E162" s="24">
        <v>610</v>
      </c>
      <c r="F162" s="24">
        <v>5134</v>
      </c>
      <c r="G162" s="28">
        <f>G316</f>
        <v>3521.7000000000003</v>
      </c>
      <c r="H162" s="28">
        <f t="shared" ref="H162:P162" si="158">H316</f>
        <v>5703.6240000000007</v>
      </c>
      <c r="I162" s="28">
        <f t="shared" si="158"/>
        <v>6836.5308150000001</v>
      </c>
      <c r="J162" s="28">
        <f t="shared" si="158"/>
        <v>7491.5625786000001</v>
      </c>
      <c r="K162" s="28">
        <f t="shared" si="158"/>
        <v>7476.1251971639995</v>
      </c>
      <c r="L162" s="28">
        <f t="shared" si="158"/>
        <v>7000.8825973941603</v>
      </c>
      <c r="M162" s="28">
        <f t="shared" si="158"/>
        <v>6795.6159833587108</v>
      </c>
      <c r="N162" s="28">
        <f t="shared" si="158"/>
        <v>6756.7738797971961</v>
      </c>
      <c r="O162" s="28">
        <f t="shared" si="158"/>
        <v>6809.8471340241977</v>
      </c>
      <c r="P162" s="28">
        <f t="shared" si="158"/>
        <v>6587.5325892721312</v>
      </c>
    </row>
    <row r="163" spans="1:16" outlineLevel="1" x14ac:dyDescent="0.15">
      <c r="A163" s="2" t="s">
        <v>74</v>
      </c>
      <c r="D163" s="28"/>
      <c r="E163" s="24">
        <v>11241</v>
      </c>
      <c r="F163" s="24">
        <v>71417</v>
      </c>
      <c r="G163" s="28">
        <f>G313</f>
        <v>105749.71999999999</v>
      </c>
      <c r="H163" s="28">
        <f t="shared" ref="H163:P163" si="159">H313</f>
        <v>78068.601445223379</v>
      </c>
      <c r="I163" s="28">
        <f t="shared" si="159"/>
        <v>57167.088741626809</v>
      </c>
      <c r="J163" s="28">
        <f t="shared" si="159"/>
        <v>52542.328620594795</v>
      </c>
      <c r="K163" s="28">
        <f t="shared" si="159"/>
        <v>50471.077236175304</v>
      </c>
      <c r="L163" s="28">
        <f t="shared" si="159"/>
        <v>49326.367986339443</v>
      </c>
      <c r="M163" s="28">
        <f t="shared" si="159"/>
        <v>49609.307962537125</v>
      </c>
      <c r="N163" s="28">
        <f t="shared" si="159"/>
        <v>50696.16385163532</v>
      </c>
      <c r="O163" s="28">
        <f t="shared" si="159"/>
        <v>52131.577207718889</v>
      </c>
      <c r="P163" s="28">
        <f t="shared" si="159"/>
        <v>53789.784071542163</v>
      </c>
    </row>
    <row r="164" spans="1:16" outlineLevel="1" x14ac:dyDescent="0.15">
      <c r="A164" s="2" t="s">
        <v>16</v>
      </c>
      <c r="D164" s="28"/>
      <c r="E164" s="24">
        <v>280</v>
      </c>
      <c r="F164" s="24">
        <v>4433</v>
      </c>
      <c r="G164" s="28">
        <f>-G91</f>
        <v>3950.8863799999999</v>
      </c>
      <c r="H164" s="28">
        <f t="shared" ref="H164:P164" si="160">-H91</f>
        <v>2665.18335075</v>
      </c>
      <c r="I164" s="28">
        <f t="shared" si="160"/>
        <v>2056.5724273350006</v>
      </c>
      <c r="J164" s="28">
        <f t="shared" si="160"/>
        <v>1794.3488121480002</v>
      </c>
      <c r="K164" s="28">
        <f t="shared" si="160"/>
        <v>1696.2210070921728</v>
      </c>
      <c r="L164" s="28">
        <f t="shared" si="160"/>
        <v>1678.0687959913382</v>
      </c>
      <c r="M164" s="28">
        <f t="shared" si="160"/>
        <v>1699.3602221387314</v>
      </c>
      <c r="N164" s="28">
        <f t="shared" si="160"/>
        <v>1739.5755749009229</v>
      </c>
      <c r="O164" s="28">
        <f t="shared" si="160"/>
        <v>1788.3526425161231</v>
      </c>
      <c r="P164" s="28">
        <f t="shared" si="160"/>
        <v>1842.413996251021</v>
      </c>
    </row>
    <row r="165" spans="1:16" outlineLevel="1" x14ac:dyDescent="0.15">
      <c r="A165" s="2" t="s">
        <v>15</v>
      </c>
      <c r="D165" s="28"/>
      <c r="E165" s="24">
        <v>-424</v>
      </c>
      <c r="F165" s="24">
        <v>-851</v>
      </c>
      <c r="G165" s="28">
        <f>-G90</f>
        <v>-1785.9248</v>
      </c>
      <c r="H165" s="28">
        <f t="shared" ref="H165:P165" si="161">-H90</f>
        <v>-1539.6182870662624</v>
      </c>
      <c r="I165" s="28">
        <f t="shared" si="161"/>
        <v>-1795.29385957563</v>
      </c>
      <c r="J165" s="28">
        <f t="shared" si="161"/>
        <v>-2646.1229891195217</v>
      </c>
      <c r="K165" s="28">
        <f t="shared" si="161"/>
        <v>-3725.3648838484414</v>
      </c>
      <c r="L165" s="28">
        <f t="shared" si="161"/>
        <v>-5088.9868925499895</v>
      </c>
      <c r="M165" s="28">
        <f t="shared" si="161"/>
        <v>-6598.2407435439281</v>
      </c>
      <c r="N165" s="28">
        <f t="shared" si="161"/>
        <v>-8213.9963312554501</v>
      </c>
      <c r="O165" s="28">
        <f t="shared" si="161"/>
        <v>-9942.3411652232535</v>
      </c>
      <c r="P165" s="28">
        <f t="shared" si="161"/>
        <v>-11786.896662429612</v>
      </c>
    </row>
    <row r="166" spans="1:16" outlineLevel="1" x14ac:dyDescent="0.15">
      <c r="A166" s="2" t="s">
        <v>75</v>
      </c>
      <c r="D166" s="28"/>
      <c r="E166" s="24">
        <v>-296</v>
      </c>
      <c r="F166" s="24">
        <v>120</v>
      </c>
      <c r="G166" s="78"/>
      <c r="H166" s="78"/>
      <c r="I166" s="78"/>
      <c r="J166" s="78"/>
      <c r="K166" s="78"/>
      <c r="L166" s="78"/>
      <c r="M166" s="78"/>
      <c r="N166" s="78"/>
      <c r="O166" s="78"/>
      <c r="P166" s="78"/>
    </row>
    <row r="167" spans="1:16" outlineLevel="1" x14ac:dyDescent="0.15">
      <c r="A167" s="2" t="s">
        <v>76</v>
      </c>
      <c r="D167" s="28"/>
      <c r="E167" s="24" t="s">
        <v>66</v>
      </c>
      <c r="F167" s="24">
        <v>-5</v>
      </c>
      <c r="G167" s="78"/>
      <c r="H167" s="78"/>
      <c r="I167" s="78"/>
      <c r="J167" s="78"/>
      <c r="K167" s="78"/>
      <c r="L167" s="78"/>
      <c r="M167" s="78"/>
      <c r="N167" s="78"/>
      <c r="O167" s="78"/>
      <c r="P167" s="78"/>
    </row>
    <row r="168" spans="1:16" outlineLevel="1" x14ac:dyDescent="0.15">
      <c r="A168" s="2" t="s">
        <v>77</v>
      </c>
      <c r="D168" s="28"/>
      <c r="E168" s="24" t="s">
        <v>66</v>
      </c>
      <c r="F168" s="24">
        <v>-99</v>
      </c>
      <c r="G168" s="78"/>
      <c r="H168" s="78"/>
      <c r="I168" s="78"/>
      <c r="J168" s="78"/>
      <c r="K168" s="78"/>
      <c r="L168" s="78"/>
      <c r="M168" s="78"/>
      <c r="N168" s="78"/>
      <c r="O168" s="78"/>
      <c r="P168" s="78"/>
    </row>
    <row r="169" spans="1:16" outlineLevel="1" x14ac:dyDescent="0.15">
      <c r="A169" s="2" t="s">
        <v>78</v>
      </c>
      <c r="D169" s="28"/>
      <c r="E169" s="24">
        <v>1</v>
      </c>
      <c r="F169" s="24" t="s">
        <v>66</v>
      </c>
      <c r="G169" s="78"/>
      <c r="H169" s="78"/>
      <c r="I169" s="78"/>
      <c r="J169" s="78"/>
      <c r="K169" s="78"/>
      <c r="L169" s="78"/>
      <c r="M169" s="78"/>
      <c r="N169" s="78"/>
      <c r="O169" s="78"/>
      <c r="P169" s="78"/>
    </row>
    <row r="170" spans="1:16" outlineLevel="1" x14ac:dyDescent="0.15">
      <c r="A170" s="2" t="s">
        <v>79</v>
      </c>
      <c r="D170" s="28"/>
      <c r="E170" s="24">
        <v>1017</v>
      </c>
      <c r="F170" s="24">
        <v>1077</v>
      </c>
      <c r="G170" s="78"/>
      <c r="H170" s="78"/>
      <c r="I170" s="78"/>
      <c r="J170" s="78"/>
      <c r="K170" s="78"/>
      <c r="L170" s="78"/>
      <c r="M170" s="78"/>
      <c r="N170" s="78"/>
      <c r="O170" s="78"/>
      <c r="P170" s="78"/>
    </row>
    <row r="171" spans="1:16" outlineLevel="1" x14ac:dyDescent="0.15">
      <c r="A171" s="2" t="s">
        <v>80</v>
      </c>
      <c r="D171" s="28"/>
      <c r="E171" s="24">
        <v>325</v>
      </c>
      <c r="F171" s="24">
        <v>247</v>
      </c>
      <c r="G171" s="77"/>
      <c r="H171" s="77"/>
      <c r="I171" s="77"/>
      <c r="J171" s="77"/>
      <c r="K171" s="77"/>
      <c r="L171" s="77"/>
      <c r="M171" s="77"/>
      <c r="N171" s="77"/>
      <c r="O171" s="77"/>
      <c r="P171" s="77"/>
    </row>
    <row r="172" spans="1:16" outlineLevel="1" x14ac:dyDescent="0.15">
      <c r="A172" s="2" t="s">
        <v>81</v>
      </c>
      <c r="D172" s="28"/>
      <c r="E172" s="24">
        <v>-485</v>
      </c>
      <c r="F172" s="24">
        <v>-86</v>
      </c>
      <c r="G172" s="77"/>
      <c r="H172" s="77"/>
      <c r="I172" s="77"/>
      <c r="J172" s="77"/>
      <c r="K172" s="77"/>
      <c r="L172" s="77"/>
      <c r="M172" s="77"/>
      <c r="N172" s="77"/>
      <c r="O172" s="77"/>
      <c r="P172" s="77"/>
    </row>
    <row r="173" spans="1:16" outlineLevel="1" x14ac:dyDescent="0.15">
      <c r="A173" s="2" t="s">
        <v>82</v>
      </c>
      <c r="D173" s="28"/>
      <c r="E173" s="24">
        <v>-241</v>
      </c>
      <c r="F173" s="24">
        <v>-220</v>
      </c>
      <c r="G173" s="28">
        <f>-G93</f>
        <v>0</v>
      </c>
      <c r="H173" s="28">
        <f t="shared" ref="H173:P173" si="162">-H93</f>
        <v>0</v>
      </c>
      <c r="I173" s="28">
        <f t="shared" si="162"/>
        <v>0</v>
      </c>
      <c r="J173" s="28">
        <f t="shared" si="162"/>
        <v>0</v>
      </c>
      <c r="K173" s="28">
        <f t="shared" si="162"/>
        <v>0</v>
      </c>
      <c r="L173" s="28">
        <f t="shared" si="162"/>
        <v>0</v>
      </c>
      <c r="M173" s="28">
        <f t="shared" si="162"/>
        <v>0</v>
      </c>
      <c r="N173" s="28">
        <f t="shared" si="162"/>
        <v>0</v>
      </c>
      <c r="O173" s="28">
        <f t="shared" si="162"/>
        <v>0</v>
      </c>
      <c r="P173" s="28">
        <f t="shared" si="162"/>
        <v>0</v>
      </c>
    </row>
    <row r="174" spans="1:16" outlineLevel="1" x14ac:dyDescent="0.15">
      <c r="A174" s="2" t="s">
        <v>83</v>
      </c>
      <c r="D174" s="28"/>
      <c r="E174" s="24">
        <v>263</v>
      </c>
      <c r="F174" s="24">
        <v>101</v>
      </c>
      <c r="G174" s="77"/>
      <c r="H174" s="77"/>
      <c r="I174" s="77"/>
      <c r="J174" s="77"/>
      <c r="K174" s="77"/>
      <c r="L174" s="77"/>
      <c r="M174" s="77"/>
      <c r="N174" s="77"/>
      <c r="O174" s="77"/>
      <c r="P174" s="77"/>
    </row>
    <row r="175" spans="1:16" outlineLevel="1" x14ac:dyDescent="0.15">
      <c r="A175" s="2" t="s">
        <v>20</v>
      </c>
      <c r="D175" s="28"/>
      <c r="E175" s="24">
        <v>4955</v>
      </c>
      <c r="F175" s="24">
        <v>6122</v>
      </c>
      <c r="G175" s="28">
        <f>-G95</f>
        <v>32.624431400005989</v>
      </c>
      <c r="H175" s="28">
        <f t="shared" ref="H175:P175" si="163">-H95</f>
        <v>5018.6051459857945</v>
      </c>
      <c r="I175" s="28">
        <f t="shared" si="163"/>
        <v>10618.652521914348</v>
      </c>
      <c r="J175" s="28">
        <f t="shared" si="163"/>
        <v>12677.237730551296</v>
      </c>
      <c r="K175" s="28">
        <f t="shared" si="163"/>
        <v>14647.691933577698</v>
      </c>
      <c r="L175" s="28">
        <f t="shared" si="163"/>
        <v>16532.17502650859</v>
      </c>
      <c r="M175" s="28">
        <f t="shared" si="163"/>
        <v>17793.042229138056</v>
      </c>
      <c r="N175" s="28">
        <f t="shared" si="163"/>
        <v>19086.447524048606</v>
      </c>
      <c r="O175" s="28">
        <f t="shared" si="163"/>
        <v>20658.51146949692</v>
      </c>
      <c r="P175" s="28">
        <f t="shared" si="163"/>
        <v>21891.057034303867</v>
      </c>
    </row>
    <row r="176" spans="1:16" outlineLevel="1" x14ac:dyDescent="0.15">
      <c r="A176" s="32"/>
      <c r="B176" s="32"/>
      <c r="C176" s="32"/>
      <c r="D176" s="33"/>
      <c r="E176" s="33">
        <f>SUM(E157:E175)</f>
        <v>41919</v>
      </c>
      <c r="F176" s="33">
        <f>SUM(F157:F175)</f>
        <v>115285</v>
      </c>
      <c r="G176" s="33">
        <f>SUM(G157:G175)</f>
        <v>111628.29000000002</v>
      </c>
      <c r="H176" s="33">
        <f t="shared" ref="H176:P176" si="164">SUM(H157:H175)</f>
        <v>114418.99725000003</v>
      </c>
      <c r="I176" s="33">
        <f t="shared" si="164"/>
        <v>126727.560018</v>
      </c>
      <c r="J176" s="33">
        <f t="shared" si="164"/>
        <v>133754.10367252503</v>
      </c>
      <c r="K176" s="33">
        <f t="shared" si="164"/>
        <v>142080.95228351068</v>
      </c>
      <c r="L176" s="33">
        <f t="shared" si="164"/>
        <v>150164.42087840196</v>
      </c>
      <c r="M176" s="33">
        <f t="shared" si="164"/>
        <v>156170.99771353803</v>
      </c>
      <c r="N176" s="33">
        <f t="shared" si="164"/>
        <v>163251.73770477565</v>
      </c>
      <c r="O176" s="33">
        <f t="shared" si="164"/>
        <v>172308.09152195897</v>
      </c>
      <c r="P176" s="33">
        <f t="shared" si="164"/>
        <v>179203.75772583488</v>
      </c>
    </row>
    <row r="177" spans="1:16" outlineLevel="1" x14ac:dyDescent="0.15">
      <c r="A177" s="2" t="s">
        <v>84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outlineLevel="1" x14ac:dyDescent="0.15">
      <c r="A178" s="2" t="s">
        <v>40</v>
      </c>
      <c r="D178" s="28"/>
      <c r="E178" s="24">
        <v>7</v>
      </c>
      <c r="F178" s="24">
        <v>-137</v>
      </c>
      <c r="G178" s="28">
        <f>-(G117-F117)</f>
        <v>26.830081967213118</v>
      </c>
      <c r="H178" s="28">
        <f t="shared" ref="H178:J178" si="165">-(H117-G117)</f>
        <v>-39.158697720637974</v>
      </c>
      <c r="I178" s="28">
        <f t="shared" si="165"/>
        <v>-90.574758534246257</v>
      </c>
      <c r="J178" s="28">
        <f t="shared" si="165"/>
        <v>-76.895168714383999</v>
      </c>
      <c r="K178" s="28">
        <f t="shared" ref="K178:P178" si="166">-(K117-J117)</f>
        <v>-68.055375753569933</v>
      </c>
      <c r="L178" s="28">
        <f t="shared" si="166"/>
        <v>-43.33925160630929</v>
      </c>
      <c r="M178" s="28">
        <f t="shared" si="166"/>
        <v>-69.047726814477755</v>
      </c>
      <c r="N178" s="28">
        <f t="shared" si="166"/>
        <v>-62.833431401174039</v>
      </c>
      <c r="O178" s="28">
        <f t="shared" si="166"/>
        <v>68.078624989686887</v>
      </c>
      <c r="P178" s="28">
        <f t="shared" si="166"/>
        <v>-67.725590867257097</v>
      </c>
    </row>
    <row r="179" spans="1:16" outlineLevel="1" x14ac:dyDescent="0.15">
      <c r="A179" s="2" t="s">
        <v>37</v>
      </c>
      <c r="D179" s="28"/>
      <c r="E179" s="24">
        <v>-130</v>
      </c>
      <c r="F179" s="24">
        <v>834</v>
      </c>
      <c r="G179" s="28">
        <f>-(G112+G118-F112-F118)</f>
        <v>-1979.4871311475436</v>
      </c>
      <c r="H179" s="28">
        <f t="shared" ref="H179:J179" si="167">-(H112+H118-G112-G118)</f>
        <v>741.92935888726606</v>
      </c>
      <c r="I179" s="28">
        <f t="shared" si="167"/>
        <v>-1009.795172465756</v>
      </c>
      <c r="J179" s="28">
        <f t="shared" si="167"/>
        <v>-375.47172545548347</v>
      </c>
      <c r="K179" s="28">
        <f t="shared" ref="K179:P179" si="168">-(K112+K118-J112-J118)</f>
        <v>-1005.2989384760513</v>
      </c>
      <c r="L179" s="28">
        <f t="shared" si="168"/>
        <v>-992.12744289570037</v>
      </c>
      <c r="M179" s="28">
        <f t="shared" si="168"/>
        <v>-1000.3700420621317</v>
      </c>
      <c r="N179" s="28">
        <f t="shared" si="168"/>
        <v>-910.33673827653729</v>
      </c>
      <c r="O179" s="28">
        <f t="shared" si="168"/>
        <v>-907.16925398729654</v>
      </c>
      <c r="P179" s="28">
        <f t="shared" si="168"/>
        <v>-1010.2047425892088</v>
      </c>
    </row>
    <row r="180" spans="1:16" outlineLevel="1" x14ac:dyDescent="0.15">
      <c r="A180" s="2" t="s">
        <v>47</v>
      </c>
      <c r="D180" s="28"/>
      <c r="E180" s="24">
        <v>-2918</v>
      </c>
      <c r="F180" s="24">
        <v>184</v>
      </c>
      <c r="G180" s="28">
        <f>G134+G126-F126-F134</f>
        <v>4391.4018032786917</v>
      </c>
      <c r="H180" s="28">
        <f t="shared" ref="H180:J180" si="169">H134+H126-G126-G134</f>
        <v>-3256.6789519088279</v>
      </c>
      <c r="I180" s="28">
        <f t="shared" si="169"/>
        <v>3650.4695759178157</v>
      </c>
      <c r="J180" s="28">
        <f t="shared" si="169"/>
        <v>15.667165522604591</v>
      </c>
      <c r="K180" s="28">
        <f t="shared" ref="K180:P180" si="170">K134+K126-J126-J134</f>
        <v>2272.024143485125</v>
      </c>
      <c r="L180" s="28">
        <f t="shared" si="170"/>
        <v>2009.3082513594545</v>
      </c>
      <c r="M180" s="28">
        <f t="shared" si="170"/>
        <v>2305.2076795061948</v>
      </c>
      <c r="N180" s="28">
        <f t="shared" si="170"/>
        <v>2097.7389883506421</v>
      </c>
      <c r="O180" s="28">
        <f t="shared" si="170"/>
        <v>470.58887181268983</v>
      </c>
      <c r="P180" s="28">
        <f t="shared" si="170"/>
        <v>2336.4325510823583</v>
      </c>
    </row>
    <row r="181" spans="1:16" outlineLevel="1" x14ac:dyDescent="0.15">
      <c r="A181" s="13" t="s">
        <v>85</v>
      </c>
      <c r="B181" s="13"/>
      <c r="C181" s="13"/>
      <c r="D181" s="25"/>
      <c r="E181" s="25">
        <f>E176+SUM(E178:E180)</f>
        <v>38878</v>
      </c>
      <c r="F181" s="25">
        <f t="shared" ref="F181" si="171">F176+SUM(F178:F180)</f>
        <v>116166</v>
      </c>
      <c r="G181" s="25">
        <f>G176+SUM(G178:G180)</f>
        <v>114067.03475409838</v>
      </c>
      <c r="H181" s="25">
        <f t="shared" ref="H181" si="172">H176+SUM(H178:H180)</f>
        <v>111865.08895925783</v>
      </c>
      <c r="I181" s="25">
        <f t="shared" ref="I181" si="173">I176+SUM(I178:I180)</f>
        <v>129277.65966291782</v>
      </c>
      <c r="J181" s="25">
        <f t="shared" ref="J181" si="174">J176+SUM(J178:J180)</f>
        <v>133317.40394387775</v>
      </c>
      <c r="K181" s="25">
        <f t="shared" ref="K181" si="175">K176+SUM(K178:K180)</f>
        <v>143279.62211276617</v>
      </c>
      <c r="L181" s="25">
        <f t="shared" ref="L181" si="176">L176+SUM(L178:L180)</f>
        <v>151138.26243525941</v>
      </c>
      <c r="M181" s="25">
        <f t="shared" ref="M181" si="177">M176+SUM(M178:M180)</f>
        <v>157406.78762416763</v>
      </c>
      <c r="N181" s="25">
        <f t="shared" ref="N181" si="178">N176+SUM(N178:N180)</f>
        <v>164376.30652344858</v>
      </c>
      <c r="O181" s="25">
        <f t="shared" ref="O181" si="179">O176+SUM(O178:O180)</f>
        <v>171939.58976477405</v>
      </c>
      <c r="P181" s="25">
        <f t="shared" ref="P181" si="180">P176+SUM(P178:P180)</f>
        <v>180462.25994346075</v>
      </c>
    </row>
    <row r="182" spans="1:16" outlineLevel="1" x14ac:dyDescent="0.15">
      <c r="A182" s="2" t="s">
        <v>86</v>
      </c>
      <c r="D182" s="28"/>
      <c r="E182" s="24">
        <v>-5637</v>
      </c>
      <c r="F182" s="24">
        <v>-6063</v>
      </c>
      <c r="G182" s="28">
        <f>-G175</f>
        <v>-32.624431400005989</v>
      </c>
      <c r="H182" s="28">
        <f t="shared" ref="H182:P182" si="181">-H175</f>
        <v>-5018.6051459857945</v>
      </c>
      <c r="I182" s="28">
        <f t="shared" si="181"/>
        <v>-10618.652521914348</v>
      </c>
      <c r="J182" s="28">
        <f t="shared" si="181"/>
        <v>-12677.237730551296</v>
      </c>
      <c r="K182" s="28">
        <f t="shared" si="181"/>
        <v>-14647.691933577698</v>
      </c>
      <c r="L182" s="28">
        <f t="shared" si="181"/>
        <v>-16532.17502650859</v>
      </c>
      <c r="M182" s="28">
        <f t="shared" si="181"/>
        <v>-17793.042229138056</v>
      </c>
      <c r="N182" s="28">
        <f t="shared" si="181"/>
        <v>-19086.447524048606</v>
      </c>
      <c r="O182" s="28">
        <f t="shared" si="181"/>
        <v>-20658.51146949692</v>
      </c>
      <c r="P182" s="28">
        <f t="shared" si="181"/>
        <v>-21891.057034303867</v>
      </c>
    </row>
    <row r="183" spans="1:16" outlineLevel="1" x14ac:dyDescent="0.15">
      <c r="A183" s="14" t="s">
        <v>87</v>
      </c>
      <c r="B183" s="14"/>
      <c r="C183" s="14"/>
      <c r="D183" s="26"/>
      <c r="E183" s="26">
        <f>SUM(E181:E182)</f>
        <v>33241</v>
      </c>
      <c r="F183" s="26">
        <f>SUM(F181:F182)</f>
        <v>110103</v>
      </c>
      <c r="G183" s="26">
        <f>SUM(G181:G182)</f>
        <v>114034.41032269837</v>
      </c>
      <c r="H183" s="26">
        <f t="shared" ref="H183:P183" si="182">SUM(H181:H182)</f>
        <v>106846.48381327203</v>
      </c>
      <c r="I183" s="26">
        <f t="shared" si="182"/>
        <v>118659.00714100347</v>
      </c>
      <c r="J183" s="26">
        <f t="shared" si="182"/>
        <v>120640.16621332646</v>
      </c>
      <c r="K183" s="26">
        <f t="shared" si="182"/>
        <v>128631.93017918846</v>
      </c>
      <c r="L183" s="26">
        <f t="shared" si="182"/>
        <v>134606.08740875081</v>
      </c>
      <c r="M183" s="26">
        <f t="shared" si="182"/>
        <v>139613.74539502957</v>
      </c>
      <c r="N183" s="26">
        <f t="shared" si="182"/>
        <v>145289.85899939999</v>
      </c>
      <c r="O183" s="26">
        <f t="shared" si="182"/>
        <v>151281.07829527714</v>
      </c>
      <c r="P183" s="26">
        <f t="shared" si="182"/>
        <v>158571.20290915688</v>
      </c>
    </row>
    <row r="184" spans="1:16" outlineLevel="1" x14ac:dyDescent="0.15"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outlineLevel="1" x14ac:dyDescent="0.15">
      <c r="A185" s="12" t="s">
        <v>88</v>
      </c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outlineLevel="1" x14ac:dyDescent="0.15">
      <c r="A186" s="2" t="s">
        <v>89</v>
      </c>
      <c r="D186" s="28"/>
      <c r="E186" s="24">
        <v>85</v>
      </c>
      <c r="F186" s="24">
        <v>221</v>
      </c>
      <c r="G186" s="72"/>
      <c r="H186" s="72"/>
      <c r="I186" s="72"/>
      <c r="J186" s="72"/>
      <c r="K186" s="72"/>
      <c r="L186" s="72"/>
      <c r="M186" s="72"/>
      <c r="N186" s="72"/>
      <c r="O186" s="72"/>
      <c r="P186" s="72"/>
    </row>
    <row r="187" spans="1:16" outlineLevel="1" x14ac:dyDescent="0.15">
      <c r="A187" s="2" t="s">
        <v>90</v>
      </c>
      <c r="D187" s="28"/>
      <c r="E187" s="24" t="s">
        <v>66</v>
      </c>
      <c r="F187" s="24">
        <v>1135</v>
      </c>
      <c r="G187" s="72"/>
      <c r="H187" s="72"/>
      <c r="I187" s="72"/>
      <c r="J187" s="72"/>
      <c r="K187" s="72"/>
      <c r="L187" s="72"/>
      <c r="M187" s="72"/>
      <c r="N187" s="72"/>
      <c r="O187" s="72"/>
      <c r="P187" s="72"/>
    </row>
    <row r="188" spans="1:16" outlineLevel="1" x14ac:dyDescent="0.15">
      <c r="A188" s="2" t="s">
        <v>91</v>
      </c>
      <c r="D188" s="28"/>
      <c r="E188" s="24">
        <v>387</v>
      </c>
      <c r="F188" s="24">
        <v>793</v>
      </c>
      <c r="G188" s="28">
        <f>G90</f>
        <v>1785.9248</v>
      </c>
      <c r="H188" s="28">
        <f t="shared" ref="H188:P188" si="183">H90</f>
        <v>1539.6182870662624</v>
      </c>
      <c r="I188" s="28">
        <f t="shared" si="183"/>
        <v>1795.29385957563</v>
      </c>
      <c r="J188" s="28">
        <f t="shared" si="183"/>
        <v>2646.1229891195217</v>
      </c>
      <c r="K188" s="28">
        <f t="shared" si="183"/>
        <v>3725.3648838484414</v>
      </c>
      <c r="L188" s="28">
        <f t="shared" si="183"/>
        <v>5088.9868925499895</v>
      </c>
      <c r="M188" s="28">
        <f t="shared" si="183"/>
        <v>6598.2407435439281</v>
      </c>
      <c r="N188" s="28">
        <f t="shared" si="183"/>
        <v>8213.9963312554501</v>
      </c>
      <c r="O188" s="28">
        <f t="shared" si="183"/>
        <v>9942.3411652232535</v>
      </c>
      <c r="P188" s="28">
        <f t="shared" si="183"/>
        <v>11786.896662429612</v>
      </c>
    </row>
    <row r="189" spans="1:16" outlineLevel="1" x14ac:dyDescent="0.15">
      <c r="A189" s="2" t="s">
        <v>92</v>
      </c>
      <c r="D189" s="28"/>
      <c r="E189" s="24">
        <v>-3466</v>
      </c>
      <c r="F189" s="24" t="s">
        <v>66</v>
      </c>
      <c r="G189" s="72"/>
      <c r="H189" s="72"/>
      <c r="I189" s="72"/>
      <c r="J189" s="72"/>
      <c r="K189" s="72"/>
      <c r="L189" s="72"/>
      <c r="M189" s="72"/>
      <c r="N189" s="72"/>
      <c r="O189" s="72"/>
      <c r="P189" s="72"/>
    </row>
    <row r="190" spans="1:16" outlineLevel="1" x14ac:dyDescent="0.15">
      <c r="A190" s="2" t="s">
        <v>93</v>
      </c>
      <c r="D190" s="28"/>
      <c r="E190" s="24">
        <v>755</v>
      </c>
      <c r="F190" s="24">
        <v>513</v>
      </c>
      <c r="G190" s="72"/>
      <c r="H190" s="72"/>
      <c r="I190" s="72"/>
      <c r="J190" s="72"/>
      <c r="K190" s="72"/>
      <c r="L190" s="72"/>
      <c r="M190" s="72"/>
      <c r="N190" s="72"/>
      <c r="O190" s="72"/>
      <c r="P190" s="72"/>
    </row>
    <row r="191" spans="1:16" outlineLevel="1" x14ac:dyDescent="0.15">
      <c r="A191" s="2" t="s">
        <v>94</v>
      </c>
      <c r="D191" s="28"/>
      <c r="E191" s="24"/>
      <c r="G191" s="72"/>
      <c r="H191" s="72"/>
      <c r="I191" s="72"/>
      <c r="J191" s="72"/>
      <c r="K191" s="72"/>
      <c r="L191" s="72"/>
      <c r="M191" s="72"/>
      <c r="N191" s="72"/>
      <c r="O191" s="72"/>
      <c r="P191" s="72"/>
    </row>
    <row r="192" spans="1:16" outlineLevel="1" x14ac:dyDescent="0.15">
      <c r="A192" s="2" t="s">
        <v>95</v>
      </c>
      <c r="D192" s="28"/>
      <c r="E192" s="24">
        <v>-41</v>
      </c>
      <c r="F192" s="24">
        <v>-66</v>
      </c>
      <c r="G192" s="72"/>
      <c r="H192" s="72"/>
      <c r="I192" s="72"/>
      <c r="J192" s="72"/>
      <c r="K192" s="72"/>
      <c r="L192" s="72"/>
      <c r="M192" s="72"/>
      <c r="N192" s="72"/>
      <c r="O192" s="72"/>
      <c r="P192" s="72"/>
    </row>
    <row r="193" spans="1:16" outlineLevel="1" x14ac:dyDescent="0.15">
      <c r="A193" s="2" t="s">
        <v>96</v>
      </c>
      <c r="D193" s="28"/>
      <c r="E193" s="24">
        <v>-3900</v>
      </c>
      <c r="F193" s="24" t="s">
        <v>66</v>
      </c>
      <c r="G193" s="28">
        <f>-G270</f>
        <v>0</v>
      </c>
      <c r="H193" s="28">
        <f t="shared" ref="H193:P193" si="184">-H270</f>
        <v>0</v>
      </c>
      <c r="I193" s="28">
        <f t="shared" si="184"/>
        <v>0</v>
      </c>
      <c r="J193" s="28">
        <f t="shared" si="184"/>
        <v>0</v>
      </c>
      <c r="K193" s="28">
        <f t="shared" si="184"/>
        <v>0</v>
      </c>
      <c r="L193" s="28">
        <f t="shared" si="184"/>
        <v>0</v>
      </c>
      <c r="M193" s="28">
        <f t="shared" si="184"/>
        <v>0</v>
      </c>
      <c r="N193" s="28">
        <f t="shared" si="184"/>
        <v>0</v>
      </c>
      <c r="O193" s="28">
        <f t="shared" si="184"/>
        <v>0</v>
      </c>
      <c r="P193" s="28">
        <f t="shared" si="184"/>
        <v>0</v>
      </c>
    </row>
    <row r="194" spans="1:16" outlineLevel="1" x14ac:dyDescent="0.15">
      <c r="A194" s="2" t="s">
        <v>97</v>
      </c>
      <c r="D194" s="28"/>
      <c r="E194" s="24">
        <v>-15053</v>
      </c>
      <c r="F194" s="24">
        <v>-26903</v>
      </c>
      <c r="G194" s="28">
        <f>-G238</f>
        <v>-28345.034389385273</v>
      </c>
      <c r="H194" s="28">
        <f t="shared" ref="H194:P194" si="185">-H238</f>
        <v>-25401.990124119911</v>
      </c>
      <c r="I194" s="28">
        <f t="shared" si="185"/>
        <v>-24279.106346049502</v>
      </c>
      <c r="J194" s="28">
        <f t="shared" si="185"/>
        <v>-22732.399048851978</v>
      </c>
      <c r="K194" s="28">
        <f t="shared" si="185"/>
        <v>-20293.486087467318</v>
      </c>
      <c r="L194" s="28">
        <f t="shared" si="185"/>
        <v>-21105.225530966007</v>
      </c>
      <c r="M194" s="28">
        <f t="shared" si="185"/>
        <v>-21949.43455220465</v>
      </c>
      <c r="N194" s="28">
        <f t="shared" si="185"/>
        <v>-22717.664761531811</v>
      </c>
      <c r="O194" s="28">
        <f t="shared" si="185"/>
        <v>-23512.783028185422</v>
      </c>
      <c r="P194" s="28">
        <f t="shared" si="185"/>
        <v>-24335.73043417191</v>
      </c>
    </row>
    <row r="195" spans="1:16" outlineLevel="1" x14ac:dyDescent="0.15">
      <c r="A195" s="2" t="s">
        <v>98</v>
      </c>
      <c r="D195" s="28"/>
      <c r="E195" s="24">
        <v>-35000</v>
      </c>
      <c r="F195" s="24">
        <v>30400</v>
      </c>
      <c r="G195" s="72"/>
      <c r="H195" s="72"/>
      <c r="I195" s="72"/>
      <c r="J195" s="72"/>
      <c r="K195" s="72"/>
      <c r="L195" s="72"/>
      <c r="M195" s="72"/>
      <c r="N195" s="72"/>
      <c r="O195" s="72"/>
      <c r="P195" s="72"/>
    </row>
    <row r="196" spans="1:16" outlineLevel="1" x14ac:dyDescent="0.15">
      <c r="A196" s="14" t="s">
        <v>99</v>
      </c>
      <c r="B196" s="14"/>
      <c r="C196" s="14"/>
      <c r="D196" s="26"/>
      <c r="E196" s="26">
        <f>SUM(E186:E195)</f>
        <v>-56233</v>
      </c>
      <c r="F196" s="26">
        <f>SUM(F186:F195)</f>
        <v>6093</v>
      </c>
      <c r="G196" s="26">
        <f>SUM(G186:G195)</f>
        <v>-26559.109589385273</v>
      </c>
      <c r="H196" s="26">
        <f t="shared" ref="H196:P196" si="186">SUM(H186:H195)</f>
        <v>-23862.371837053648</v>
      </c>
      <c r="I196" s="26">
        <f t="shared" si="186"/>
        <v>-22483.812486473871</v>
      </c>
      <c r="J196" s="26">
        <f t="shared" si="186"/>
        <v>-20086.276059732456</v>
      </c>
      <c r="K196" s="26">
        <f t="shared" si="186"/>
        <v>-16568.121203618877</v>
      </c>
      <c r="L196" s="26">
        <f t="shared" si="186"/>
        <v>-16016.238638416016</v>
      </c>
      <c r="M196" s="26">
        <f t="shared" si="186"/>
        <v>-15351.193808660722</v>
      </c>
      <c r="N196" s="26">
        <f t="shared" si="186"/>
        <v>-14503.668430276361</v>
      </c>
      <c r="O196" s="26">
        <f t="shared" si="186"/>
        <v>-13570.441862962169</v>
      </c>
      <c r="P196" s="26">
        <f t="shared" si="186"/>
        <v>-12548.833771742298</v>
      </c>
    </row>
    <row r="197" spans="1:16" outlineLevel="1" x14ac:dyDescent="0.15"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outlineLevel="1" x14ac:dyDescent="0.15">
      <c r="A198" s="12" t="s">
        <v>100</v>
      </c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1:16" outlineLevel="1" x14ac:dyDescent="0.15">
      <c r="A199" s="2" t="s">
        <v>101</v>
      </c>
      <c r="D199" s="28"/>
      <c r="E199" s="24" t="s">
        <v>66</v>
      </c>
      <c r="F199" s="24">
        <v>204</v>
      </c>
      <c r="G199" s="72"/>
      <c r="H199" s="72"/>
      <c r="I199" s="72"/>
      <c r="J199" s="72"/>
      <c r="K199" s="72"/>
      <c r="L199" s="72"/>
      <c r="M199" s="72"/>
      <c r="N199" s="72"/>
      <c r="O199" s="72"/>
      <c r="P199" s="72"/>
    </row>
    <row r="200" spans="1:16" outlineLevel="1" x14ac:dyDescent="0.15">
      <c r="A200" s="2" t="s">
        <v>115</v>
      </c>
      <c r="D200" s="28"/>
      <c r="E200" s="24">
        <v>-2081</v>
      </c>
      <c r="F200" s="24" t="s">
        <v>66</v>
      </c>
      <c r="G200" s="72"/>
      <c r="H200" s="72"/>
      <c r="I200" s="72"/>
      <c r="J200" s="72"/>
      <c r="K200" s="72"/>
      <c r="L200" s="72"/>
      <c r="M200" s="72"/>
      <c r="N200" s="72"/>
      <c r="O200" s="72"/>
      <c r="P200" s="72"/>
    </row>
    <row r="201" spans="1:16" outlineLevel="1" x14ac:dyDescent="0.15">
      <c r="A201" s="2" t="s">
        <v>102</v>
      </c>
      <c r="D201" s="28"/>
      <c r="E201" s="24">
        <v>-18052</v>
      </c>
      <c r="F201" s="24">
        <v>-12210</v>
      </c>
      <c r="G201" s="28">
        <f>-G98</f>
        <v>-10989</v>
      </c>
      <c r="H201" s="28">
        <f t="shared" ref="H201:P201" si="187">-H98</f>
        <v>-10439.549999999999</v>
      </c>
      <c r="I201" s="28">
        <f t="shared" si="187"/>
        <v>-10857.132</v>
      </c>
      <c r="J201" s="28">
        <f t="shared" si="187"/>
        <v>-11291.41728</v>
      </c>
      <c r="K201" s="28">
        <f t="shared" si="187"/>
        <v>-11630.1597984</v>
      </c>
      <c r="L201" s="28">
        <f t="shared" si="187"/>
        <v>-11746.461396384</v>
      </c>
      <c r="M201" s="28">
        <f t="shared" si="187"/>
        <v>-11922.658317329759</v>
      </c>
      <c r="N201" s="28">
        <f t="shared" si="187"/>
        <v>-12101.498192089704</v>
      </c>
      <c r="O201" s="28">
        <f t="shared" si="187"/>
        <v>-12283.020664971049</v>
      </c>
      <c r="P201" s="28">
        <f t="shared" si="187"/>
        <v>-12467.265974945614</v>
      </c>
    </row>
    <row r="202" spans="1:16" outlineLevel="1" x14ac:dyDescent="0.15">
      <c r="A202" s="2" t="s">
        <v>103</v>
      </c>
      <c r="D202" s="28"/>
      <c r="E202" s="24">
        <v>-246</v>
      </c>
      <c r="F202" s="24">
        <v>-4301</v>
      </c>
      <c r="G202" s="28">
        <f>G91</f>
        <v>-3950.8863799999999</v>
      </c>
      <c r="H202" s="28">
        <f t="shared" ref="H202:P202" si="188">H91</f>
        <v>-2665.18335075</v>
      </c>
      <c r="I202" s="28">
        <f t="shared" si="188"/>
        <v>-2056.5724273350006</v>
      </c>
      <c r="J202" s="28">
        <f t="shared" si="188"/>
        <v>-1794.3488121480002</v>
      </c>
      <c r="K202" s="28">
        <f t="shared" si="188"/>
        <v>-1696.2210070921728</v>
      </c>
      <c r="L202" s="28">
        <f t="shared" si="188"/>
        <v>-1678.0687959913382</v>
      </c>
      <c r="M202" s="28">
        <f t="shared" si="188"/>
        <v>-1699.3602221387314</v>
      </c>
      <c r="N202" s="28">
        <f t="shared" si="188"/>
        <v>-1739.5755749009229</v>
      </c>
      <c r="O202" s="28">
        <f t="shared" si="188"/>
        <v>-1788.3526425161231</v>
      </c>
      <c r="P202" s="28">
        <f t="shared" si="188"/>
        <v>-1842.413996251021</v>
      </c>
    </row>
    <row r="203" spans="1:16" outlineLevel="1" x14ac:dyDescent="0.15">
      <c r="A203" s="2" t="s">
        <v>104</v>
      </c>
      <c r="D203" s="28"/>
      <c r="E203" s="24">
        <v>-3046</v>
      </c>
      <c r="F203" s="24" t="s">
        <v>66</v>
      </c>
      <c r="G203" s="72"/>
      <c r="H203" s="72"/>
      <c r="I203" s="72"/>
      <c r="J203" s="72"/>
      <c r="K203" s="72"/>
      <c r="L203" s="72"/>
      <c r="M203" s="72"/>
      <c r="N203" s="72"/>
      <c r="O203" s="72"/>
      <c r="P203" s="72"/>
    </row>
    <row r="204" spans="1:16" outlineLevel="1" x14ac:dyDescent="0.15">
      <c r="A204" s="2" t="s">
        <v>105</v>
      </c>
      <c r="D204" s="28"/>
      <c r="E204" s="24" t="s">
        <v>66</v>
      </c>
      <c r="F204" s="24">
        <v>-64447</v>
      </c>
      <c r="G204" s="28">
        <f>-G296</f>
        <v>-90440.5</v>
      </c>
      <c r="H204" s="28">
        <f>-H296</f>
        <v>-57095.6</v>
      </c>
      <c r="I204" s="28">
        <f>-I296</f>
        <v>-40720.033750000002</v>
      </c>
      <c r="J204" s="28">
        <f>-J296</f>
        <v>-33506.029325000003</v>
      </c>
      <c r="K204" s="28">
        <f>-K296</f>
        <v>-30556.327735000006</v>
      </c>
      <c r="L204" s="28">
        <f>-L296</f>
        <v>-29702.626028262504</v>
      </c>
      <c r="M204" s="28">
        <f>-M296</f>
        <v>-29852.753661324256</v>
      </c>
      <c r="N204" s="28">
        <f>-N296</f>
        <v>-30527.875103742852</v>
      </c>
      <c r="O204" s="28">
        <f>-O296</f>
        <v>-31411.488264509971</v>
      </c>
      <c r="P204" s="28">
        <f>-P296</f>
        <v>-32418.459119835879</v>
      </c>
    </row>
    <row r="205" spans="1:16" outlineLevel="1" x14ac:dyDescent="0.15">
      <c r="A205" s="2" t="s">
        <v>106</v>
      </c>
      <c r="D205" s="28"/>
      <c r="E205" s="24">
        <v>45462</v>
      </c>
      <c r="F205" s="24" t="s">
        <v>66</v>
      </c>
      <c r="G205" s="72"/>
      <c r="H205" s="72"/>
      <c r="I205" s="72"/>
      <c r="J205" s="72"/>
      <c r="K205" s="72"/>
      <c r="L205" s="72"/>
      <c r="M205" s="72"/>
      <c r="N205" s="72"/>
      <c r="O205" s="72"/>
      <c r="P205" s="72"/>
    </row>
    <row r="206" spans="1:16" outlineLevel="1" x14ac:dyDescent="0.15">
      <c r="A206" s="2" t="s">
        <v>116</v>
      </c>
      <c r="D206" s="28"/>
      <c r="E206" s="24">
        <v>6578</v>
      </c>
      <c r="F206" s="24" t="s">
        <v>66</v>
      </c>
      <c r="G206" s="28">
        <f>G329</f>
        <v>0</v>
      </c>
      <c r="H206" s="28">
        <f t="shared" ref="H206:P206" si="189">H329</f>
        <v>0</v>
      </c>
      <c r="I206" s="28">
        <f t="shared" si="189"/>
        <v>0</v>
      </c>
      <c r="J206" s="28">
        <f t="shared" si="189"/>
        <v>0</v>
      </c>
      <c r="K206" s="28">
        <f t="shared" si="189"/>
        <v>0</v>
      </c>
      <c r="L206" s="28">
        <f t="shared" si="189"/>
        <v>0</v>
      </c>
      <c r="M206" s="28">
        <f t="shared" si="189"/>
        <v>0</v>
      </c>
      <c r="N206" s="28">
        <f t="shared" si="189"/>
        <v>0</v>
      </c>
      <c r="O206" s="28">
        <f t="shared" si="189"/>
        <v>0</v>
      </c>
      <c r="P206" s="28">
        <f t="shared" si="189"/>
        <v>0</v>
      </c>
    </row>
    <row r="207" spans="1:16" outlineLevel="1" x14ac:dyDescent="0.15">
      <c r="A207" s="2" t="s">
        <v>107</v>
      </c>
      <c r="D207" s="28"/>
      <c r="E207" s="24">
        <v>3380</v>
      </c>
      <c r="F207" s="24">
        <v>520</v>
      </c>
      <c r="G207" s="28">
        <f>G322</f>
        <v>0</v>
      </c>
      <c r="H207" s="28">
        <f t="shared" ref="H207:P207" si="190">H322</f>
        <v>0</v>
      </c>
      <c r="I207" s="28">
        <f t="shared" si="190"/>
        <v>0</v>
      </c>
      <c r="J207" s="28">
        <f t="shared" si="190"/>
        <v>0</v>
      </c>
      <c r="K207" s="28">
        <f t="shared" si="190"/>
        <v>0</v>
      </c>
      <c r="L207" s="28">
        <f t="shared" si="190"/>
        <v>0</v>
      </c>
      <c r="M207" s="28">
        <f t="shared" si="190"/>
        <v>0</v>
      </c>
      <c r="N207" s="28">
        <f t="shared" si="190"/>
        <v>0</v>
      </c>
      <c r="O207" s="28">
        <f t="shared" si="190"/>
        <v>0</v>
      </c>
      <c r="P207" s="28">
        <f t="shared" si="190"/>
        <v>0</v>
      </c>
    </row>
    <row r="208" spans="1:16" outlineLevel="1" x14ac:dyDescent="0.15">
      <c r="A208" s="2" t="s">
        <v>108</v>
      </c>
      <c r="D208" s="28"/>
      <c r="E208" s="24" t="s">
        <v>66</v>
      </c>
      <c r="F208" s="24">
        <v>-240</v>
      </c>
      <c r="G208" s="28">
        <f>G72</f>
        <v>0</v>
      </c>
      <c r="H208" s="28">
        <f t="shared" ref="H208:P208" si="191">H72</f>
        <v>0</v>
      </c>
      <c r="I208" s="28">
        <f t="shared" si="191"/>
        <v>0</v>
      </c>
      <c r="J208" s="28">
        <f t="shared" si="191"/>
        <v>0</v>
      </c>
      <c r="K208" s="28">
        <f t="shared" si="191"/>
        <v>0</v>
      </c>
      <c r="L208" s="28">
        <f t="shared" si="191"/>
        <v>0</v>
      </c>
      <c r="M208" s="28">
        <f t="shared" si="191"/>
        <v>0</v>
      </c>
      <c r="N208" s="28">
        <f t="shared" si="191"/>
        <v>0</v>
      </c>
      <c r="O208" s="28">
        <f t="shared" si="191"/>
        <v>0</v>
      </c>
      <c r="P208" s="28">
        <f t="shared" si="191"/>
        <v>0</v>
      </c>
    </row>
    <row r="209" spans="1:16" outlineLevel="1" x14ac:dyDescent="0.15">
      <c r="A209" s="2" t="s">
        <v>117</v>
      </c>
      <c r="D209" s="28"/>
      <c r="E209" s="24">
        <v>-763</v>
      </c>
      <c r="F209" s="24">
        <v>-5705</v>
      </c>
      <c r="G209" s="28">
        <f>-G330</f>
        <v>-110</v>
      </c>
      <c r="H209" s="28">
        <f t="shared" ref="H209:P209" si="192">-H330</f>
        <v>0</v>
      </c>
      <c r="I209" s="28">
        <f t="shared" si="192"/>
        <v>0</v>
      </c>
      <c r="J209" s="28">
        <f t="shared" si="192"/>
        <v>0</v>
      </c>
      <c r="K209" s="28">
        <f t="shared" si="192"/>
        <v>0</v>
      </c>
      <c r="L209" s="28">
        <f t="shared" si="192"/>
        <v>0</v>
      </c>
      <c r="M209" s="28">
        <f t="shared" si="192"/>
        <v>0</v>
      </c>
      <c r="N209" s="28">
        <f t="shared" si="192"/>
        <v>0</v>
      </c>
      <c r="O209" s="28">
        <f t="shared" si="192"/>
        <v>0</v>
      </c>
      <c r="P209" s="28">
        <f t="shared" si="192"/>
        <v>0</v>
      </c>
    </row>
    <row r="210" spans="1:16" outlineLevel="1" x14ac:dyDescent="0.15">
      <c r="A210" s="2" t="s">
        <v>109</v>
      </c>
      <c r="D210" s="28"/>
      <c r="E210" s="24">
        <v>-362</v>
      </c>
      <c r="F210" s="24">
        <v>-577</v>
      </c>
      <c r="G210" s="72"/>
      <c r="H210" s="72"/>
      <c r="I210" s="72"/>
      <c r="J210" s="72"/>
      <c r="K210" s="72"/>
      <c r="L210" s="72"/>
      <c r="M210" s="72"/>
      <c r="N210" s="72"/>
      <c r="O210" s="72"/>
      <c r="P210" s="72"/>
    </row>
    <row r="211" spans="1:16" outlineLevel="1" x14ac:dyDescent="0.15">
      <c r="A211" s="14" t="s">
        <v>110</v>
      </c>
      <c r="B211" s="14"/>
      <c r="C211" s="14"/>
      <c r="D211" s="26"/>
      <c r="E211" s="26">
        <f>SUM(E199:E210)</f>
        <v>30870</v>
      </c>
      <c r="F211" s="26">
        <f>SUM(F199:F210)</f>
        <v>-86756</v>
      </c>
      <c r="G211" s="26">
        <f>SUM(G199:G210)</f>
        <v>-105490.38638</v>
      </c>
      <c r="H211" s="26">
        <f t="shared" ref="H211:P211" si="193">SUM(H199:H210)</f>
        <v>-70200.333350749992</v>
      </c>
      <c r="I211" s="26">
        <f t="shared" si="193"/>
        <v>-53633.738177335006</v>
      </c>
      <c r="J211" s="26">
        <f t="shared" si="193"/>
        <v>-46591.795417148001</v>
      </c>
      <c r="K211" s="26">
        <f t="shared" si="193"/>
        <v>-43882.708540492182</v>
      </c>
      <c r="L211" s="26">
        <f t="shared" si="193"/>
        <v>-43127.156220637844</v>
      </c>
      <c r="M211" s="26">
        <f t="shared" si="193"/>
        <v>-43474.772200792744</v>
      </c>
      <c r="N211" s="26">
        <f t="shared" si="193"/>
        <v>-44368.948870733482</v>
      </c>
      <c r="O211" s="26">
        <f t="shared" si="193"/>
        <v>-45482.861571997142</v>
      </c>
      <c r="P211" s="26">
        <f t="shared" si="193"/>
        <v>-46728.139091032514</v>
      </c>
    </row>
    <row r="212" spans="1:16" outlineLevel="1" x14ac:dyDescent="0.15"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13" spans="1:16" outlineLevel="1" x14ac:dyDescent="0.15">
      <c r="A213" s="12" t="s">
        <v>111</v>
      </c>
      <c r="D213" s="28"/>
      <c r="E213" s="28">
        <f>E211+E196+E183</f>
        <v>7878</v>
      </c>
      <c r="F213" s="28">
        <f>F211+F196+F183</f>
        <v>29440</v>
      </c>
      <c r="G213" s="28">
        <f>G211+G196+G183</f>
        <v>-18015.085646686886</v>
      </c>
      <c r="H213" s="28">
        <f t="shared" ref="H213:P213" si="194">H211+H196+H183</f>
        <v>12783.778625468389</v>
      </c>
      <c r="I213" s="28">
        <f t="shared" si="194"/>
        <v>42541.456477194588</v>
      </c>
      <c r="J213" s="28">
        <f t="shared" si="194"/>
        <v>53962.094736446001</v>
      </c>
      <c r="K213" s="28">
        <f t="shared" si="194"/>
        <v>68181.100435077402</v>
      </c>
      <c r="L213" s="28">
        <f t="shared" si="194"/>
        <v>75462.692549696949</v>
      </c>
      <c r="M213" s="28">
        <f t="shared" si="194"/>
        <v>80787.779385576112</v>
      </c>
      <c r="N213" s="28">
        <f t="shared" si="194"/>
        <v>86417.241698390149</v>
      </c>
      <c r="O213" s="28">
        <f t="shared" si="194"/>
        <v>92227.774860317833</v>
      </c>
      <c r="P213" s="28">
        <f t="shared" si="194"/>
        <v>99294.230046382072</v>
      </c>
    </row>
    <row r="214" spans="1:16" outlineLevel="1" x14ac:dyDescent="0.15">
      <c r="A214" s="2" t="s">
        <v>112</v>
      </c>
      <c r="D214" s="28"/>
      <c r="E214" s="28">
        <f>D120</f>
        <v>53043</v>
      </c>
      <c r="F214" s="28">
        <f>E216</f>
        <v>60979</v>
      </c>
      <c r="G214" s="28">
        <f>F216</f>
        <v>90396</v>
      </c>
      <c r="H214" s="28">
        <f t="shared" ref="H214:P214" si="195">G216</f>
        <v>72380.914353313114</v>
      </c>
      <c r="I214" s="28">
        <f t="shared" si="195"/>
        <v>85164.692978781502</v>
      </c>
      <c r="J214" s="28">
        <f t="shared" si="195"/>
        <v>127706.14945597609</v>
      </c>
      <c r="K214" s="28">
        <f t="shared" si="195"/>
        <v>181668.24419242208</v>
      </c>
      <c r="L214" s="28">
        <f t="shared" si="195"/>
        <v>249849.34462749946</v>
      </c>
      <c r="M214" s="28">
        <f t="shared" si="195"/>
        <v>325312.03717719641</v>
      </c>
      <c r="N214" s="28">
        <f t="shared" si="195"/>
        <v>406099.8165627725</v>
      </c>
      <c r="O214" s="28">
        <f t="shared" si="195"/>
        <v>492517.05826116266</v>
      </c>
      <c r="P214" s="28">
        <f t="shared" si="195"/>
        <v>584744.83312148054</v>
      </c>
    </row>
    <row r="215" spans="1:16" outlineLevel="1" x14ac:dyDescent="0.15">
      <c r="A215" s="2" t="s">
        <v>113</v>
      </c>
      <c r="D215" s="28"/>
      <c r="E215" s="28">
        <v>58</v>
      </c>
      <c r="F215" s="28">
        <v>-23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</row>
    <row r="216" spans="1:16" outlineLevel="1" x14ac:dyDescent="0.15">
      <c r="A216" s="15" t="s">
        <v>114</v>
      </c>
      <c r="B216" s="15"/>
      <c r="C216" s="15"/>
      <c r="D216" s="30"/>
      <c r="E216" s="30">
        <f>SUM(E213:E215)</f>
        <v>60979</v>
      </c>
      <c r="F216" s="30">
        <f>SUM(F213:F215)</f>
        <v>90396</v>
      </c>
      <c r="G216" s="30">
        <f>SUM(G213:G215)</f>
        <v>72380.914353313114</v>
      </c>
      <c r="H216" s="30">
        <f t="shared" ref="H216:P216" si="196">SUM(H213:H215)</f>
        <v>85164.692978781502</v>
      </c>
      <c r="I216" s="30">
        <f t="shared" si="196"/>
        <v>127706.14945597609</v>
      </c>
      <c r="J216" s="30">
        <f t="shared" si="196"/>
        <v>181668.24419242208</v>
      </c>
      <c r="K216" s="30">
        <f t="shared" si="196"/>
        <v>249849.34462749946</v>
      </c>
      <c r="L216" s="30">
        <f t="shared" si="196"/>
        <v>325312.03717719641</v>
      </c>
      <c r="M216" s="30">
        <f t="shared" si="196"/>
        <v>406099.8165627725</v>
      </c>
      <c r="N216" s="30">
        <f t="shared" si="196"/>
        <v>492517.05826116266</v>
      </c>
      <c r="O216" s="30">
        <f t="shared" si="196"/>
        <v>584744.83312148054</v>
      </c>
      <c r="P216" s="30">
        <f t="shared" si="196"/>
        <v>684039.06316786259</v>
      </c>
    </row>
    <row r="217" spans="1:16" outlineLevel="1" x14ac:dyDescent="0.15">
      <c r="G217" s="2">
        <v>72316</v>
      </c>
    </row>
    <row r="219" spans="1:16" x14ac:dyDescent="0.15">
      <c r="A219" s="4" t="s">
        <v>137</v>
      </c>
      <c r="B219" s="4"/>
      <c r="C219" s="4"/>
      <c r="D219" s="4"/>
      <c r="E219" s="29"/>
      <c r="F219" s="29"/>
      <c r="G219" s="22"/>
      <c r="H219" s="22"/>
      <c r="I219" s="22"/>
      <c r="J219" s="22"/>
      <c r="K219" s="22"/>
      <c r="L219" s="22"/>
      <c r="M219" s="22"/>
      <c r="N219" s="22"/>
      <c r="O219" s="22"/>
      <c r="P219" s="22"/>
    </row>
    <row r="221" spans="1:16" x14ac:dyDescent="0.15">
      <c r="A221" s="58" t="s">
        <v>144</v>
      </c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</row>
    <row r="222" spans="1:16" x14ac:dyDescent="0.15">
      <c r="A222" s="12" t="s">
        <v>152</v>
      </c>
    </row>
    <row r="223" spans="1:16" x14ac:dyDescent="0.15">
      <c r="A223" s="13" t="s">
        <v>138</v>
      </c>
      <c r="B223" s="13"/>
      <c r="C223" s="13"/>
      <c r="D223" s="46"/>
      <c r="E223" s="48">
        <v>2235</v>
      </c>
      <c r="F223" s="20">
        <f>E259</f>
        <v>2070</v>
      </c>
      <c r="G223" s="20">
        <f t="shared" ref="G223:K223" si="197">F259</f>
        <v>5052</v>
      </c>
      <c r="H223" s="20">
        <f t="shared" si="197"/>
        <v>7998.1980000000003</v>
      </c>
      <c r="I223" s="20">
        <f t="shared" si="197"/>
        <v>10806.5586</v>
      </c>
      <c r="J223" s="20">
        <f t="shared" si="197"/>
        <v>13151.109693000002</v>
      </c>
      <c r="K223" s="20">
        <f t="shared" si="197"/>
        <v>15477.571603425002</v>
      </c>
      <c r="L223" s="20">
        <f t="shared" ref="L223:N223" si="198">K259</f>
        <v>17201.646165320624</v>
      </c>
      <c r="M223" s="20">
        <f t="shared" si="198"/>
        <v>18911.810832360177</v>
      </c>
      <c r="N223" s="20">
        <f t="shared" si="198"/>
        <v>20613.72467454931</v>
      </c>
      <c r="O223" s="20">
        <f t="shared" ref="O223:P223" si="199">N259</f>
        <v>22297.205466485822</v>
      </c>
      <c r="P223" s="20">
        <f t="shared" si="199"/>
        <v>23967.458054015566</v>
      </c>
    </row>
    <row r="224" spans="1:16" x14ac:dyDescent="0.15">
      <c r="A224" s="2" t="s">
        <v>139</v>
      </c>
      <c r="D224" s="47"/>
      <c r="E224" s="18">
        <v>5718</v>
      </c>
      <c r="F224" s="19">
        <f t="shared" ref="F224:K228" si="200">E260</f>
        <v>9663</v>
      </c>
      <c r="G224" s="19">
        <f t="shared" si="200"/>
        <v>26213</v>
      </c>
      <c r="H224" s="19">
        <f t="shared" si="200"/>
        <v>31197.555</v>
      </c>
      <c r="I224" s="19">
        <f t="shared" si="200"/>
        <v>30144.100350000001</v>
      </c>
      <c r="J224" s="19">
        <f t="shared" si="200"/>
        <v>33861.675149999995</v>
      </c>
      <c r="K224" s="19">
        <f t="shared" si="200"/>
        <v>34120.3181625</v>
      </c>
      <c r="L224" s="19">
        <f t="shared" ref="L224:N224" si="201">K260</f>
        <v>32011.760626110001</v>
      </c>
      <c r="M224" s="19">
        <f t="shared" si="201"/>
        <v>31208.2088934204</v>
      </c>
      <c r="N224" s="19">
        <f t="shared" si="201"/>
        <v>31206.123954516821</v>
      </c>
      <c r="O224" s="19">
        <f t="shared" ref="O224:P224" si="202">N260</f>
        <v>31641.71494282093</v>
      </c>
      <c r="P224" s="19">
        <f t="shared" si="202"/>
        <v>32355.200955757275</v>
      </c>
    </row>
    <row r="225" spans="1:16" x14ac:dyDescent="0.15">
      <c r="A225" s="2" t="s">
        <v>140</v>
      </c>
      <c r="D225" s="47"/>
      <c r="E225" s="18">
        <v>7601</v>
      </c>
      <c r="F225" s="19">
        <f t="shared" si="200"/>
        <v>7168</v>
      </c>
      <c r="G225" s="19">
        <f t="shared" si="200"/>
        <v>6246</v>
      </c>
      <c r="H225" s="19">
        <f t="shared" si="200"/>
        <v>6061.0049999999992</v>
      </c>
      <c r="I225" s="19">
        <f t="shared" si="200"/>
        <v>6076.0721249999988</v>
      </c>
      <c r="J225" s="19">
        <f t="shared" si="200"/>
        <v>6374.2325849999997</v>
      </c>
      <c r="K225" s="19">
        <f t="shared" si="200"/>
        <v>6690.6869557500013</v>
      </c>
      <c r="L225" s="19">
        <f t="shared" ref="L225:N225" si="203">K261</f>
        <v>7003.6134305287524</v>
      </c>
      <c r="M225" s="19">
        <f t="shared" si="203"/>
        <v>7301.8775663694014</v>
      </c>
      <c r="N225" s="19">
        <f t="shared" si="203"/>
        <v>7601.2005084719758</v>
      </c>
      <c r="O225" s="19">
        <f t="shared" ref="O225:P225" si="204">N261</f>
        <v>7884.7454171803547</v>
      </c>
      <c r="P225" s="19">
        <f t="shared" si="204"/>
        <v>8167.7126631464098</v>
      </c>
    </row>
    <row r="226" spans="1:16" x14ac:dyDescent="0.15">
      <c r="A226" s="2" t="s">
        <v>141</v>
      </c>
      <c r="D226" s="47"/>
      <c r="E226" s="18">
        <v>1020</v>
      </c>
      <c r="F226" s="19">
        <f t="shared" si="200"/>
        <v>683</v>
      </c>
      <c r="G226" s="19">
        <f t="shared" si="200"/>
        <v>405</v>
      </c>
      <c r="H226" s="19">
        <f t="shared" si="200"/>
        <v>304.45138938527521</v>
      </c>
      <c r="I226" s="19">
        <f t="shared" si="200"/>
        <v>251.19218828180846</v>
      </c>
      <c r="J226" s="19">
        <f t="shared" si="200"/>
        <v>228.59914160449432</v>
      </c>
      <c r="K226" s="19">
        <f t="shared" si="200"/>
        <v>232.12509491467125</v>
      </c>
      <c r="L226" s="19">
        <f t="shared" ref="L226:N226" si="205">K262</f>
        <v>238.51411934861619</v>
      </c>
      <c r="M226" s="19">
        <f t="shared" si="205"/>
        <v>246.31709650497572</v>
      </c>
      <c r="N226" s="19">
        <f t="shared" si="205"/>
        <v>255.12722779462371</v>
      </c>
      <c r="O226" s="19">
        <f t="shared" ref="O226:P226" si="206">N262</f>
        <v>264.17010051461978</v>
      </c>
      <c r="P226" s="19">
        <f t="shared" si="206"/>
        <v>273.48410588094202</v>
      </c>
    </row>
    <row r="227" spans="1:16" x14ac:dyDescent="0.15">
      <c r="A227" s="2" t="s">
        <v>142</v>
      </c>
      <c r="D227" s="47"/>
      <c r="E227" s="18">
        <v>1040</v>
      </c>
      <c r="F227" s="19">
        <f t="shared" si="200"/>
        <v>764</v>
      </c>
      <c r="G227" s="19">
        <f t="shared" si="200"/>
        <v>881</v>
      </c>
      <c r="H227" s="19">
        <f t="shared" si="200"/>
        <v>932.77099999999996</v>
      </c>
      <c r="I227" s="19">
        <f t="shared" si="200"/>
        <v>963.52677499999982</v>
      </c>
      <c r="J227" s="19">
        <f t="shared" si="200"/>
        <v>1077.8187794999999</v>
      </c>
      <c r="K227" s="19">
        <f t="shared" si="200"/>
        <v>1151.5444182000001</v>
      </c>
      <c r="L227" s="19">
        <f t="shared" ref="L227:N227" si="207">K263</f>
        <v>1210.9310551057501</v>
      </c>
      <c r="M227" s="19">
        <f t="shared" si="207"/>
        <v>1263.365755363305</v>
      </c>
      <c r="N227" s="19">
        <f t="shared" si="207"/>
        <v>1315.0996229938348</v>
      </c>
      <c r="O227" s="19">
        <f t="shared" ref="O227:P227" si="208">N263</f>
        <v>1363.3829296564631</v>
      </c>
      <c r="P227" s="19">
        <f t="shared" si="208"/>
        <v>1411.777778151793</v>
      </c>
    </row>
    <row r="228" spans="1:16" x14ac:dyDescent="0.15">
      <c r="A228" s="2" t="s">
        <v>143</v>
      </c>
      <c r="D228" s="47"/>
      <c r="E228" s="18">
        <v>1272</v>
      </c>
      <c r="F228" s="19">
        <f t="shared" si="200"/>
        <v>1035</v>
      </c>
      <c r="G228" s="19">
        <f t="shared" si="200"/>
        <v>966</v>
      </c>
      <c r="H228" s="19">
        <f t="shared" si="200"/>
        <v>977.33400000000006</v>
      </c>
      <c r="I228" s="19">
        <f t="shared" si="200"/>
        <v>995.10302999999999</v>
      </c>
      <c r="J228" s="19">
        <f t="shared" si="200"/>
        <v>1043.2940736</v>
      </c>
      <c r="K228" s="19">
        <f t="shared" si="200"/>
        <v>1094.6454411720001</v>
      </c>
      <c r="L228" s="19">
        <f t="shared" ref="L228:N228" si="209">K264</f>
        <v>1146.1941158399404</v>
      </c>
      <c r="M228" s="19">
        <f t="shared" si="209"/>
        <v>1196.078566124489</v>
      </c>
      <c r="N228" s="19">
        <f t="shared" si="209"/>
        <v>1246.0207853079633</v>
      </c>
      <c r="O228" s="19">
        <f t="shared" ref="O228:P228" si="210">N264</f>
        <v>1293.8328368656826</v>
      </c>
      <c r="P228" s="19">
        <f t="shared" si="210"/>
        <v>1341.3016746733908</v>
      </c>
    </row>
    <row r="229" spans="1:16" x14ac:dyDescent="0.15">
      <c r="A229" s="14" t="s">
        <v>153</v>
      </c>
      <c r="B229" s="14"/>
      <c r="C229" s="14"/>
      <c r="D229" s="49"/>
      <c r="E229" s="21">
        <f>SUM(E223:E228)</f>
        <v>18886</v>
      </c>
      <c r="F229" s="21">
        <f>SUM(F223:F228)</f>
        <v>21383</v>
      </c>
      <c r="G229" s="21">
        <f t="shared" ref="G229:K229" si="211">SUM(G223:G228)</f>
        <v>39763</v>
      </c>
      <c r="H229" s="21">
        <f t="shared" si="211"/>
        <v>47471.314389385276</v>
      </c>
      <c r="I229" s="21">
        <f t="shared" si="211"/>
        <v>49236.553068281799</v>
      </c>
      <c r="J229" s="21">
        <f t="shared" si="211"/>
        <v>55736.729422704491</v>
      </c>
      <c r="K229" s="21">
        <f t="shared" si="211"/>
        <v>58766.89167596167</v>
      </c>
      <c r="L229" s="21">
        <f t="shared" ref="L229" si="212">SUM(L223:L228)</f>
        <v>58812.659512253689</v>
      </c>
      <c r="M229" s="21">
        <f t="shared" ref="M229" si="213">SUM(M223:M228)</f>
        <v>60127.658710142743</v>
      </c>
      <c r="N229" s="21">
        <f t="shared" ref="N229" si="214">SUM(N223:N228)</f>
        <v>62237.296773634531</v>
      </c>
      <c r="O229" s="21">
        <f t="shared" ref="O229" si="215">SUM(O223:O228)</f>
        <v>64745.05169352387</v>
      </c>
      <c r="P229" s="21">
        <f t="shared" ref="P229" si="216">SUM(P223:P228)</f>
        <v>67516.935231625379</v>
      </c>
    </row>
    <row r="230" spans="1:16" x14ac:dyDescent="0.15">
      <c r="A230" s="35"/>
      <c r="B230" s="35"/>
      <c r="C230" s="35"/>
      <c r="D230" s="50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</row>
    <row r="231" spans="1:16" x14ac:dyDescent="0.15">
      <c r="A231" s="12" t="s">
        <v>146</v>
      </c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x14ac:dyDescent="0.15">
      <c r="A232" s="13" t="s">
        <v>138</v>
      </c>
      <c r="B232" s="13"/>
      <c r="C232" s="13"/>
      <c r="D232" s="13"/>
      <c r="E232" s="48">
        <v>0</v>
      </c>
      <c r="F232" s="48">
        <v>3145</v>
      </c>
      <c r="G232" s="20">
        <f>G$78*G39</f>
        <v>3325.098</v>
      </c>
      <c r="H232" s="20">
        <f>H$78*H39</f>
        <v>3408.2254499999999</v>
      </c>
      <c r="I232" s="20">
        <f>I$78*I39</f>
        <v>3155.0429880000002</v>
      </c>
      <c r="J232" s="20">
        <f>J$78*J39</f>
        <v>3312.7951374000008</v>
      </c>
      <c r="K232" s="20">
        <f>K$78*K39</f>
        <v>2884.8924321525005</v>
      </c>
      <c r="L232" s="20">
        <f>L$78*L39</f>
        <v>3000.2881294386002</v>
      </c>
      <c r="M232" s="20">
        <f>M$78*M39</f>
        <v>3120.2996546161444</v>
      </c>
      <c r="N232" s="20">
        <f>N$78*N39</f>
        <v>3229.5101425277094</v>
      </c>
      <c r="O232" s="20">
        <f>O$78*O39</f>
        <v>3342.5429975161787</v>
      </c>
      <c r="P232" s="20">
        <f>P$78*P39</f>
        <v>3459.532002429245</v>
      </c>
    </row>
    <row r="233" spans="1:16" x14ac:dyDescent="0.15">
      <c r="A233" s="2" t="s">
        <v>139</v>
      </c>
      <c r="E233" s="18">
        <v>8426</v>
      </c>
      <c r="F233" s="18">
        <v>20930</v>
      </c>
      <c r="G233" s="19">
        <f>G$78*G40</f>
        <v>20188.095000000001</v>
      </c>
      <c r="H233" s="19">
        <f>H$78*H40</f>
        <v>17041.127250000001</v>
      </c>
      <c r="I233" s="19">
        <f>I$78*I40</f>
        <v>15775.21494</v>
      </c>
      <c r="J233" s="19">
        <f>J$78*J40</f>
        <v>13803.313072500003</v>
      </c>
      <c r="K233" s="19">
        <f>K$78*K40</f>
        <v>11539.569728610002</v>
      </c>
      <c r="L233" s="19">
        <f>L$78*L40</f>
        <v>12001.152517754401</v>
      </c>
      <c r="M233" s="19">
        <f>M$78*M40</f>
        <v>12481.198618464578</v>
      </c>
      <c r="N233" s="19">
        <f>N$78*N40</f>
        <v>12918.040570110838</v>
      </c>
      <c r="O233" s="19">
        <f>O$78*O40</f>
        <v>13370.171990064715</v>
      </c>
      <c r="P233" s="19">
        <f>P$78*P40</f>
        <v>13838.12800971698</v>
      </c>
    </row>
    <row r="234" spans="1:16" x14ac:dyDescent="0.15">
      <c r="A234" s="2" t="s">
        <v>140</v>
      </c>
      <c r="E234" s="18">
        <v>5196</v>
      </c>
      <c r="F234" s="18">
        <v>4012</v>
      </c>
      <c r="G234" s="19">
        <f>G$78*G41</f>
        <v>3562.605</v>
      </c>
      <c r="H234" s="19">
        <f>H$78*H41</f>
        <v>3651.6701249999996</v>
      </c>
      <c r="I234" s="19">
        <f>I$78*I41</f>
        <v>3943.803735</v>
      </c>
      <c r="J234" s="19">
        <f>J$78*J41</f>
        <v>4140.9939217500005</v>
      </c>
      <c r="K234" s="19">
        <f>K$78*K41</f>
        <v>4327.3386482287506</v>
      </c>
      <c r="L234" s="19">
        <f>L$78*L41</f>
        <v>4500.4321941579001</v>
      </c>
      <c r="M234" s="19">
        <f>M$78*M41</f>
        <v>4680.4494819242163</v>
      </c>
      <c r="N234" s="19">
        <f>N$78*N41</f>
        <v>4844.2652137915638</v>
      </c>
      <c r="O234" s="19">
        <f>O$78*O41</f>
        <v>5013.8144962742681</v>
      </c>
      <c r="P234" s="19">
        <f>P$78*P41</f>
        <v>5189.2980036438676</v>
      </c>
    </row>
    <row r="235" spans="1:16" x14ac:dyDescent="0.15">
      <c r="A235" s="2" t="s">
        <v>141</v>
      </c>
      <c r="E235" s="18">
        <v>101</v>
      </c>
      <c r="F235" s="18">
        <v>77</v>
      </c>
      <c r="G235" s="19">
        <f>G$78*G42</f>
        <v>81.701389385275192</v>
      </c>
      <c r="H235" s="19">
        <f>H$78*H42</f>
        <v>83.743924119907064</v>
      </c>
      <c r="I235" s="19">
        <f>I$78*I42</f>
        <v>90.443438049499647</v>
      </c>
      <c r="J235" s="19">
        <f>J$78*J42</f>
        <v>94.965609951974642</v>
      </c>
      <c r="K235" s="19">
        <f>K$78*K42</f>
        <v>99.239062399813491</v>
      </c>
      <c r="L235" s="19">
        <f>L$78*L42</f>
        <v>103.20862489580603</v>
      </c>
      <c r="M235" s="19">
        <f>M$78*M42</f>
        <v>107.33696989163828</v>
      </c>
      <c r="N235" s="19">
        <f>N$78*N42</f>
        <v>111.0937638378456</v>
      </c>
      <c r="O235" s="19">
        <f>O$78*O42</f>
        <v>114.98204557217019</v>
      </c>
      <c r="P235" s="19">
        <f>P$78*P42</f>
        <v>119.00641716719615</v>
      </c>
    </row>
    <row r="236" spans="1:16" x14ac:dyDescent="0.15">
      <c r="A236" s="2" t="s">
        <v>142</v>
      </c>
      <c r="E236" s="18">
        <v>490</v>
      </c>
      <c r="F236" s="18">
        <v>689</v>
      </c>
      <c r="G236" s="19">
        <f>G$78*G43</f>
        <v>712.52099999999996</v>
      </c>
      <c r="H236" s="19">
        <f>H$78*H43</f>
        <v>730.334025</v>
      </c>
      <c r="I236" s="19">
        <f>I$78*I43</f>
        <v>788.76074700000004</v>
      </c>
      <c r="J236" s="19">
        <f>J$78*J43</f>
        <v>828.19878435000021</v>
      </c>
      <c r="K236" s="19">
        <f>K$78*K43</f>
        <v>865.46772964575007</v>
      </c>
      <c r="L236" s="19">
        <f>L$78*L43</f>
        <v>900.08643883158004</v>
      </c>
      <c r="M236" s="19">
        <f>M$78*M43</f>
        <v>936.08989638484331</v>
      </c>
      <c r="N236" s="19">
        <f>N$78*N43</f>
        <v>968.85304275831277</v>
      </c>
      <c r="O236" s="19">
        <f>O$78*O43</f>
        <v>1002.7628992548537</v>
      </c>
      <c r="P236" s="19">
        <f>P$78*P43</f>
        <v>1037.8596007287736</v>
      </c>
    </row>
    <row r="237" spans="1:16" x14ac:dyDescent="0.15">
      <c r="A237" s="2" t="s">
        <v>143</v>
      </c>
      <c r="E237" s="18">
        <v>256</v>
      </c>
      <c r="F237" s="18">
        <v>457</v>
      </c>
      <c r="G237" s="19">
        <f>G$78*G44</f>
        <v>475.01400000000001</v>
      </c>
      <c r="H237" s="19">
        <f>H$78*H44</f>
        <v>486.88934999999998</v>
      </c>
      <c r="I237" s="19">
        <f>I$78*I44</f>
        <v>525.84049800000003</v>
      </c>
      <c r="J237" s="19">
        <f>J$78*J44</f>
        <v>552.13252290000014</v>
      </c>
      <c r="K237" s="19">
        <f>K$78*K44</f>
        <v>576.97848643050008</v>
      </c>
      <c r="L237" s="19">
        <f>L$78*L44</f>
        <v>600.05762588772006</v>
      </c>
      <c r="M237" s="19">
        <f>M$78*M44</f>
        <v>624.05993092322888</v>
      </c>
      <c r="N237" s="19">
        <f>N$78*N44</f>
        <v>645.90202850554181</v>
      </c>
      <c r="O237" s="19">
        <f>O$78*O44</f>
        <v>668.50859950323581</v>
      </c>
      <c r="P237" s="19">
        <f>P$78*P44</f>
        <v>691.90640048584908</v>
      </c>
    </row>
    <row r="238" spans="1:16" x14ac:dyDescent="0.15">
      <c r="A238" s="14" t="s">
        <v>147</v>
      </c>
      <c r="B238" s="13"/>
      <c r="C238" s="13"/>
      <c r="D238" s="13"/>
      <c r="E238" s="21">
        <f>SUM(E232:E237)</f>
        <v>14469</v>
      </c>
      <c r="F238" s="21">
        <f>SUM(F232:F237)</f>
        <v>29310</v>
      </c>
      <c r="G238" s="21">
        <f t="shared" ref="G238:K238" si="217">SUM(G232:G237)</f>
        <v>28345.034389385273</v>
      </c>
      <c r="H238" s="21">
        <f t="shared" si="217"/>
        <v>25401.990124119911</v>
      </c>
      <c r="I238" s="21">
        <f t="shared" si="217"/>
        <v>24279.106346049502</v>
      </c>
      <c r="J238" s="21">
        <f t="shared" si="217"/>
        <v>22732.399048851978</v>
      </c>
      <c r="K238" s="21">
        <f t="shared" si="217"/>
        <v>20293.486087467318</v>
      </c>
      <c r="L238" s="21">
        <f t="shared" ref="L238" si="218">SUM(L232:L237)</f>
        <v>21105.225530966007</v>
      </c>
      <c r="M238" s="21">
        <f t="shared" ref="M238" si="219">SUM(M232:M237)</f>
        <v>21949.43455220465</v>
      </c>
      <c r="N238" s="21">
        <f t="shared" ref="N238" si="220">SUM(N232:N237)</f>
        <v>22717.664761531811</v>
      </c>
      <c r="O238" s="21">
        <f t="shared" ref="O238" si="221">SUM(O232:O237)</f>
        <v>23512.783028185422</v>
      </c>
      <c r="P238" s="21">
        <f t="shared" ref="P238" si="222">SUM(P232:P237)</f>
        <v>24335.73043417191</v>
      </c>
    </row>
    <row r="239" spans="1:16" x14ac:dyDescent="0.15">
      <c r="A239" s="35"/>
      <c r="B239" s="35"/>
      <c r="C239" s="35"/>
      <c r="D239" s="50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</row>
    <row r="240" spans="1:16" x14ac:dyDescent="0.15">
      <c r="A240" s="12" t="s">
        <v>148</v>
      </c>
      <c r="B240" s="35"/>
      <c r="C240" s="35"/>
      <c r="D240" s="50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</row>
    <row r="241" spans="1:16" x14ac:dyDescent="0.15">
      <c r="A241" s="13" t="s">
        <v>138</v>
      </c>
      <c r="B241" s="14"/>
      <c r="C241" s="14"/>
      <c r="D241" s="49"/>
      <c r="E241" s="48">
        <v>165</v>
      </c>
      <c r="F241" s="48">
        <v>163</v>
      </c>
      <c r="G241" s="20">
        <f>G223*G47</f>
        <v>378.9</v>
      </c>
      <c r="H241" s="20">
        <f>H223*H47</f>
        <v>599.86485000000005</v>
      </c>
      <c r="I241" s="20">
        <f>I223*I47</f>
        <v>810.491895</v>
      </c>
      <c r="J241" s="20">
        <f>J223*J47</f>
        <v>986.33322697500012</v>
      </c>
      <c r="K241" s="20">
        <f>K223*K47</f>
        <v>1160.817870256875</v>
      </c>
      <c r="L241" s="20">
        <f>L223*L47</f>
        <v>1290.1234623990467</v>
      </c>
      <c r="M241" s="20">
        <f>M223*M47</f>
        <v>1418.3858124270132</v>
      </c>
      <c r="N241" s="20">
        <f>N223*N47</f>
        <v>1546.0293505911982</v>
      </c>
      <c r="O241" s="20">
        <f>O223*O47</f>
        <v>1672.2904099864365</v>
      </c>
      <c r="P241" s="20">
        <f>P223*P47</f>
        <v>1797.5593540511675</v>
      </c>
    </row>
    <row r="242" spans="1:16" x14ac:dyDescent="0.15">
      <c r="A242" s="2" t="s">
        <v>139</v>
      </c>
      <c r="B242" s="35"/>
      <c r="C242" s="35"/>
      <c r="D242" s="50"/>
      <c r="E242" s="53">
        <v>4881</v>
      </c>
      <c r="F242" s="53">
        <v>5679</v>
      </c>
      <c r="G242" s="52">
        <f>G224*G48</f>
        <v>15203.539999999999</v>
      </c>
      <c r="H242" s="52">
        <f>H224*H48</f>
        <v>18094.581899999997</v>
      </c>
      <c r="I242" s="52">
        <f>I224*I48</f>
        <v>12057.640140000001</v>
      </c>
      <c r="J242" s="52">
        <f>J224*J48</f>
        <v>13544.670059999999</v>
      </c>
      <c r="K242" s="52">
        <f>K224*K48</f>
        <v>13648.127265000001</v>
      </c>
      <c r="L242" s="52">
        <f>L224*L48</f>
        <v>12804.704250444001</v>
      </c>
      <c r="M242" s="52">
        <f>M224*M48</f>
        <v>12483.28355736816</v>
      </c>
      <c r="N242" s="52">
        <f>N224*N48</f>
        <v>12482.44958180673</v>
      </c>
      <c r="O242" s="52">
        <f>O224*O48</f>
        <v>12656.685977128373</v>
      </c>
      <c r="P242" s="52">
        <f>P224*P48</f>
        <v>12942.080382302911</v>
      </c>
    </row>
    <row r="243" spans="1:16" x14ac:dyDescent="0.15">
      <c r="A243" s="2" t="s">
        <v>140</v>
      </c>
      <c r="B243" s="35"/>
      <c r="C243" s="35"/>
      <c r="D243" s="50"/>
      <c r="E243" s="53">
        <v>4767</v>
      </c>
      <c r="F243" s="53">
        <v>4325</v>
      </c>
      <c r="G243" s="52">
        <f>G225*G49</f>
        <v>3747.6</v>
      </c>
      <c r="H243" s="52">
        <f>H225*H49</f>
        <v>3636.6029999999996</v>
      </c>
      <c r="I243" s="52">
        <f>I225*I49</f>
        <v>3645.643274999999</v>
      </c>
      <c r="J243" s="52">
        <f>J225*J49</f>
        <v>3824.5395509999998</v>
      </c>
      <c r="K243" s="52">
        <f>K225*K49</f>
        <v>4014.4121734500004</v>
      </c>
      <c r="L243" s="52">
        <f>L225*L49</f>
        <v>4202.1680583172511</v>
      </c>
      <c r="M243" s="52">
        <f>M225*M49</f>
        <v>4381.126539821641</v>
      </c>
      <c r="N243" s="52">
        <f>N225*N49</f>
        <v>4560.7203050831849</v>
      </c>
      <c r="O243" s="52">
        <f>O225*O49</f>
        <v>4730.847250308213</v>
      </c>
      <c r="P243" s="52">
        <f>P225*P49</f>
        <v>4900.6275978878457</v>
      </c>
    </row>
    <row r="244" spans="1:16" x14ac:dyDescent="0.15">
      <c r="A244" s="2" t="s">
        <v>141</v>
      </c>
      <c r="B244" s="35"/>
      <c r="C244" s="35"/>
      <c r="D244" s="50"/>
      <c r="E244" s="53">
        <v>374</v>
      </c>
      <c r="F244" s="53">
        <v>355</v>
      </c>
      <c r="G244" s="52">
        <f>G226*G50</f>
        <v>182.25</v>
      </c>
      <c r="H244" s="52">
        <f>H226*H50</f>
        <v>137.00312522337384</v>
      </c>
      <c r="I244" s="52">
        <f>I226*I50</f>
        <v>113.03648472681381</v>
      </c>
      <c r="J244" s="52">
        <f>J226*J50</f>
        <v>91.43965664179774</v>
      </c>
      <c r="K244" s="52">
        <f>K226*K50</f>
        <v>92.850037965868509</v>
      </c>
      <c r="L244" s="52">
        <f>L226*L50</f>
        <v>95.405647739446479</v>
      </c>
      <c r="M244" s="52">
        <f>M226*M50</f>
        <v>98.526838601990292</v>
      </c>
      <c r="N244" s="52">
        <f>N226*N50</f>
        <v>102.05089111784949</v>
      </c>
      <c r="O244" s="52">
        <f>O226*O50</f>
        <v>105.66804020584792</v>
      </c>
      <c r="P244" s="52">
        <f>P226*P50</f>
        <v>109.39364235237682</v>
      </c>
    </row>
    <row r="245" spans="1:16" x14ac:dyDescent="0.15">
      <c r="A245" s="2" t="s">
        <v>142</v>
      </c>
      <c r="B245" s="35"/>
      <c r="C245" s="35"/>
      <c r="D245" s="50"/>
      <c r="E245" s="53">
        <v>573</v>
      </c>
      <c r="F245" s="53">
        <v>569</v>
      </c>
      <c r="G245" s="52">
        <f>G227*G51</f>
        <v>660.75</v>
      </c>
      <c r="H245" s="52">
        <f>H227*H51</f>
        <v>699.57825000000003</v>
      </c>
      <c r="I245" s="52">
        <f>I227*I51</f>
        <v>674.46874249999985</v>
      </c>
      <c r="J245" s="52">
        <f>J227*J51</f>
        <v>754.47314564999988</v>
      </c>
      <c r="K245" s="52">
        <f>K227*K51</f>
        <v>806.08109274000003</v>
      </c>
      <c r="L245" s="52">
        <f>L227*L51</f>
        <v>847.6517385740251</v>
      </c>
      <c r="M245" s="52">
        <f>M227*M51</f>
        <v>884.35602875431346</v>
      </c>
      <c r="N245" s="52">
        <f>N227*N51</f>
        <v>920.56973609568433</v>
      </c>
      <c r="O245" s="52">
        <f>O227*O51</f>
        <v>954.36805075952418</v>
      </c>
      <c r="P245" s="52">
        <f>P227*P51</f>
        <v>988.24444470625497</v>
      </c>
    </row>
    <row r="246" spans="1:16" x14ac:dyDescent="0.15">
      <c r="A246" s="2" t="s">
        <v>143</v>
      </c>
      <c r="B246" s="35"/>
      <c r="C246" s="35"/>
      <c r="D246" s="50"/>
      <c r="E246" s="53">
        <v>481</v>
      </c>
      <c r="F246" s="53">
        <v>504</v>
      </c>
      <c r="G246" s="52">
        <f>G228*G52</f>
        <v>463.68</v>
      </c>
      <c r="H246" s="52">
        <f>H228*H52</f>
        <v>469.12031999999999</v>
      </c>
      <c r="I246" s="52">
        <f>I228*I52</f>
        <v>477.64945439999997</v>
      </c>
      <c r="J246" s="52">
        <f>J228*J52</f>
        <v>500.78115532800001</v>
      </c>
      <c r="K246" s="52">
        <f>K228*K52</f>
        <v>525.42981176256001</v>
      </c>
      <c r="L246" s="52">
        <f>L228*L52</f>
        <v>550.17317560317133</v>
      </c>
      <c r="M246" s="52">
        <f>M228*M52</f>
        <v>574.11771173975467</v>
      </c>
      <c r="N246" s="52">
        <f>N228*N52</f>
        <v>598.08997694782238</v>
      </c>
      <c r="O246" s="52">
        <f>O228*O52</f>
        <v>621.03976169552766</v>
      </c>
      <c r="P246" s="52">
        <f>P228*P52</f>
        <v>643.82480384322753</v>
      </c>
    </row>
    <row r="247" spans="1:16" x14ac:dyDescent="0.15">
      <c r="A247" s="14" t="s">
        <v>151</v>
      </c>
      <c r="B247" s="14"/>
      <c r="C247" s="14"/>
      <c r="D247" s="49"/>
      <c r="E247" s="21">
        <f>SUM(E241:E246)</f>
        <v>11241</v>
      </c>
      <c r="F247" s="21">
        <f>SUM(F241:F246)</f>
        <v>11595</v>
      </c>
      <c r="G247" s="21">
        <f t="shared" ref="G247:K247" si="223">SUM(G241:G246)</f>
        <v>20636.719999999998</v>
      </c>
      <c r="H247" s="21">
        <f t="shared" si="223"/>
        <v>23636.751445223374</v>
      </c>
      <c r="I247" s="21">
        <f t="shared" si="223"/>
        <v>17778.929991626817</v>
      </c>
      <c r="J247" s="21">
        <f t="shared" si="223"/>
        <v>19702.236795594799</v>
      </c>
      <c r="K247" s="21">
        <f t="shared" si="223"/>
        <v>20247.718251175305</v>
      </c>
      <c r="L247" s="21">
        <f t="shared" ref="L247" si="224">SUM(L241:L246)</f>
        <v>19790.226333076942</v>
      </c>
      <c r="M247" s="21">
        <f t="shared" ref="M247" si="225">SUM(M241:M246)</f>
        <v>19839.796488712876</v>
      </c>
      <c r="N247" s="21">
        <f t="shared" ref="N247" si="226">SUM(N241:N246)</f>
        <v>20209.909841642471</v>
      </c>
      <c r="O247" s="21">
        <f t="shared" ref="O247" si="227">SUM(O241:O246)</f>
        <v>20740.899490083921</v>
      </c>
      <c r="P247" s="21">
        <f t="shared" ref="P247" si="228">SUM(P241:P246)</f>
        <v>21381.730225143783</v>
      </c>
    </row>
    <row r="248" spans="1:16" x14ac:dyDescent="0.15">
      <c r="A248" s="35"/>
      <c r="B248" s="35"/>
      <c r="C248" s="35"/>
      <c r="D248" s="50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</row>
    <row r="249" spans="1:16" x14ac:dyDescent="0.15">
      <c r="A249" s="12" t="s">
        <v>150</v>
      </c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x14ac:dyDescent="0.15">
      <c r="A250" s="13" t="s">
        <v>138</v>
      </c>
      <c r="B250" s="13"/>
      <c r="C250" s="13"/>
      <c r="D250" s="13"/>
      <c r="E250" s="48">
        <v>0</v>
      </c>
      <c r="F250" s="48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0">
        <v>0</v>
      </c>
      <c r="O250" s="20">
        <v>0</v>
      </c>
      <c r="P250" s="20">
        <v>0</v>
      </c>
    </row>
    <row r="251" spans="1:16" x14ac:dyDescent="0.15">
      <c r="A251" s="2" t="s">
        <v>139</v>
      </c>
      <c r="E251" s="53">
        <v>400</v>
      </c>
      <c r="F251" s="53">
        <v>1299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</row>
    <row r="252" spans="1:16" x14ac:dyDescent="0.15">
      <c r="A252" s="2" t="s">
        <v>140</v>
      </c>
      <c r="E252" s="53">
        <v>-862</v>
      </c>
      <c r="F252" s="53">
        <v>-609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</row>
    <row r="253" spans="1:16" x14ac:dyDescent="0.15">
      <c r="A253" s="2" t="s">
        <v>141</v>
      </c>
      <c r="E253" s="53">
        <v>-64</v>
      </c>
      <c r="F253" s="53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</row>
    <row r="254" spans="1:16" x14ac:dyDescent="0.15">
      <c r="A254" s="2" t="s">
        <v>142</v>
      </c>
      <c r="E254" s="53">
        <v>-193</v>
      </c>
      <c r="F254" s="53">
        <v>-3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</row>
    <row r="255" spans="1:16" x14ac:dyDescent="0.15">
      <c r="A255" s="2" t="s">
        <v>143</v>
      </c>
      <c r="E255" s="53">
        <v>-12</v>
      </c>
      <c r="F255" s="53">
        <v>-22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</row>
    <row r="256" spans="1:16" x14ac:dyDescent="0.15">
      <c r="A256" s="14" t="s">
        <v>156</v>
      </c>
      <c r="B256" s="13"/>
      <c r="C256" s="13"/>
      <c r="D256" s="13"/>
      <c r="E256" s="21">
        <f>SUM(E250:E255)</f>
        <v>-731</v>
      </c>
      <c r="F256" s="21">
        <f>SUM(F250:F255)</f>
        <v>665</v>
      </c>
      <c r="G256" s="21">
        <f t="shared" ref="G256:K256" si="229">SUM(G250:G255)</f>
        <v>0</v>
      </c>
      <c r="H256" s="21">
        <f t="shared" si="229"/>
        <v>0</v>
      </c>
      <c r="I256" s="21">
        <f t="shared" si="229"/>
        <v>0</v>
      </c>
      <c r="J256" s="21">
        <f t="shared" si="229"/>
        <v>0</v>
      </c>
      <c r="K256" s="21">
        <f t="shared" si="229"/>
        <v>0</v>
      </c>
      <c r="L256" s="21">
        <f t="shared" ref="L256" si="230">SUM(L250:L255)</f>
        <v>0</v>
      </c>
      <c r="M256" s="21">
        <f t="shared" ref="M256" si="231">SUM(M250:M255)</f>
        <v>0</v>
      </c>
      <c r="N256" s="21">
        <f t="shared" ref="N256" si="232">SUM(N250:N255)</f>
        <v>0</v>
      </c>
      <c r="O256" s="21">
        <f t="shared" ref="O256" si="233">SUM(O250:O255)</f>
        <v>0</v>
      </c>
      <c r="P256" s="21">
        <f t="shared" ref="P256" si="234">SUM(P250:P255)</f>
        <v>0</v>
      </c>
    </row>
    <row r="257" spans="1:16" x14ac:dyDescent="0.15">
      <c r="A257" s="35"/>
      <c r="B257" s="35"/>
      <c r="C257" s="35"/>
      <c r="D257" s="50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</row>
    <row r="258" spans="1:16" x14ac:dyDescent="0.15">
      <c r="A258" s="12" t="s">
        <v>149</v>
      </c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x14ac:dyDescent="0.15">
      <c r="A259" s="13" t="s">
        <v>138</v>
      </c>
      <c r="B259" s="13"/>
      <c r="C259" s="13"/>
      <c r="D259" s="46"/>
      <c r="E259" s="20">
        <f>E223+E232-E241+E250</f>
        <v>2070</v>
      </c>
      <c r="F259" s="20">
        <f>F223+F232-F241+F250</f>
        <v>5052</v>
      </c>
      <c r="G259" s="20">
        <f>G223+G232-G241+G250</f>
        <v>7998.1980000000003</v>
      </c>
      <c r="H259" s="20">
        <f t="shared" ref="H259:K259" si="235">H223+H232-H241+H250</f>
        <v>10806.5586</v>
      </c>
      <c r="I259" s="20">
        <f t="shared" si="235"/>
        <v>13151.109693000002</v>
      </c>
      <c r="J259" s="20">
        <f t="shared" si="235"/>
        <v>15477.571603425002</v>
      </c>
      <c r="K259" s="20">
        <f t="shared" si="235"/>
        <v>17201.646165320624</v>
      </c>
      <c r="L259" s="20">
        <f t="shared" ref="L259:N259" si="236">L223+L232-L241+L250</f>
        <v>18911.810832360177</v>
      </c>
      <c r="M259" s="20">
        <f t="shared" si="236"/>
        <v>20613.72467454931</v>
      </c>
      <c r="N259" s="20">
        <f t="shared" si="236"/>
        <v>22297.205466485822</v>
      </c>
      <c r="O259" s="20">
        <f t="shared" ref="O259:P259" si="237">O223+O232-O241+O250</f>
        <v>23967.458054015566</v>
      </c>
      <c r="P259" s="20">
        <f t="shared" si="237"/>
        <v>25629.430702393642</v>
      </c>
    </row>
    <row r="260" spans="1:16" x14ac:dyDescent="0.15">
      <c r="A260" s="2" t="s">
        <v>139</v>
      </c>
      <c r="D260" s="47"/>
      <c r="E260" s="19">
        <f t="shared" ref="E260:F264" si="238">E224+E233-E242+E251</f>
        <v>9663</v>
      </c>
      <c r="F260" s="19">
        <f t="shared" si="238"/>
        <v>26213</v>
      </c>
      <c r="G260" s="19">
        <f t="shared" ref="G260:K260" si="239">G224+G233-G242+G251</f>
        <v>31197.555</v>
      </c>
      <c r="H260" s="19">
        <f t="shared" si="239"/>
        <v>30144.100350000001</v>
      </c>
      <c r="I260" s="19">
        <f t="shared" si="239"/>
        <v>33861.675149999995</v>
      </c>
      <c r="J260" s="19">
        <f t="shared" si="239"/>
        <v>34120.3181625</v>
      </c>
      <c r="K260" s="19">
        <f t="shared" si="239"/>
        <v>32011.760626110001</v>
      </c>
      <c r="L260" s="19">
        <f t="shared" ref="L260:N260" si="240">L224+L233-L242+L251</f>
        <v>31208.2088934204</v>
      </c>
      <c r="M260" s="19">
        <f t="shared" si="240"/>
        <v>31206.123954516821</v>
      </c>
      <c r="N260" s="19">
        <f t="shared" si="240"/>
        <v>31641.71494282093</v>
      </c>
      <c r="O260" s="19">
        <f t="shared" ref="O260:P260" si="241">O224+O233-O242+O251</f>
        <v>32355.200955757275</v>
      </c>
      <c r="P260" s="19">
        <f t="shared" si="241"/>
        <v>33251.248583171342</v>
      </c>
    </row>
    <row r="261" spans="1:16" x14ac:dyDescent="0.15">
      <c r="A261" s="2" t="s">
        <v>140</v>
      </c>
      <c r="D261" s="47"/>
      <c r="E261" s="19">
        <f t="shared" si="238"/>
        <v>7168</v>
      </c>
      <c r="F261" s="19">
        <f t="shared" si="238"/>
        <v>6246</v>
      </c>
      <c r="G261" s="19">
        <f t="shared" ref="G261:K261" si="242">G225+G234-G243+G252</f>
        <v>6061.0049999999992</v>
      </c>
      <c r="H261" s="19">
        <f t="shared" si="242"/>
        <v>6076.0721249999988</v>
      </c>
      <c r="I261" s="19">
        <f t="shared" si="242"/>
        <v>6374.2325849999997</v>
      </c>
      <c r="J261" s="19">
        <f t="shared" si="242"/>
        <v>6690.6869557500013</v>
      </c>
      <c r="K261" s="19">
        <f t="shared" si="242"/>
        <v>7003.6134305287524</v>
      </c>
      <c r="L261" s="19">
        <f t="shared" ref="L261:N261" si="243">L225+L234-L243+L252</f>
        <v>7301.8775663694014</v>
      </c>
      <c r="M261" s="19">
        <f t="shared" si="243"/>
        <v>7601.2005084719758</v>
      </c>
      <c r="N261" s="19">
        <f t="shared" si="243"/>
        <v>7884.7454171803547</v>
      </c>
      <c r="O261" s="19">
        <f t="shared" ref="O261:P261" si="244">O225+O234-O243+O252</f>
        <v>8167.7126631464098</v>
      </c>
      <c r="P261" s="19">
        <f t="shared" si="244"/>
        <v>8456.3830689024308</v>
      </c>
    </row>
    <row r="262" spans="1:16" x14ac:dyDescent="0.15">
      <c r="A262" s="2" t="s">
        <v>141</v>
      </c>
      <c r="D262" s="47"/>
      <c r="E262" s="19">
        <f t="shared" si="238"/>
        <v>683</v>
      </c>
      <c r="F262" s="19">
        <f t="shared" si="238"/>
        <v>405</v>
      </c>
      <c r="G262" s="19">
        <f t="shared" ref="G262:K262" si="245">G226+G235-G244+G253</f>
        <v>304.45138938527521</v>
      </c>
      <c r="H262" s="19">
        <f t="shared" si="245"/>
        <v>251.19218828180846</v>
      </c>
      <c r="I262" s="19">
        <f t="shared" si="245"/>
        <v>228.59914160449432</v>
      </c>
      <c r="J262" s="19">
        <f t="shared" si="245"/>
        <v>232.12509491467125</v>
      </c>
      <c r="K262" s="19">
        <f t="shared" si="245"/>
        <v>238.51411934861619</v>
      </c>
      <c r="L262" s="19">
        <f t="shared" ref="L262:N262" si="246">L226+L235-L244+L253</f>
        <v>246.31709650497572</v>
      </c>
      <c r="M262" s="19">
        <f t="shared" si="246"/>
        <v>255.12722779462371</v>
      </c>
      <c r="N262" s="19">
        <f t="shared" si="246"/>
        <v>264.17010051461978</v>
      </c>
      <c r="O262" s="19">
        <f t="shared" ref="O262:P262" si="247">O226+O235-O244+O253</f>
        <v>273.48410588094202</v>
      </c>
      <c r="P262" s="19">
        <f t="shared" si="247"/>
        <v>283.09688069576134</v>
      </c>
    </row>
    <row r="263" spans="1:16" x14ac:dyDescent="0.15">
      <c r="A263" s="2" t="s">
        <v>142</v>
      </c>
      <c r="D263" s="47"/>
      <c r="E263" s="19">
        <f t="shared" si="238"/>
        <v>764</v>
      </c>
      <c r="F263" s="19">
        <f t="shared" si="238"/>
        <v>881</v>
      </c>
      <c r="G263" s="19">
        <f t="shared" ref="G263:K263" si="248">G227+G236-G245+G254</f>
        <v>932.77099999999996</v>
      </c>
      <c r="H263" s="19">
        <f t="shared" si="248"/>
        <v>963.52677499999982</v>
      </c>
      <c r="I263" s="19">
        <f t="shared" si="248"/>
        <v>1077.8187794999999</v>
      </c>
      <c r="J263" s="19">
        <f t="shared" si="248"/>
        <v>1151.5444182000001</v>
      </c>
      <c r="K263" s="19">
        <f t="shared" si="248"/>
        <v>1210.9310551057501</v>
      </c>
      <c r="L263" s="19">
        <f t="shared" ref="L263:N263" si="249">L227+L236-L245+L254</f>
        <v>1263.365755363305</v>
      </c>
      <c r="M263" s="19">
        <f t="shared" si="249"/>
        <v>1315.0996229938348</v>
      </c>
      <c r="N263" s="19">
        <f t="shared" si="249"/>
        <v>1363.3829296564631</v>
      </c>
      <c r="O263" s="19">
        <f t="shared" ref="O263:P263" si="250">O227+O236-O245+O254</f>
        <v>1411.777778151793</v>
      </c>
      <c r="P263" s="19">
        <f t="shared" si="250"/>
        <v>1461.3929341743119</v>
      </c>
    </row>
    <row r="264" spans="1:16" x14ac:dyDescent="0.15">
      <c r="A264" s="2" t="s">
        <v>143</v>
      </c>
      <c r="D264" s="47"/>
      <c r="E264" s="19">
        <f t="shared" si="238"/>
        <v>1035</v>
      </c>
      <c r="F264" s="19">
        <f t="shared" si="238"/>
        <v>966</v>
      </c>
      <c r="G264" s="19">
        <f t="shared" ref="G264:K264" si="251">G228+G237-G246+G255</f>
        <v>977.33400000000006</v>
      </c>
      <c r="H264" s="19">
        <f t="shared" si="251"/>
        <v>995.10302999999999</v>
      </c>
      <c r="I264" s="19">
        <f t="shared" si="251"/>
        <v>1043.2940736</v>
      </c>
      <c r="J264" s="19">
        <f t="shared" si="251"/>
        <v>1094.6454411720001</v>
      </c>
      <c r="K264" s="19">
        <f t="shared" si="251"/>
        <v>1146.1941158399404</v>
      </c>
      <c r="L264" s="19">
        <f t="shared" ref="L264:N264" si="252">L228+L237-L246+L255</f>
        <v>1196.078566124489</v>
      </c>
      <c r="M264" s="19">
        <f t="shared" si="252"/>
        <v>1246.0207853079633</v>
      </c>
      <c r="N264" s="19">
        <f t="shared" si="252"/>
        <v>1293.8328368656826</v>
      </c>
      <c r="O264" s="19">
        <f t="shared" ref="O264:P264" si="253">O228+O237-O246+O255</f>
        <v>1341.3016746733908</v>
      </c>
      <c r="P264" s="19">
        <f t="shared" si="253"/>
        <v>1389.3832713160123</v>
      </c>
    </row>
    <row r="265" spans="1:16" x14ac:dyDescent="0.15">
      <c r="A265" s="15" t="s">
        <v>145</v>
      </c>
      <c r="B265" s="15"/>
      <c r="C265" s="15"/>
      <c r="D265" s="57"/>
      <c r="E265" s="23">
        <f>SUM(E259:E264)</f>
        <v>21383</v>
      </c>
      <c r="F265" s="23">
        <f>SUM(F259:F264)</f>
        <v>39763</v>
      </c>
      <c r="G265" s="23">
        <f t="shared" ref="G265:K265" si="254">SUM(G259:G264)</f>
        <v>47471.314389385276</v>
      </c>
      <c r="H265" s="23">
        <f t="shared" si="254"/>
        <v>49236.553068281799</v>
      </c>
      <c r="I265" s="23">
        <f t="shared" si="254"/>
        <v>55736.729422704491</v>
      </c>
      <c r="J265" s="23">
        <f t="shared" si="254"/>
        <v>58766.89167596167</v>
      </c>
      <c r="K265" s="23">
        <f t="shared" si="254"/>
        <v>58812.659512253689</v>
      </c>
      <c r="L265" s="23">
        <f t="shared" ref="L265" si="255">SUM(L259:L264)</f>
        <v>60127.658710142743</v>
      </c>
      <c r="M265" s="23">
        <f t="shared" ref="M265" si="256">SUM(M259:M264)</f>
        <v>62237.296773634531</v>
      </c>
      <c r="N265" s="23">
        <f t="shared" ref="N265" si="257">SUM(N259:N264)</f>
        <v>64745.05169352387</v>
      </c>
      <c r="O265" s="23">
        <f t="shared" ref="O265" si="258">SUM(O259:O264)</f>
        <v>67516.935231625379</v>
      </c>
      <c r="P265" s="23">
        <f t="shared" ref="P265" si="259">SUM(P259:P264)</f>
        <v>70470.935440653499</v>
      </c>
    </row>
    <row r="266" spans="1:16" x14ac:dyDescent="0.15">
      <c r="A266" s="35"/>
      <c r="B266" s="35"/>
      <c r="C266" s="35"/>
      <c r="D266" s="50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</row>
    <row r="267" spans="1:16" x14ac:dyDescent="0.15">
      <c r="A267" s="58" t="s">
        <v>185</v>
      </c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</row>
    <row r="268" spans="1:16" s="69" customFormat="1" x14ac:dyDescent="0.15">
      <c r="A268" s="68" t="s">
        <v>186</v>
      </c>
    </row>
    <row r="269" spans="1:16" x14ac:dyDescent="0.15">
      <c r="A269" s="2" t="s">
        <v>153</v>
      </c>
      <c r="E269" s="19">
        <f>D273</f>
        <v>9990</v>
      </c>
      <c r="F269" s="19">
        <f>E273</f>
        <v>13765</v>
      </c>
      <c r="G269" s="19">
        <f>F273</f>
        <v>13015</v>
      </c>
      <c r="H269" s="19">
        <f>G273</f>
        <v>12234.1</v>
      </c>
      <c r="I269" s="19">
        <f t="shared" ref="I269:P269" si="260">H273</f>
        <v>11500.054</v>
      </c>
      <c r="J269" s="19">
        <f t="shared" si="260"/>
        <v>10810.05076</v>
      </c>
      <c r="K269" s="19">
        <f t="shared" si="260"/>
        <v>10161.447714399999</v>
      </c>
      <c r="L269" s="19">
        <f t="shared" si="260"/>
        <v>9551.7608515359989</v>
      </c>
      <c r="M269" s="19">
        <f t="shared" si="260"/>
        <v>8978.6552004438381</v>
      </c>
      <c r="N269" s="19">
        <f t="shared" si="260"/>
        <v>8439.935888417207</v>
      </c>
      <c r="O269" s="19">
        <f t="shared" si="260"/>
        <v>7933.5397351121746</v>
      </c>
      <c r="P269" s="19">
        <f t="shared" si="260"/>
        <v>7457.527351005444</v>
      </c>
    </row>
    <row r="270" spans="1:16" x14ac:dyDescent="0.15">
      <c r="A270" s="60" t="s">
        <v>158</v>
      </c>
      <c r="E270" s="18">
        <v>3900</v>
      </c>
      <c r="F270" s="18">
        <v>0</v>
      </c>
      <c r="G270" s="19">
        <f>G78*G59</f>
        <v>0</v>
      </c>
      <c r="H270" s="19">
        <f>H78*H59</f>
        <v>0</v>
      </c>
      <c r="I270" s="19">
        <f>I78*I59</f>
        <v>0</v>
      </c>
      <c r="J270" s="19">
        <f>J78*J59</f>
        <v>0</v>
      </c>
      <c r="K270" s="19">
        <f>K78*K59</f>
        <v>0</v>
      </c>
      <c r="L270" s="19">
        <f>L78*L59</f>
        <v>0</v>
      </c>
      <c r="M270" s="19">
        <f>M78*M59</f>
        <v>0</v>
      </c>
      <c r="N270" s="19">
        <f>N78*N59</f>
        <v>0</v>
      </c>
      <c r="O270" s="19">
        <f>O78*O59</f>
        <v>0</v>
      </c>
      <c r="P270" s="19">
        <f>P78*P59</f>
        <v>0</v>
      </c>
    </row>
    <row r="271" spans="1:16" x14ac:dyDescent="0.15">
      <c r="A271" s="60" t="s">
        <v>184</v>
      </c>
      <c r="E271" s="18">
        <v>610</v>
      </c>
      <c r="F271" s="18">
        <v>836</v>
      </c>
      <c r="G271" s="19">
        <f>G269*G60</f>
        <v>780.9</v>
      </c>
      <c r="H271" s="19">
        <f>H269*H60</f>
        <v>734.04600000000005</v>
      </c>
      <c r="I271" s="19">
        <f>I269*I60</f>
        <v>690.00324000000001</v>
      </c>
      <c r="J271" s="19">
        <f>J269*J60</f>
        <v>648.60304559999997</v>
      </c>
      <c r="K271" s="19">
        <f>K269*K60</f>
        <v>609.68686286399998</v>
      </c>
      <c r="L271" s="19">
        <f>L269*L60</f>
        <v>573.10565109215986</v>
      </c>
      <c r="M271" s="19">
        <f>M269*M60</f>
        <v>538.71931202663029</v>
      </c>
      <c r="N271" s="19">
        <f>N269*N60</f>
        <v>506.39615330503239</v>
      </c>
      <c r="O271" s="19">
        <f>O269*O60</f>
        <v>476.01238410673045</v>
      </c>
      <c r="P271" s="19">
        <f>P269*P60</f>
        <v>447.45164106032661</v>
      </c>
    </row>
    <row r="272" spans="1:16" x14ac:dyDescent="0.15">
      <c r="A272" s="60" t="s">
        <v>160</v>
      </c>
      <c r="E272" s="18">
        <v>-485</v>
      </c>
      <c r="F272" s="18">
        <v>-86</v>
      </c>
      <c r="G272" s="18">
        <v>0</v>
      </c>
      <c r="H272" s="18">
        <v>0</v>
      </c>
      <c r="I272" s="18">
        <v>0</v>
      </c>
      <c r="J272" s="18">
        <v>0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</row>
    <row r="273" spans="1:16" x14ac:dyDescent="0.15">
      <c r="A273" s="14" t="s">
        <v>145</v>
      </c>
      <c r="B273" s="14"/>
      <c r="C273" s="14"/>
      <c r="D273" s="21">
        <v>9990</v>
      </c>
      <c r="E273" s="21">
        <f>E269+E270-E271-E272</f>
        <v>13765</v>
      </c>
      <c r="F273" s="21">
        <f>F269+F270-F271-F272</f>
        <v>13015</v>
      </c>
      <c r="G273" s="21">
        <f>G269+G270-G271-G272</f>
        <v>12234.1</v>
      </c>
      <c r="H273" s="21">
        <f>H269+H270-H271-H272</f>
        <v>11500.054</v>
      </c>
      <c r="I273" s="21">
        <f t="shared" ref="I273:P273" si="261">I269+I270-I271-I272</f>
        <v>10810.05076</v>
      </c>
      <c r="J273" s="21">
        <f t="shared" si="261"/>
        <v>10161.447714399999</v>
      </c>
      <c r="K273" s="21">
        <f t="shared" si="261"/>
        <v>9551.7608515359989</v>
      </c>
      <c r="L273" s="21">
        <f t="shared" si="261"/>
        <v>8978.6552004438381</v>
      </c>
      <c r="M273" s="21">
        <f t="shared" si="261"/>
        <v>8439.935888417207</v>
      </c>
      <c r="N273" s="21">
        <f t="shared" si="261"/>
        <v>7933.5397351121746</v>
      </c>
      <c r="O273" s="21">
        <f t="shared" si="261"/>
        <v>7457.527351005444</v>
      </c>
      <c r="P273" s="21">
        <f t="shared" si="261"/>
        <v>7010.0757099451175</v>
      </c>
    </row>
    <row r="274" spans="1:16" x14ac:dyDescent="0.15">
      <c r="A274" s="35"/>
      <c r="B274" s="35"/>
      <c r="C274" s="35"/>
      <c r="D274" s="50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</row>
    <row r="275" spans="1:16" x14ac:dyDescent="0.15">
      <c r="A275" s="58" t="s">
        <v>199</v>
      </c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</row>
    <row r="277" spans="1:16" x14ac:dyDescent="0.15">
      <c r="A277" s="62" t="s">
        <v>193</v>
      </c>
      <c r="B277" s="54"/>
      <c r="C277" s="54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</row>
    <row r="278" spans="1:16" x14ac:dyDescent="0.15">
      <c r="A278" s="2" t="s">
        <v>153</v>
      </c>
      <c r="D278" s="19"/>
      <c r="E278" s="19"/>
      <c r="F278" s="19">
        <f>E282</f>
        <v>121935</v>
      </c>
      <c r="G278" s="19">
        <f>F282</f>
        <v>170225.99999999997</v>
      </c>
      <c r="H278" s="19">
        <f t="shared" ref="H278:K278" si="262">G282</f>
        <v>108863.7</v>
      </c>
      <c r="I278" s="19">
        <f t="shared" si="262"/>
        <v>78776.317499999976</v>
      </c>
      <c r="J278" s="19">
        <f t="shared" si="262"/>
        <v>65680.183649999992</v>
      </c>
      <c r="K278" s="19">
        <f t="shared" si="262"/>
        <v>60446.717969999998</v>
      </c>
      <c r="L278" s="19">
        <f t="shared" ref="L278:N278" si="263">K282</f>
        <v>59072.283306525002</v>
      </c>
      <c r="M278" s="19">
        <f t="shared" si="263"/>
        <v>59539.022947648496</v>
      </c>
      <c r="N278" s="19">
        <f t="shared" si="263"/>
        <v>60972.508019985697</v>
      </c>
      <c r="O278" s="19">
        <f t="shared" ref="O278:P278" si="264">N282</f>
        <v>62781.355435269943</v>
      </c>
      <c r="P278" s="19">
        <f t="shared" si="264"/>
        <v>64816.107692796766</v>
      </c>
    </row>
    <row r="279" spans="1:16" x14ac:dyDescent="0.15">
      <c r="A279" s="60" t="s">
        <v>158</v>
      </c>
      <c r="D279" s="19"/>
      <c r="E279" s="19"/>
      <c r="F279" s="19">
        <v>111470</v>
      </c>
      <c r="G279" s="19">
        <f>G297</f>
        <v>23750.7</v>
      </c>
      <c r="H279" s="19">
        <f>H297</f>
        <v>24344.467499999999</v>
      </c>
      <c r="I279" s="19">
        <f>I297</f>
        <v>26292.024900000004</v>
      </c>
      <c r="J279" s="19">
        <f>J297</f>
        <v>27606.626145000006</v>
      </c>
      <c r="K279" s="19">
        <f>K297</f>
        <v>28848.924321525003</v>
      </c>
      <c r="L279" s="19">
        <f>L297</f>
        <v>30002.881294386003</v>
      </c>
      <c r="M279" s="19">
        <f>M297</f>
        <v>31202.996546161445</v>
      </c>
      <c r="N279" s="19">
        <f>N297</f>
        <v>32295.101425277095</v>
      </c>
      <c r="O279" s="19">
        <f>O297</f>
        <v>33425.429975161787</v>
      </c>
      <c r="P279" s="19">
        <f>P297</f>
        <v>34595.32002429245</v>
      </c>
    </row>
    <row r="280" spans="1:16" x14ac:dyDescent="0.15">
      <c r="A280" s="60" t="s">
        <v>159</v>
      </c>
      <c r="D280" s="19"/>
      <c r="E280" s="19"/>
      <c r="F280" s="18">
        <v>59820</v>
      </c>
      <c r="G280" s="19">
        <f>G278*G54</f>
        <v>85112.999999999985</v>
      </c>
      <c r="H280" s="19">
        <f>H278*H54</f>
        <v>54431.85</v>
      </c>
      <c r="I280" s="19">
        <f>I278*I54</f>
        <v>39388.158749999988</v>
      </c>
      <c r="J280" s="19">
        <f>J278*J54</f>
        <v>32840.091824999996</v>
      </c>
      <c r="K280" s="19">
        <f>K278*K54</f>
        <v>30223.358984999999</v>
      </c>
      <c r="L280" s="19">
        <f>L278*L54</f>
        <v>29536.141653262501</v>
      </c>
      <c r="M280" s="19">
        <f>M278*M54</f>
        <v>29769.511473824248</v>
      </c>
      <c r="N280" s="19">
        <f>N278*N54</f>
        <v>30486.254009992848</v>
      </c>
      <c r="O280" s="19">
        <f>O278*O54</f>
        <v>31390.677717634971</v>
      </c>
      <c r="P280" s="19">
        <f>P278*P54</f>
        <v>32408.053846398383</v>
      </c>
    </row>
    <row r="281" spans="1:16" x14ac:dyDescent="0.15">
      <c r="A281" s="60" t="s">
        <v>164</v>
      </c>
      <c r="D281" s="19"/>
      <c r="E281" s="19"/>
      <c r="F281" s="18">
        <v>3359.0000000000177</v>
      </c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x14ac:dyDescent="0.15">
      <c r="A282" s="14" t="s">
        <v>145</v>
      </c>
      <c r="B282" s="14"/>
      <c r="C282" s="14"/>
      <c r="D282" s="21"/>
      <c r="E282" s="63">
        <v>121935</v>
      </c>
      <c r="F282" s="21">
        <f>F278+F279-F280-F281</f>
        <v>170225.99999999997</v>
      </c>
      <c r="G282" s="21">
        <f>G278+G279-G280-G281</f>
        <v>108863.7</v>
      </c>
      <c r="H282" s="21">
        <f t="shared" ref="H282:K282" si="265">H278+H279-H280-H281</f>
        <v>78776.317499999976</v>
      </c>
      <c r="I282" s="21">
        <f t="shared" si="265"/>
        <v>65680.183649999992</v>
      </c>
      <c r="J282" s="21">
        <f t="shared" si="265"/>
        <v>60446.717969999998</v>
      </c>
      <c r="K282" s="21">
        <f t="shared" si="265"/>
        <v>59072.283306525002</v>
      </c>
      <c r="L282" s="21">
        <f t="shared" ref="L282" si="266">L278+L279-L280-L281</f>
        <v>59539.022947648496</v>
      </c>
      <c r="M282" s="21">
        <f t="shared" ref="M282" si="267">M278+M279-M280-M281</f>
        <v>60972.508019985697</v>
      </c>
      <c r="N282" s="21">
        <f t="shared" ref="N282" si="268">N278+N279-N280-N281</f>
        <v>62781.355435269943</v>
      </c>
      <c r="O282" s="21">
        <f t="shared" ref="O282" si="269">O278+O279-O280-O281</f>
        <v>64816.107692796766</v>
      </c>
      <c r="P282" s="21">
        <f t="shared" ref="P282" si="270">P278+P279-P280-P281</f>
        <v>67003.373870690833</v>
      </c>
    </row>
    <row r="283" spans="1:16" x14ac:dyDescent="0.15">
      <c r="A283" s="35"/>
      <c r="B283" s="35"/>
      <c r="C283" s="35"/>
      <c r="D283" s="51"/>
      <c r="E283" s="7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</row>
    <row r="284" spans="1:16" x14ac:dyDescent="0.15">
      <c r="A284" s="12" t="s">
        <v>187</v>
      </c>
    </row>
    <row r="285" spans="1:16" x14ac:dyDescent="0.15">
      <c r="A285" s="13" t="s">
        <v>153</v>
      </c>
      <c r="B285" s="13"/>
      <c r="C285" s="13"/>
      <c r="D285" s="13"/>
      <c r="E285" s="13"/>
      <c r="F285" s="20">
        <f>E288</f>
        <v>2494</v>
      </c>
      <c r="G285" s="20">
        <f>F288</f>
        <v>6852</v>
      </c>
      <c r="H285" s="20">
        <f t="shared" ref="H285:P285" si="271">G288</f>
        <v>12423.945</v>
      </c>
      <c r="I285" s="20">
        <f t="shared" si="271"/>
        <v>15366.3189375</v>
      </c>
      <c r="J285" s="20">
        <f t="shared" si="271"/>
        <v>17107.398832499999</v>
      </c>
      <c r="K285" s="20">
        <f t="shared" si="271"/>
        <v>17166.095835749999</v>
      </c>
      <c r="L285" s="20">
        <f t="shared" si="271"/>
        <v>16069.442365755</v>
      </c>
      <c r="M285" s="20">
        <f t="shared" si="271"/>
        <v>15642.2416783302</v>
      </c>
      <c r="N285" s="20">
        <f t="shared" si="271"/>
        <v>15625.944316230409</v>
      </c>
      <c r="O285" s="20">
        <f t="shared" si="271"/>
        <v>15834.586874793666</v>
      </c>
      <c r="P285" s="20">
        <f t="shared" si="271"/>
        <v>15350.202370529511</v>
      </c>
    </row>
    <row r="286" spans="1:16" x14ac:dyDescent="0.15">
      <c r="A286" s="60" t="s">
        <v>158</v>
      </c>
      <c r="F286" s="18">
        <v>8656</v>
      </c>
      <c r="G286" s="19">
        <f>G78*G61</f>
        <v>8312.7450000000008</v>
      </c>
      <c r="H286" s="19">
        <f>H78*H61</f>
        <v>7911.9519375</v>
      </c>
      <c r="I286" s="19">
        <f>I78*I61</f>
        <v>7887.6074699999999</v>
      </c>
      <c r="J286" s="19">
        <f>J78*J61</f>
        <v>6901.6565362500014</v>
      </c>
      <c r="K286" s="19">
        <f>K78*K61</f>
        <v>5769.7848643050011</v>
      </c>
      <c r="L286" s="19">
        <f>L78*L61</f>
        <v>6000.5762588772004</v>
      </c>
      <c r="M286" s="19">
        <f>M78*M61</f>
        <v>6240.5993092322888</v>
      </c>
      <c r="N286" s="19">
        <f>N78*N61</f>
        <v>6459.0202850554188</v>
      </c>
      <c r="O286" s="19">
        <f>O78*O61</f>
        <v>5849.4502456533137</v>
      </c>
      <c r="P286" s="19">
        <f>P78*P61</f>
        <v>5189.2980036438676</v>
      </c>
    </row>
    <row r="287" spans="1:16" x14ac:dyDescent="0.15">
      <c r="A287" s="60" t="s">
        <v>184</v>
      </c>
      <c r="F287" s="18">
        <v>4298</v>
      </c>
      <c r="G287" s="19">
        <f>G285*G62</f>
        <v>2740.8</v>
      </c>
      <c r="H287" s="19">
        <f>H285*H62</f>
        <v>4969.5780000000004</v>
      </c>
      <c r="I287" s="19">
        <f>I285*I62</f>
        <v>6146.5275750000001</v>
      </c>
      <c r="J287" s="19">
        <f>J285*J62</f>
        <v>6842.9595330000002</v>
      </c>
      <c r="K287" s="19">
        <f>K285*K62</f>
        <v>6866.4383343</v>
      </c>
      <c r="L287" s="19">
        <f>L285*L62</f>
        <v>6427.7769463020004</v>
      </c>
      <c r="M287" s="19">
        <f>M285*M62</f>
        <v>6256.8966713320806</v>
      </c>
      <c r="N287" s="19">
        <f>N285*N62</f>
        <v>6250.3777264921637</v>
      </c>
      <c r="O287" s="19">
        <f>O285*O62</f>
        <v>6333.834749917467</v>
      </c>
      <c r="P287" s="19">
        <f>P285*P62</f>
        <v>6140.0809482118048</v>
      </c>
    </row>
    <row r="288" spans="1:16" x14ac:dyDescent="0.15">
      <c r="A288" s="14" t="s">
        <v>145</v>
      </c>
      <c r="B288" s="14"/>
      <c r="C288" s="14"/>
      <c r="D288" s="14"/>
      <c r="E288" s="63">
        <v>2494</v>
      </c>
      <c r="F288" s="21">
        <f>F285+F286-F287</f>
        <v>6852</v>
      </c>
      <c r="G288" s="21">
        <f>G285+G286-G287</f>
        <v>12423.945</v>
      </c>
      <c r="H288" s="21">
        <f t="shared" ref="H288:P288" si="272">H285+H286-H287</f>
        <v>15366.3189375</v>
      </c>
      <c r="I288" s="21">
        <f t="shared" si="272"/>
        <v>17107.398832499999</v>
      </c>
      <c r="J288" s="21">
        <f t="shared" si="272"/>
        <v>17166.095835749999</v>
      </c>
      <c r="K288" s="21">
        <f t="shared" si="272"/>
        <v>16069.442365755</v>
      </c>
      <c r="L288" s="21">
        <f t="shared" si="272"/>
        <v>15642.2416783302</v>
      </c>
      <c r="M288" s="21">
        <f t="shared" si="272"/>
        <v>15625.944316230409</v>
      </c>
      <c r="N288" s="21">
        <f t="shared" si="272"/>
        <v>15834.586874793666</v>
      </c>
      <c r="O288" s="21">
        <f t="shared" si="272"/>
        <v>15350.202370529511</v>
      </c>
      <c r="P288" s="21">
        <f t="shared" si="272"/>
        <v>14399.419425961572</v>
      </c>
    </row>
    <row r="289" spans="1:16" x14ac:dyDescent="0.15">
      <c r="A289" s="35"/>
      <c r="B289" s="35"/>
      <c r="C289" s="35"/>
      <c r="D289" s="51"/>
      <c r="E289" s="7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</row>
    <row r="291" spans="1:16" x14ac:dyDescent="0.15">
      <c r="A291" s="35"/>
      <c r="B291" s="35"/>
      <c r="C291" s="35"/>
      <c r="D291" s="51"/>
      <c r="E291" s="7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</row>
    <row r="292" spans="1:16" x14ac:dyDescent="0.15">
      <c r="A292" s="58" t="s">
        <v>157</v>
      </c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</row>
    <row r="293" spans="1:16" x14ac:dyDescent="0.15">
      <c r="A293" s="35"/>
      <c r="B293" s="35"/>
      <c r="C293" s="35"/>
      <c r="D293" s="51"/>
      <c r="E293" s="7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</row>
    <row r="294" spans="1:16" x14ac:dyDescent="0.15">
      <c r="A294" s="62" t="s">
        <v>161</v>
      </c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15">
      <c r="A295" s="34" t="s">
        <v>153</v>
      </c>
      <c r="B295" s="34"/>
      <c r="C295" s="34"/>
      <c r="D295" s="34"/>
      <c r="E295" s="19"/>
      <c r="F295" s="19">
        <f>E298</f>
        <v>128123</v>
      </c>
      <c r="G295" s="19">
        <f>F298</f>
        <v>180881</v>
      </c>
      <c r="H295" s="19">
        <f>G298</f>
        <v>114191.2</v>
      </c>
      <c r="I295" s="19">
        <f>H298</f>
        <v>81440.067500000005</v>
      </c>
      <c r="J295" s="19">
        <f>I298</f>
        <v>67012.058650000006</v>
      </c>
      <c r="K295" s="19">
        <f>J298</f>
        <v>61112.655470000012</v>
      </c>
      <c r="L295" s="19">
        <f>K298</f>
        <v>59405.252056525009</v>
      </c>
      <c r="M295" s="19">
        <f>L298</f>
        <v>59705.507322648511</v>
      </c>
      <c r="N295" s="19">
        <f>M298</f>
        <v>61055.750207485704</v>
      </c>
      <c r="O295" s="19">
        <f>N298</f>
        <v>62822.976529019943</v>
      </c>
      <c r="P295" s="19">
        <f>O298</f>
        <v>64836.918239671759</v>
      </c>
    </row>
    <row r="296" spans="1:16" x14ac:dyDescent="0.15">
      <c r="A296" s="60" t="s">
        <v>167</v>
      </c>
      <c r="C296" s="19"/>
      <c r="D296" s="19"/>
      <c r="E296" s="19"/>
      <c r="F296" s="18">
        <v>64447</v>
      </c>
      <c r="G296" s="19">
        <f>G295*G56</f>
        <v>90440.5</v>
      </c>
      <c r="H296" s="19">
        <f>H295*H56</f>
        <v>57095.6</v>
      </c>
      <c r="I296" s="19">
        <f>I295*I56</f>
        <v>40720.033750000002</v>
      </c>
      <c r="J296" s="19">
        <f>J295*J56</f>
        <v>33506.029325000003</v>
      </c>
      <c r="K296" s="19">
        <f>K295*K56</f>
        <v>30556.327735000006</v>
      </c>
      <c r="L296" s="19">
        <f>L295*L56</f>
        <v>29702.626028262504</v>
      </c>
      <c r="M296" s="19">
        <f>M295*M56</f>
        <v>29852.753661324256</v>
      </c>
      <c r="N296" s="19">
        <f>N295*N56</f>
        <v>30527.875103742852</v>
      </c>
      <c r="O296" s="19">
        <f>O295*O56</f>
        <v>31411.488264509971</v>
      </c>
      <c r="P296" s="19">
        <f>P295*P56</f>
        <v>32418.459119835879</v>
      </c>
    </row>
    <row r="297" spans="1:16" x14ac:dyDescent="0.15">
      <c r="A297" s="60" t="s">
        <v>168</v>
      </c>
      <c r="C297" s="19"/>
      <c r="D297" s="19"/>
      <c r="E297" s="19"/>
      <c r="F297" s="18">
        <v>117205</v>
      </c>
      <c r="G297" s="19">
        <f>G78*G55</f>
        <v>23750.7</v>
      </c>
      <c r="H297" s="19">
        <f>H78*H55</f>
        <v>24344.467499999999</v>
      </c>
      <c r="I297" s="19">
        <f>I78*I55</f>
        <v>26292.024900000004</v>
      </c>
      <c r="J297" s="19">
        <f>J78*J55</f>
        <v>27606.626145000006</v>
      </c>
      <c r="K297" s="19">
        <f>K78*K55</f>
        <v>28848.924321525003</v>
      </c>
      <c r="L297" s="19">
        <f>L78*L55</f>
        <v>30002.881294386003</v>
      </c>
      <c r="M297" s="19">
        <f>M78*M55</f>
        <v>31202.996546161445</v>
      </c>
      <c r="N297" s="19">
        <f>N78*N55</f>
        <v>32295.101425277095</v>
      </c>
      <c r="O297" s="19">
        <f>O78*O55</f>
        <v>33425.429975161787</v>
      </c>
      <c r="P297" s="19">
        <f>P78*P55</f>
        <v>34595.32002429245</v>
      </c>
    </row>
    <row r="298" spans="1:16" x14ac:dyDescent="0.15">
      <c r="A298" s="14" t="s">
        <v>145</v>
      </c>
      <c r="B298" s="14"/>
      <c r="C298" s="21"/>
      <c r="D298" s="21"/>
      <c r="E298" s="63">
        <v>128123</v>
      </c>
      <c r="F298" s="21">
        <f>F295-F296+F297</f>
        <v>180881</v>
      </c>
      <c r="G298" s="21">
        <f>G295-G296+G297</f>
        <v>114191.2</v>
      </c>
      <c r="H298" s="21">
        <f>H295-H296+H297</f>
        <v>81440.067500000005</v>
      </c>
      <c r="I298" s="21">
        <f>I295-I296+I297</f>
        <v>67012.058650000006</v>
      </c>
      <c r="J298" s="21">
        <f>J295-J296+J297</f>
        <v>61112.655470000012</v>
      </c>
      <c r="K298" s="21">
        <f>K295-K296+K297</f>
        <v>59405.252056525009</v>
      </c>
      <c r="L298" s="21">
        <f>L295-L296+L297</f>
        <v>59705.507322648511</v>
      </c>
      <c r="M298" s="21">
        <f>M295-M296+M297</f>
        <v>61055.750207485704</v>
      </c>
      <c r="N298" s="21">
        <f>N295-N296+N297</f>
        <v>62822.976529019943</v>
      </c>
      <c r="O298" s="21">
        <f>O295-O296+O297</f>
        <v>64836.918239671759</v>
      </c>
      <c r="P298" s="21">
        <f>P295-P296+P297</f>
        <v>67013.779144128333</v>
      </c>
    </row>
    <row r="299" spans="1:16" x14ac:dyDescent="0.15">
      <c r="A299" s="73" t="s">
        <v>162</v>
      </c>
      <c r="B299" s="73"/>
      <c r="C299" s="74"/>
      <c r="D299" s="74"/>
      <c r="E299" s="75"/>
      <c r="F299" s="74">
        <f>F298*F57</f>
        <v>63250</v>
      </c>
      <c r="G299" s="74">
        <f>G298*G57</f>
        <v>39930.083314444302</v>
      </c>
      <c r="H299" s="74">
        <f>H298*H57</f>
        <v>28477.752054527566</v>
      </c>
      <c r="I299" s="74">
        <f>I298*I57</f>
        <v>23432.603256353628</v>
      </c>
      <c r="J299" s="74">
        <f>J298*J57</f>
        <v>21369.715218721154</v>
      </c>
      <c r="K299" s="74">
        <f>K298*K57</f>
        <v>20772.67481147941</v>
      </c>
      <c r="L299" s="74">
        <f>L298*L57</f>
        <v>20877.667295943291</v>
      </c>
      <c r="M299" s="74">
        <f>M298*M57</f>
        <v>21349.816733783377</v>
      </c>
      <c r="N299" s="74">
        <f>N298*N57</f>
        <v>21967.775860706828</v>
      </c>
      <c r="O299" s="74">
        <f>O298*O57</f>
        <v>22672.005786452082</v>
      </c>
      <c r="P299" s="74">
        <f>P298*P57</f>
        <v>23433.204874288163</v>
      </c>
    </row>
    <row r="300" spans="1:16" x14ac:dyDescent="0.15">
      <c r="A300" s="3" t="s">
        <v>180</v>
      </c>
      <c r="B300" s="3"/>
      <c r="C300" s="76"/>
      <c r="D300" s="76"/>
      <c r="E300" s="76"/>
      <c r="F300" s="76">
        <f>F298-F299</f>
        <v>117631</v>
      </c>
      <c r="G300" s="76">
        <f>G298-G299</f>
        <v>74261.116685555695</v>
      </c>
      <c r="H300" s="76">
        <f>H298-H299</f>
        <v>52962.315445472443</v>
      </c>
      <c r="I300" s="76">
        <f>I298-I299</f>
        <v>43579.455393646378</v>
      </c>
      <c r="J300" s="76">
        <f>J298-J299</f>
        <v>39742.940251278858</v>
      </c>
      <c r="K300" s="76">
        <f>K298-K299</f>
        <v>38632.577245045599</v>
      </c>
      <c r="L300" s="76">
        <f>L298-L299</f>
        <v>38827.84002670522</v>
      </c>
      <c r="M300" s="76">
        <f>M298-M299</f>
        <v>39705.933473702331</v>
      </c>
      <c r="N300" s="76">
        <f>N298-N299</f>
        <v>40855.200668313119</v>
      </c>
      <c r="O300" s="76">
        <f>O298-O299</f>
        <v>42164.912453219673</v>
      </c>
      <c r="P300" s="76">
        <f>P298-P299</f>
        <v>43580.574269840174</v>
      </c>
    </row>
    <row r="301" spans="1:16" x14ac:dyDescent="0.1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x14ac:dyDescent="0.15">
      <c r="A302" s="2" t="s">
        <v>163</v>
      </c>
      <c r="E302" s="18">
        <v>3788</v>
      </c>
      <c r="F302" s="18">
        <v>3990</v>
      </c>
      <c r="G302" s="19">
        <f>AVERAGE(G298,F298)*G63</f>
        <v>3806.43138</v>
      </c>
      <c r="H302" s="19">
        <f>AVERAGE(H298,G298)*H63</f>
        <v>2523.6433507500001</v>
      </c>
      <c r="I302" s="19">
        <f>AVERAGE(I298,H298)*I63</f>
        <v>1915.0324273350004</v>
      </c>
      <c r="J302" s="19">
        <f>AVERAGE(J298,I298)*J63</f>
        <v>1652.8088121480002</v>
      </c>
      <c r="K302" s="19">
        <f>AVERAGE(K298,J298)*K63</f>
        <v>1554.6810070921729</v>
      </c>
      <c r="L302" s="19">
        <f>AVERAGE(L298,K298)*L63</f>
        <v>1536.5287959913383</v>
      </c>
      <c r="M302" s="19">
        <f>AVERAGE(M298,L298)*M63</f>
        <v>1557.8202221387314</v>
      </c>
      <c r="N302" s="19">
        <f>AVERAGE(N298,M298)*N63</f>
        <v>1598.0355749009229</v>
      </c>
      <c r="O302" s="19">
        <f>AVERAGE(O298,N298)*O63</f>
        <v>1646.8126425161231</v>
      </c>
      <c r="P302" s="19">
        <f>AVERAGE(P298,O298)*P63</f>
        <v>1700.873996251021</v>
      </c>
    </row>
    <row r="303" spans="1:16" x14ac:dyDescent="0.15">
      <c r="E303" s="18"/>
      <c r="F303" s="18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x14ac:dyDescent="0.15">
      <c r="A304" s="13" t="s">
        <v>198</v>
      </c>
      <c r="B304" s="13"/>
      <c r="C304" s="13"/>
      <c r="D304" s="20"/>
      <c r="E304" s="20">
        <f>E282+E288</f>
        <v>124429</v>
      </c>
      <c r="F304" s="20">
        <f>F282+F288</f>
        <v>177077.99999999997</v>
      </c>
      <c r="G304" s="20">
        <f>G282+G288</f>
        <v>121287.64499999999</v>
      </c>
      <c r="H304" s="20">
        <f>H282+H288</f>
        <v>94142.636437499983</v>
      </c>
      <c r="I304" s="20">
        <f>I282+I288</f>
        <v>82787.582482499987</v>
      </c>
      <c r="J304" s="20">
        <f>J282+J288</f>
        <v>77612.813805749989</v>
      </c>
      <c r="K304" s="20">
        <f>K282+K288</f>
        <v>75141.725672280008</v>
      </c>
      <c r="L304" s="20">
        <f>L282+L288</f>
        <v>75181.2646259787</v>
      </c>
      <c r="M304" s="20">
        <f>M282+M288</f>
        <v>76598.452336216113</v>
      </c>
      <c r="N304" s="20">
        <f>N282+N288</f>
        <v>78615.942310063605</v>
      </c>
      <c r="O304" s="20">
        <f>O282+O288</f>
        <v>80166.31006332628</v>
      </c>
      <c r="P304" s="20">
        <f>P282+P288</f>
        <v>81402.793296652409</v>
      </c>
    </row>
    <row r="305" spans="1:16" x14ac:dyDescent="0.15">
      <c r="A305" s="34" t="s">
        <v>204</v>
      </c>
      <c r="B305" s="34"/>
      <c r="C305" s="34"/>
      <c r="D305" s="34"/>
      <c r="E305" s="52">
        <f>E298</f>
        <v>128123</v>
      </c>
      <c r="F305" s="52">
        <f t="shared" ref="F305:P305" si="273">F298</f>
        <v>180881</v>
      </c>
      <c r="G305" s="52">
        <f t="shared" si="273"/>
        <v>114191.2</v>
      </c>
      <c r="H305" s="52">
        <f t="shared" si="273"/>
        <v>81440.067500000005</v>
      </c>
      <c r="I305" s="52">
        <f t="shared" si="273"/>
        <v>67012.058650000006</v>
      </c>
      <c r="J305" s="52">
        <f t="shared" si="273"/>
        <v>61112.655470000012</v>
      </c>
      <c r="K305" s="52">
        <f t="shared" si="273"/>
        <v>59405.252056525009</v>
      </c>
      <c r="L305" s="52">
        <f t="shared" si="273"/>
        <v>59705.507322648511</v>
      </c>
      <c r="M305" s="52">
        <f t="shared" si="273"/>
        <v>61055.750207485704</v>
      </c>
      <c r="N305" s="52">
        <f t="shared" si="273"/>
        <v>62822.976529019943</v>
      </c>
      <c r="O305" s="52">
        <f t="shared" si="273"/>
        <v>64836.918239671759</v>
      </c>
      <c r="P305" s="52">
        <f t="shared" si="273"/>
        <v>67013.779144128333</v>
      </c>
    </row>
    <row r="306" spans="1:16" x14ac:dyDescent="0.15">
      <c r="A306" s="54" t="s">
        <v>210</v>
      </c>
      <c r="B306" s="54"/>
      <c r="C306" s="54"/>
      <c r="D306" s="54"/>
      <c r="E306" s="61">
        <f>E304-E305</f>
        <v>-3694</v>
      </c>
      <c r="F306" s="61">
        <f t="shared" ref="F306:P306" si="274">F304-F305</f>
        <v>-3803.0000000000291</v>
      </c>
      <c r="G306" s="61">
        <f t="shared" si="274"/>
        <v>7096.4449999999924</v>
      </c>
      <c r="H306" s="61">
        <f t="shared" si="274"/>
        <v>12702.568937499978</v>
      </c>
      <c r="I306" s="61">
        <f t="shared" si="274"/>
        <v>15775.523832499981</v>
      </c>
      <c r="J306" s="61">
        <f t="shared" si="274"/>
        <v>16500.158335749977</v>
      </c>
      <c r="K306" s="61">
        <f t="shared" si="274"/>
        <v>15736.473615755</v>
      </c>
      <c r="L306" s="61">
        <f t="shared" si="274"/>
        <v>15475.757303330189</v>
      </c>
      <c r="M306" s="61">
        <f t="shared" si="274"/>
        <v>15542.702128730409</v>
      </c>
      <c r="N306" s="61">
        <f t="shared" si="274"/>
        <v>15792.965781043662</v>
      </c>
      <c r="O306" s="61">
        <f t="shared" si="274"/>
        <v>15329.391823654521</v>
      </c>
      <c r="P306" s="61">
        <f t="shared" si="274"/>
        <v>14389.014152524076</v>
      </c>
    </row>
    <row r="307" spans="1:16" x14ac:dyDescent="0.15">
      <c r="A307" s="34"/>
      <c r="B307" s="34"/>
      <c r="C307" s="34"/>
      <c r="D307" s="34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</row>
    <row r="308" spans="1:16" x14ac:dyDescent="0.15">
      <c r="A308" s="34" t="s">
        <v>207</v>
      </c>
      <c r="B308" s="34"/>
      <c r="C308" s="34"/>
      <c r="D308" s="34"/>
      <c r="E308" s="52"/>
      <c r="F308" s="52">
        <f>F279+F286</f>
        <v>120126</v>
      </c>
      <c r="G308" s="52">
        <f t="shared" ref="G308:P308" si="275">G279+G286</f>
        <v>32063.445</v>
      </c>
      <c r="H308" s="52">
        <f t="shared" si="275"/>
        <v>32256.419437500001</v>
      </c>
      <c r="I308" s="52">
        <f t="shared" si="275"/>
        <v>34179.632370000007</v>
      </c>
      <c r="J308" s="52">
        <f t="shared" si="275"/>
        <v>34508.282681250006</v>
      </c>
      <c r="K308" s="52">
        <f t="shared" si="275"/>
        <v>34618.709185830005</v>
      </c>
      <c r="L308" s="52">
        <f t="shared" si="275"/>
        <v>36003.457553263201</v>
      </c>
      <c r="M308" s="52">
        <f t="shared" si="275"/>
        <v>37443.595855393731</v>
      </c>
      <c r="N308" s="52">
        <f t="shared" si="275"/>
        <v>38754.121710332511</v>
      </c>
      <c r="O308" s="52">
        <f t="shared" si="275"/>
        <v>39274.880220815103</v>
      </c>
      <c r="P308" s="52">
        <f t="shared" si="275"/>
        <v>39784.618027936318</v>
      </c>
    </row>
    <row r="309" spans="1:16" x14ac:dyDescent="0.15">
      <c r="A309" s="34" t="s">
        <v>208</v>
      </c>
      <c r="B309" s="34"/>
      <c r="C309" s="34"/>
      <c r="D309" s="34"/>
      <c r="E309" s="52"/>
      <c r="F309" s="52">
        <f>F297</f>
        <v>117205</v>
      </c>
      <c r="G309" s="52">
        <f t="shared" ref="G309:P309" si="276">G297</f>
        <v>23750.7</v>
      </c>
      <c r="H309" s="52">
        <f t="shared" si="276"/>
        <v>24344.467499999999</v>
      </c>
      <c r="I309" s="52">
        <f t="shared" si="276"/>
        <v>26292.024900000004</v>
      </c>
      <c r="J309" s="52">
        <f t="shared" si="276"/>
        <v>27606.626145000006</v>
      </c>
      <c r="K309" s="52">
        <f t="shared" si="276"/>
        <v>28848.924321525003</v>
      </c>
      <c r="L309" s="52">
        <f t="shared" si="276"/>
        <v>30002.881294386003</v>
      </c>
      <c r="M309" s="52">
        <f t="shared" si="276"/>
        <v>31202.996546161445</v>
      </c>
      <c r="N309" s="52">
        <f t="shared" si="276"/>
        <v>32295.101425277095</v>
      </c>
      <c r="O309" s="52">
        <f t="shared" si="276"/>
        <v>33425.429975161787</v>
      </c>
      <c r="P309" s="52">
        <f t="shared" si="276"/>
        <v>34595.32002429245</v>
      </c>
    </row>
    <row r="310" spans="1:16" x14ac:dyDescent="0.15">
      <c r="A310" s="34" t="s">
        <v>209</v>
      </c>
      <c r="B310" s="34"/>
      <c r="C310" s="34"/>
      <c r="D310" s="34"/>
      <c r="E310" s="52"/>
      <c r="F310" s="52">
        <f>F309-F308</f>
        <v>-2921</v>
      </c>
      <c r="G310" s="52">
        <f t="shared" ref="G310:P310" si="277">G309-G308</f>
        <v>-8312.744999999999</v>
      </c>
      <c r="H310" s="52">
        <f t="shared" si="277"/>
        <v>-7911.9519375000018</v>
      </c>
      <c r="I310" s="52">
        <f t="shared" si="277"/>
        <v>-7887.6074700000026</v>
      </c>
      <c r="J310" s="52">
        <f t="shared" si="277"/>
        <v>-6901.6565362500005</v>
      </c>
      <c r="K310" s="52">
        <f t="shared" si="277"/>
        <v>-5769.784864305002</v>
      </c>
      <c r="L310" s="52">
        <f t="shared" si="277"/>
        <v>-6000.5762588771977</v>
      </c>
      <c r="M310" s="52">
        <f t="shared" si="277"/>
        <v>-6240.599309232286</v>
      </c>
      <c r="N310" s="52">
        <f t="shared" si="277"/>
        <v>-6459.020285055416</v>
      </c>
      <c r="O310" s="52">
        <f t="shared" si="277"/>
        <v>-5849.4502456533155</v>
      </c>
      <c r="P310" s="52">
        <f t="shared" si="277"/>
        <v>-5189.2980036438676</v>
      </c>
    </row>
    <row r="311" spans="1:16" x14ac:dyDescent="0.15">
      <c r="E311" s="18"/>
      <c r="F311" s="18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x14ac:dyDescent="0.15">
      <c r="A312" s="2" t="s">
        <v>200</v>
      </c>
      <c r="F312" s="19">
        <f>F282+F265</f>
        <v>209988.99999999997</v>
      </c>
      <c r="G312" s="19">
        <f>G282+G265</f>
        <v>156335.01438938527</v>
      </c>
      <c r="H312" s="19">
        <f>H282+H265</f>
        <v>128012.87056828177</v>
      </c>
      <c r="I312" s="19">
        <f>I282+I265</f>
        <v>121416.91307270448</v>
      </c>
      <c r="J312" s="19">
        <f>J282+J265</f>
        <v>119213.60964596167</v>
      </c>
      <c r="K312" s="19">
        <f>K282+K265</f>
        <v>117884.94281877868</v>
      </c>
      <c r="L312" s="19">
        <f>L282+L265</f>
        <v>119666.68165779124</v>
      </c>
      <c r="M312" s="19">
        <f>M282+M265</f>
        <v>123209.80479362022</v>
      </c>
      <c r="N312" s="19">
        <f>N282+N265</f>
        <v>127526.40712879381</v>
      </c>
      <c r="O312" s="19">
        <f>O282+O265</f>
        <v>132333.04292442213</v>
      </c>
      <c r="P312" s="19">
        <f>P282+P265</f>
        <v>137474.30931134435</v>
      </c>
    </row>
    <row r="313" spans="1:16" x14ac:dyDescent="0.15">
      <c r="A313" s="2" t="s">
        <v>201</v>
      </c>
      <c r="F313" s="19">
        <f>F280+F247</f>
        <v>71415</v>
      </c>
      <c r="G313" s="19">
        <f>G280+G247</f>
        <v>105749.71999999999</v>
      </c>
      <c r="H313" s="19">
        <f>H280+H247</f>
        <v>78068.601445223379</v>
      </c>
      <c r="I313" s="19">
        <f>I280+I247</f>
        <v>57167.088741626809</v>
      </c>
      <c r="J313" s="19">
        <f>J280+J247</f>
        <v>52542.328620594795</v>
      </c>
      <c r="K313" s="19">
        <f>K280+K247</f>
        <v>50471.077236175304</v>
      </c>
      <c r="L313" s="19">
        <f>L280+L247</f>
        <v>49326.367986339443</v>
      </c>
      <c r="M313" s="19">
        <f>M280+M247</f>
        <v>49609.307962537125</v>
      </c>
      <c r="N313" s="19">
        <f>N280+N247</f>
        <v>50696.16385163532</v>
      </c>
      <c r="O313" s="19">
        <f>O280+O247</f>
        <v>52131.577207718889</v>
      </c>
      <c r="P313" s="19">
        <f>P280+P247</f>
        <v>53789.784071542163</v>
      </c>
    </row>
    <row r="314" spans="1:16" x14ac:dyDescent="0.15"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x14ac:dyDescent="0.15">
      <c r="A315" s="2" t="s">
        <v>205</v>
      </c>
      <c r="F315" s="19">
        <f>F288+F273</f>
        <v>19867</v>
      </c>
      <c r="G315" s="19">
        <f t="shared" ref="G315:P315" si="278">G288+G273</f>
        <v>24658.044999999998</v>
      </c>
      <c r="H315" s="19">
        <f t="shared" si="278"/>
        <v>26866.3729375</v>
      </c>
      <c r="I315" s="19">
        <f t="shared" si="278"/>
        <v>27917.449592500001</v>
      </c>
      <c r="J315" s="19">
        <f t="shared" si="278"/>
        <v>27327.543550149996</v>
      </c>
      <c r="K315" s="19">
        <f t="shared" si="278"/>
        <v>25621.203217290997</v>
      </c>
      <c r="L315" s="19">
        <f t="shared" si="278"/>
        <v>24620.896878774038</v>
      </c>
      <c r="M315" s="19">
        <f t="shared" si="278"/>
        <v>24065.880204647616</v>
      </c>
      <c r="N315" s="19">
        <f t="shared" si="278"/>
        <v>23768.126609905841</v>
      </c>
      <c r="O315" s="19">
        <f t="shared" si="278"/>
        <v>22807.729721534954</v>
      </c>
      <c r="P315" s="19">
        <f t="shared" si="278"/>
        <v>21409.495135906691</v>
      </c>
    </row>
    <row r="316" spans="1:16" x14ac:dyDescent="0.15">
      <c r="A316" s="2" t="s">
        <v>206</v>
      </c>
      <c r="F316" s="19">
        <f>F287+F271</f>
        <v>5134</v>
      </c>
      <c r="G316" s="19">
        <f t="shared" ref="G316:P316" si="279">G287+G271</f>
        <v>3521.7000000000003</v>
      </c>
      <c r="H316" s="19">
        <f t="shared" si="279"/>
        <v>5703.6240000000007</v>
      </c>
      <c r="I316" s="19">
        <f t="shared" si="279"/>
        <v>6836.5308150000001</v>
      </c>
      <c r="J316" s="19">
        <f t="shared" si="279"/>
        <v>7491.5625786000001</v>
      </c>
      <c r="K316" s="19">
        <f t="shared" si="279"/>
        <v>7476.1251971639995</v>
      </c>
      <c r="L316" s="19">
        <f t="shared" si="279"/>
        <v>7000.8825973941603</v>
      </c>
      <c r="M316" s="19">
        <f t="shared" si="279"/>
        <v>6795.6159833587108</v>
      </c>
      <c r="N316" s="19">
        <f t="shared" si="279"/>
        <v>6756.7738797971961</v>
      </c>
      <c r="O316" s="19">
        <f t="shared" si="279"/>
        <v>6809.8471340241977</v>
      </c>
      <c r="P316" s="19">
        <f t="shared" si="279"/>
        <v>6587.5325892721312</v>
      </c>
    </row>
    <row r="318" spans="1:16" x14ac:dyDescent="0.15">
      <c r="A318" s="2" t="s">
        <v>202</v>
      </c>
      <c r="F318" s="19">
        <f>F313+F271+F287</f>
        <v>76549</v>
      </c>
      <c r="G318" s="19">
        <f>G313+G271+G287</f>
        <v>109271.41999999998</v>
      </c>
      <c r="H318" s="19">
        <f>H313+H271+H287</f>
        <v>83772.225445223376</v>
      </c>
      <c r="I318" s="19">
        <f>I313+I271+I287</f>
        <v>64003.619556626807</v>
      </c>
      <c r="J318" s="19">
        <f>J313+J271+J287</f>
        <v>60033.891199194797</v>
      </c>
      <c r="K318" s="19">
        <f>K313+K271+K287</f>
        <v>57947.202433339306</v>
      </c>
      <c r="L318" s="19">
        <f>L313+L271+L287</f>
        <v>56327.250583733607</v>
      </c>
      <c r="M318" s="19">
        <f>M313+M271+M287</f>
        <v>56404.923945895833</v>
      </c>
      <c r="N318" s="19">
        <f>N313+N271+N287</f>
        <v>57452.937731432517</v>
      </c>
      <c r="O318" s="19">
        <f>O313+O271+O287</f>
        <v>58941.424341743084</v>
      </c>
      <c r="P318" s="19">
        <f>P313+P271+P287</f>
        <v>60377.316660814293</v>
      </c>
    </row>
    <row r="319" spans="1:16" x14ac:dyDescent="0.15">
      <c r="A319" s="12"/>
      <c r="B319" s="12"/>
      <c r="C319" s="12"/>
      <c r="D319" s="12"/>
      <c r="E319" s="12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</row>
    <row r="320" spans="1:16" x14ac:dyDescent="0.15">
      <c r="A320" s="58" t="s">
        <v>175</v>
      </c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</row>
    <row r="321" spans="1:16" x14ac:dyDescent="0.15">
      <c r="A321" s="2" t="s">
        <v>153</v>
      </c>
      <c r="E321" s="19">
        <f>D323</f>
        <v>1757</v>
      </c>
      <c r="F321" s="19">
        <f>E323</f>
        <v>4775</v>
      </c>
      <c r="G321" s="19">
        <f>F323</f>
        <v>4718</v>
      </c>
      <c r="H321" s="19">
        <f t="shared" ref="H321:K321" si="280">G323</f>
        <v>4718</v>
      </c>
      <c r="I321" s="19">
        <f t="shared" si="280"/>
        <v>4718</v>
      </c>
      <c r="J321" s="19">
        <f t="shared" si="280"/>
        <v>4718</v>
      </c>
      <c r="K321" s="19">
        <f t="shared" si="280"/>
        <v>4718</v>
      </c>
      <c r="L321" s="19">
        <f t="shared" ref="L321:N321" si="281">K323</f>
        <v>4718</v>
      </c>
      <c r="M321" s="19">
        <f t="shared" si="281"/>
        <v>4718</v>
      </c>
      <c r="N321" s="19">
        <f t="shared" si="281"/>
        <v>4718</v>
      </c>
      <c r="O321" s="19">
        <f t="shared" ref="O321:P321" si="282">N323</f>
        <v>4718</v>
      </c>
      <c r="P321" s="19">
        <f t="shared" si="282"/>
        <v>4718</v>
      </c>
    </row>
    <row r="322" spans="1:16" x14ac:dyDescent="0.15">
      <c r="A322" s="2" t="s">
        <v>171</v>
      </c>
      <c r="E322" s="19">
        <f>E323-E321</f>
        <v>3018</v>
      </c>
      <c r="F322" s="19">
        <f>F323-F321</f>
        <v>-57</v>
      </c>
      <c r="G322" s="19">
        <f>G66</f>
        <v>0</v>
      </c>
      <c r="H322" s="19">
        <f>H66</f>
        <v>0</v>
      </c>
      <c r="I322" s="19">
        <f>I66</f>
        <v>0</v>
      </c>
      <c r="J322" s="19">
        <f>J66</f>
        <v>0</v>
      </c>
      <c r="K322" s="19">
        <f>K66</f>
        <v>0</v>
      </c>
      <c r="L322" s="19">
        <f>L66</f>
        <v>0</v>
      </c>
      <c r="M322" s="19">
        <f>M66</f>
        <v>0</v>
      </c>
      <c r="N322" s="19">
        <f>N66</f>
        <v>0</v>
      </c>
      <c r="O322" s="19">
        <f>O66</f>
        <v>0</v>
      </c>
      <c r="P322" s="19">
        <f>P66</f>
        <v>0</v>
      </c>
    </row>
    <row r="323" spans="1:16" x14ac:dyDescent="0.15">
      <c r="A323" s="13" t="s">
        <v>145</v>
      </c>
      <c r="B323" s="13"/>
      <c r="C323" s="13"/>
      <c r="D323" s="20">
        <f>SUM(D128,D136)</f>
        <v>1757</v>
      </c>
      <c r="E323" s="20">
        <f>SUM(E128,E136)</f>
        <v>4775</v>
      </c>
      <c r="F323" s="20">
        <f>SUM(F128,F136)</f>
        <v>4718</v>
      </c>
      <c r="G323" s="20">
        <f>G321+G322</f>
        <v>4718</v>
      </c>
      <c r="H323" s="20">
        <f t="shared" ref="H323:K323" si="283">H321+H322</f>
        <v>4718</v>
      </c>
      <c r="I323" s="20">
        <f t="shared" si="283"/>
        <v>4718</v>
      </c>
      <c r="J323" s="20">
        <f t="shared" si="283"/>
        <v>4718</v>
      </c>
      <c r="K323" s="20">
        <f t="shared" si="283"/>
        <v>4718</v>
      </c>
      <c r="L323" s="20">
        <f t="shared" ref="L323" si="284">L321+L322</f>
        <v>4718</v>
      </c>
      <c r="M323" s="20">
        <f t="shared" ref="M323" si="285">M321+M322</f>
        <v>4718</v>
      </c>
      <c r="N323" s="20">
        <f t="shared" ref="N323" si="286">N321+N322</f>
        <v>4718</v>
      </c>
      <c r="O323" s="20">
        <f t="shared" ref="O323" si="287">O321+O322</f>
        <v>4718</v>
      </c>
      <c r="P323" s="20">
        <f t="shared" ref="P323" si="288">P321+P322</f>
        <v>4718</v>
      </c>
    </row>
    <row r="325" spans="1:16" x14ac:dyDescent="0.15">
      <c r="A325" s="2" t="s">
        <v>172</v>
      </c>
      <c r="E325" s="17">
        <v>74</v>
      </c>
      <c r="F325" s="17">
        <v>154</v>
      </c>
      <c r="G325" s="2">
        <f>AVERAGE(F323:G323)*G65</f>
        <v>141.54</v>
      </c>
      <c r="H325" s="2">
        <f>AVERAGE(G323:H323)*H65</f>
        <v>141.54</v>
      </c>
      <c r="I325" s="2">
        <f>AVERAGE(H323:I323)*I65</f>
        <v>141.54</v>
      </c>
      <c r="J325" s="2">
        <f>AVERAGE(I323:J323)*J65</f>
        <v>141.54</v>
      </c>
      <c r="K325" s="2">
        <f>AVERAGE(J323:K323)*K65</f>
        <v>141.54</v>
      </c>
      <c r="L325" s="2">
        <f>AVERAGE(K323:L323)*L65</f>
        <v>141.54</v>
      </c>
      <c r="M325" s="2">
        <f>AVERAGE(L323:M323)*M65</f>
        <v>141.54</v>
      </c>
      <c r="N325" s="2">
        <f>AVERAGE(M323:N323)*N65</f>
        <v>141.54</v>
      </c>
      <c r="O325" s="2">
        <f>AVERAGE(N323:O323)*O65</f>
        <v>141.54</v>
      </c>
      <c r="P325" s="2">
        <f>AVERAGE(O323:P323)*P65</f>
        <v>141.54</v>
      </c>
    </row>
    <row r="326" spans="1:16" x14ac:dyDescent="0.15">
      <c r="E326" s="17"/>
      <c r="F326" s="17"/>
    </row>
    <row r="327" spans="1:16" x14ac:dyDescent="0.15">
      <c r="A327" s="58" t="s">
        <v>176</v>
      </c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</row>
    <row r="328" spans="1:16" x14ac:dyDescent="0.15">
      <c r="A328" s="2" t="s">
        <v>153</v>
      </c>
      <c r="E328" s="19">
        <f>D331</f>
        <v>0</v>
      </c>
      <c r="F328" s="19">
        <f>E331</f>
        <v>5815</v>
      </c>
      <c r="G328" s="19">
        <f>F331</f>
        <v>110</v>
      </c>
      <c r="H328" s="19">
        <f t="shared" ref="H328:P328" si="289">G331</f>
        <v>0</v>
      </c>
      <c r="I328" s="19">
        <f t="shared" si="289"/>
        <v>0</v>
      </c>
      <c r="J328" s="19">
        <f t="shared" si="289"/>
        <v>0</v>
      </c>
      <c r="K328" s="19">
        <f t="shared" si="289"/>
        <v>0</v>
      </c>
      <c r="L328" s="19">
        <f t="shared" si="289"/>
        <v>0</v>
      </c>
      <c r="M328" s="19">
        <f t="shared" si="289"/>
        <v>0</v>
      </c>
      <c r="N328" s="19">
        <f t="shared" si="289"/>
        <v>0</v>
      </c>
      <c r="O328" s="19">
        <f t="shared" si="289"/>
        <v>0</v>
      </c>
      <c r="P328" s="19">
        <f t="shared" si="289"/>
        <v>0</v>
      </c>
    </row>
    <row r="329" spans="1:16" x14ac:dyDescent="0.15">
      <c r="A329" s="2" t="s">
        <v>195</v>
      </c>
      <c r="E329" s="18">
        <v>6578</v>
      </c>
      <c r="F329" s="18">
        <v>0</v>
      </c>
      <c r="G329" s="19">
        <f>G68</f>
        <v>0</v>
      </c>
      <c r="H329" s="19">
        <f>H68</f>
        <v>0</v>
      </c>
      <c r="I329" s="19">
        <f>I68</f>
        <v>0</v>
      </c>
      <c r="J329" s="19">
        <f>J68</f>
        <v>0</v>
      </c>
      <c r="K329" s="19">
        <f>K68</f>
        <v>0</v>
      </c>
      <c r="L329" s="19">
        <f>L68</f>
        <v>0</v>
      </c>
      <c r="M329" s="19">
        <f>M68</f>
        <v>0</v>
      </c>
      <c r="N329" s="19">
        <f>N68</f>
        <v>0</v>
      </c>
      <c r="O329" s="19">
        <f>O68</f>
        <v>0</v>
      </c>
      <c r="P329" s="19">
        <f>P68</f>
        <v>0</v>
      </c>
    </row>
    <row r="330" spans="1:16" x14ac:dyDescent="0.15">
      <c r="A330" s="2" t="s">
        <v>194</v>
      </c>
      <c r="E330" s="18">
        <v>763</v>
      </c>
      <c r="F330" s="18">
        <v>5705</v>
      </c>
      <c r="G330" s="19">
        <f>G69</f>
        <v>110</v>
      </c>
      <c r="H330" s="19">
        <f>-I69</f>
        <v>0</v>
      </c>
      <c r="I330" s="19">
        <f>-J69</f>
        <v>0</v>
      </c>
      <c r="J330" s="19">
        <f>-K69</f>
        <v>0</v>
      </c>
      <c r="K330" s="19">
        <f>-L69</f>
        <v>0</v>
      </c>
      <c r="L330" s="19">
        <f>-M69</f>
        <v>0</v>
      </c>
      <c r="M330" s="19">
        <f>-N69</f>
        <v>0</v>
      </c>
      <c r="N330" s="19">
        <f>-O69</f>
        <v>0</v>
      </c>
      <c r="O330" s="19">
        <f>-P69</f>
        <v>0</v>
      </c>
      <c r="P330" s="19">
        <f>-Q69</f>
        <v>0</v>
      </c>
    </row>
    <row r="331" spans="1:16" x14ac:dyDescent="0.15">
      <c r="A331" s="13" t="s">
        <v>145</v>
      </c>
      <c r="B331" s="13"/>
      <c r="C331" s="13"/>
      <c r="D331" s="20">
        <v>0</v>
      </c>
      <c r="E331" s="20">
        <f>E328+E329-E330</f>
        <v>5815</v>
      </c>
      <c r="F331" s="20">
        <f>F328+F329-F330</f>
        <v>110</v>
      </c>
      <c r="G331" s="20">
        <f t="shared" ref="G331" si="290">G328+G329-G330</f>
        <v>0</v>
      </c>
      <c r="H331" s="20">
        <f t="shared" ref="H331" si="291">H328+H329-H330</f>
        <v>0</v>
      </c>
      <c r="I331" s="20">
        <f t="shared" ref="I331" si="292">I328+I329-I330</f>
        <v>0</v>
      </c>
      <c r="J331" s="20">
        <f t="shared" ref="J331" si="293">J328+J329-J330</f>
        <v>0</v>
      </c>
      <c r="K331" s="20">
        <f t="shared" ref="K331" si="294">K328+K329-K330</f>
        <v>0</v>
      </c>
      <c r="L331" s="20">
        <f t="shared" ref="L331" si="295">L328+L329-L330</f>
        <v>0</v>
      </c>
      <c r="M331" s="20">
        <f t="shared" ref="M331" si="296">M328+M329-M330</f>
        <v>0</v>
      </c>
      <c r="N331" s="20">
        <f t="shared" ref="N331" si="297">N328+N329-N330</f>
        <v>0</v>
      </c>
      <c r="O331" s="20">
        <f t="shared" ref="O331" si="298">O328+O329-O330</f>
        <v>0</v>
      </c>
      <c r="P331" s="20">
        <f t="shared" ref="P331" si="299">P328+P329-P330</f>
        <v>0</v>
      </c>
    </row>
    <row r="333" spans="1:16" x14ac:dyDescent="0.15">
      <c r="A333" s="2" t="s">
        <v>172</v>
      </c>
      <c r="E333" s="17">
        <v>172</v>
      </c>
      <c r="F333" s="17">
        <v>157</v>
      </c>
      <c r="G333" s="66">
        <f>IFERROR(AVERAGE(F331:G331)*G67,0)</f>
        <v>2.915</v>
      </c>
      <c r="H333" s="66">
        <f>IFERROR(AVERAGE(G331:H331)*H67,0)</f>
        <v>0</v>
      </c>
      <c r="I333" s="66">
        <f>IFERROR(AVERAGE(H331:I331)*I67,0)</f>
        <v>0</v>
      </c>
      <c r="J333" s="66">
        <f>IFERROR(AVERAGE(I331:J331)*J67,0)</f>
        <v>0</v>
      </c>
      <c r="K333" s="66">
        <f>IFERROR(AVERAGE(J331:K331)*K67,0)</f>
        <v>0</v>
      </c>
      <c r="L333" s="66">
        <f>IFERROR(AVERAGE(K331:L331)*L67,0)</f>
        <v>0</v>
      </c>
      <c r="M333" s="66">
        <f>IFERROR(AVERAGE(L331:M331)*M67,0)</f>
        <v>0</v>
      </c>
      <c r="N333" s="66">
        <f>IFERROR(AVERAGE(M331:N331)*N67,0)</f>
        <v>0</v>
      </c>
      <c r="O333" s="66">
        <f>IFERROR(AVERAGE(N331:O331)*O67,0)</f>
        <v>0</v>
      </c>
      <c r="P333" s="66">
        <f>AVERAGE(O331:P331)*P67</f>
        <v>0</v>
      </c>
    </row>
    <row r="335" spans="1:16" x14ac:dyDescent="0.15">
      <c r="A335" s="12" t="s">
        <v>203</v>
      </c>
      <c r="B335" s="12"/>
      <c r="C335" s="12"/>
      <c r="D335" s="12"/>
      <c r="E335" s="67">
        <f>E333+E325+E302</f>
        <v>4034</v>
      </c>
      <c r="F335" s="67">
        <f>F333+F325+F302</f>
        <v>4301</v>
      </c>
      <c r="G335" s="67">
        <f>G333+G325+G302</f>
        <v>3950.8863799999999</v>
      </c>
      <c r="H335" s="67">
        <f>H333+H325+H302</f>
        <v>2665.18335075</v>
      </c>
      <c r="I335" s="67">
        <f>I333+I325+I302</f>
        <v>2056.5724273350006</v>
      </c>
      <c r="J335" s="67">
        <f>J333+J325+J302</f>
        <v>1794.3488121480002</v>
      </c>
      <c r="K335" s="67">
        <f>K333+K325+K302</f>
        <v>1696.2210070921728</v>
      </c>
      <c r="L335" s="67">
        <f>L333+L325+L302</f>
        <v>1678.0687959913382</v>
      </c>
      <c r="M335" s="67">
        <f>M333+M325+M302</f>
        <v>1699.3602221387314</v>
      </c>
      <c r="N335" s="67">
        <f>N333+N325+N302</f>
        <v>1739.5755749009229</v>
      </c>
      <c r="O335" s="67">
        <f>O333+O325+O302</f>
        <v>1788.3526425161231</v>
      </c>
      <c r="P335" s="67">
        <f>P333+P325+P302</f>
        <v>1842.413996251021</v>
      </c>
    </row>
    <row r="350" spans="7:10" x14ac:dyDescent="0.15">
      <c r="G350" s="19"/>
    </row>
    <row r="352" spans="7:10" x14ac:dyDescent="0.15">
      <c r="G352" s="19"/>
      <c r="H352" s="19"/>
      <c r="I352" s="19"/>
      <c r="J352" s="19"/>
    </row>
    <row r="353" spans="7:10" x14ac:dyDescent="0.15">
      <c r="G353" s="19"/>
      <c r="H353" s="19"/>
      <c r="I353" s="19"/>
      <c r="J353" s="19"/>
    </row>
    <row r="354" spans="7:10" x14ac:dyDescent="0.15">
      <c r="G354" s="19"/>
      <c r="H354" s="19"/>
      <c r="I354" s="19"/>
      <c r="J354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2020-04-22T05:39:38Z</dcterms:created>
  <dcterms:modified xsi:type="dcterms:W3CDTF">2020-04-23T07:22:21Z</dcterms:modified>
</cp:coreProperties>
</file>