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deepakchoudhary/Downloads/"/>
    </mc:Choice>
  </mc:AlternateContent>
  <xr:revisionPtr revIDLastSave="0" documentId="13_ncr:1_{7D943B9B-C830-FE4D-AC44-5F1A7B1A015E}" xr6:coauthVersionLast="47" xr6:coauthVersionMax="47" xr10:uidLastSave="{00000000-0000-0000-0000-000000000000}"/>
  <bookViews>
    <workbookView xWindow="360" yWindow="460" windowWidth="28920" windowHeight="15880" tabRatio="815" activeTab="6" xr2:uid="{00000000-000D-0000-FFFF-FFFF00000000}"/>
  </bookViews>
  <sheets>
    <sheet name="ZCB+Options" sheetId="8" r:id="rId1"/>
    <sheet name="BondForward+Futures" sheetId="12" r:id="rId2"/>
    <sheet name="Caplets" sheetId="16" r:id="rId3"/>
    <sheet name="Swaps+Swaptions" sheetId="13" r:id="rId4"/>
    <sheet name="Elementary Prices" sheetId="9" r:id="rId5"/>
    <sheet name="BDTQuestion1" sheetId="7" r:id="rId6"/>
    <sheet name="BDTQuestion2" sheetId="17" r:id="rId7"/>
    <sheet name="BDT_b=.005" sheetId="14" r:id="rId8"/>
    <sheet name="BDT_b=.01" sheetId="15" r:id="rId9"/>
  </sheets>
  <definedNames>
    <definedName name="_xlnm.Print_Area" localSheetId="7">'BDT_b=.005'!$C$80:$L$105</definedName>
    <definedName name="_xlnm.Print_Area" localSheetId="8">'BDT_b=.01'!$C$80:$L$105</definedName>
    <definedName name="_xlnm.Print_Area" localSheetId="5">BDTQuestion1!$C$81:$L$106</definedName>
    <definedName name="_xlnm.Print_Area" localSheetId="6">BDTQuestion2!$C$81:$L$106</definedName>
    <definedName name="solver_adj" localSheetId="7" hidden="1">'BDT_b=.005'!$C$5:$M$5</definedName>
    <definedName name="solver_adj" localSheetId="8" hidden="1">'BDT_b=.01'!$C$5:$P$5</definedName>
    <definedName name="solver_adj" localSheetId="5" hidden="1">BDTQuestion1!$C$5:$L$5</definedName>
    <definedName name="solver_adj" localSheetId="6" hidden="1">BDTQuestion2!$C$5:$L$5</definedName>
    <definedName name="solver_cvg" localSheetId="7" hidden="1">0.0001</definedName>
    <definedName name="solver_cvg" localSheetId="8" hidden="1">0.0001</definedName>
    <definedName name="solver_cvg" localSheetId="5" hidden="1">0.0001</definedName>
    <definedName name="solver_cvg" localSheetId="6" hidden="1">0.0001</definedName>
    <definedName name="solver_drv" localSheetId="7" hidden="1">1</definedName>
    <definedName name="solver_drv" localSheetId="8" hidden="1">1</definedName>
    <definedName name="solver_drv" localSheetId="5" hidden="1">1</definedName>
    <definedName name="solver_drv" localSheetId="6" hidden="1">1</definedName>
    <definedName name="solver_eng" localSheetId="7" hidden="1">1</definedName>
    <definedName name="solver_eng" localSheetId="5" hidden="1">1</definedName>
    <definedName name="solver_eng" localSheetId="6" hidden="1">1</definedName>
    <definedName name="solver_est" localSheetId="7" hidden="1">1</definedName>
    <definedName name="solver_est" localSheetId="8" hidden="1">1</definedName>
    <definedName name="solver_est" localSheetId="5" hidden="1">1</definedName>
    <definedName name="solver_est" localSheetId="6" hidden="1">1</definedName>
    <definedName name="solver_itr" localSheetId="7" hidden="1">100</definedName>
    <definedName name="solver_itr" localSheetId="8" hidden="1">100</definedName>
    <definedName name="solver_itr" localSheetId="5" hidden="1">100</definedName>
    <definedName name="solver_itr" localSheetId="6" hidden="1">100</definedName>
    <definedName name="solver_lin" localSheetId="7" hidden="1">2</definedName>
    <definedName name="solver_lin" localSheetId="8" hidden="1">2</definedName>
    <definedName name="solver_lin" localSheetId="5" hidden="1">2</definedName>
    <definedName name="solver_lin" localSheetId="6" hidden="1">2</definedName>
    <definedName name="solver_mip" localSheetId="7" hidden="1">2147483647</definedName>
    <definedName name="solver_mip" localSheetId="5" hidden="1">2147483647</definedName>
    <definedName name="solver_mip" localSheetId="6" hidden="1">2147483647</definedName>
    <definedName name="solver_mni" localSheetId="7" hidden="1">30</definedName>
    <definedName name="solver_mni" localSheetId="5" hidden="1">30</definedName>
    <definedName name="solver_mni" localSheetId="6" hidden="1">30</definedName>
    <definedName name="solver_mrt" localSheetId="7" hidden="1">0.075</definedName>
    <definedName name="solver_mrt" localSheetId="5" hidden="1">0.075</definedName>
    <definedName name="solver_mrt" localSheetId="6" hidden="1">0.075</definedName>
    <definedName name="solver_msl" localSheetId="7" hidden="1">2</definedName>
    <definedName name="solver_msl" localSheetId="5" hidden="1">2</definedName>
    <definedName name="solver_msl" localSheetId="6" hidden="1">2</definedName>
    <definedName name="solver_neg" localSheetId="7" hidden="1">2</definedName>
    <definedName name="solver_neg" localSheetId="8" hidden="1">2</definedName>
    <definedName name="solver_neg" localSheetId="5" hidden="1">2</definedName>
    <definedName name="solver_neg" localSheetId="6" hidden="1">2</definedName>
    <definedName name="solver_nod" localSheetId="7" hidden="1">2147483647</definedName>
    <definedName name="solver_nod" localSheetId="5" hidden="1">2147483647</definedName>
    <definedName name="solver_nod" localSheetId="6" hidden="1">2147483647</definedName>
    <definedName name="solver_num" localSheetId="7" hidden="1">0</definedName>
    <definedName name="solver_num" localSheetId="8" hidden="1">0</definedName>
    <definedName name="solver_num" localSheetId="5" hidden="1">0</definedName>
    <definedName name="solver_num" localSheetId="6" hidden="1">0</definedName>
    <definedName name="solver_nwt" localSheetId="7" hidden="1">1</definedName>
    <definedName name="solver_nwt" localSheetId="8" hidden="1">1</definedName>
    <definedName name="solver_nwt" localSheetId="5" hidden="1">1</definedName>
    <definedName name="solver_nwt" localSheetId="6" hidden="1">1</definedName>
    <definedName name="solver_opt" localSheetId="7" hidden="1">'BDT_b=.005'!$D$51</definedName>
    <definedName name="solver_opt" localSheetId="8" hidden="1">'BDT_b=.01'!$D$51</definedName>
    <definedName name="solver_opt" localSheetId="5" hidden="1">BDTQuestion1!$D$51</definedName>
    <definedName name="solver_opt" localSheetId="6" hidden="1">BDTQuestion2!$D$51</definedName>
    <definedName name="solver_pre" localSheetId="7" hidden="1">0.000001</definedName>
    <definedName name="solver_pre" localSheetId="8" hidden="1">0.000001</definedName>
    <definedName name="solver_pre" localSheetId="5" hidden="1">0.000001</definedName>
    <definedName name="solver_pre" localSheetId="6" hidden="1">0.000001</definedName>
    <definedName name="solver_rbv" localSheetId="7" hidden="1">1</definedName>
    <definedName name="solver_rbv" localSheetId="5" hidden="1">1</definedName>
    <definedName name="solver_rbv" localSheetId="6" hidden="1">1</definedName>
    <definedName name="solver_rlx" localSheetId="7" hidden="1">1</definedName>
    <definedName name="solver_rlx" localSheetId="5" hidden="1">1</definedName>
    <definedName name="solver_rlx" localSheetId="6" hidden="1">1</definedName>
    <definedName name="solver_rsd" localSheetId="7" hidden="1">0</definedName>
    <definedName name="solver_rsd" localSheetId="5" hidden="1">0</definedName>
    <definedName name="solver_rsd" localSheetId="6" hidden="1">0</definedName>
    <definedName name="solver_scl" localSheetId="7" hidden="1">2</definedName>
    <definedName name="solver_scl" localSheetId="8" hidden="1">2</definedName>
    <definedName name="solver_scl" localSheetId="5" hidden="1">2</definedName>
    <definedName name="solver_scl" localSheetId="6" hidden="1">2</definedName>
    <definedName name="solver_sho" localSheetId="7" hidden="1">2</definedName>
    <definedName name="solver_sho" localSheetId="8" hidden="1">2</definedName>
    <definedName name="solver_sho" localSheetId="5" hidden="1">2</definedName>
    <definedName name="solver_sho" localSheetId="6" hidden="1">2</definedName>
    <definedName name="solver_ssz" localSheetId="7" hidden="1">100</definedName>
    <definedName name="solver_ssz" localSheetId="5" hidden="1">100</definedName>
    <definedName name="solver_ssz" localSheetId="6" hidden="1">100</definedName>
    <definedName name="solver_tim" localSheetId="7" hidden="1">100</definedName>
    <definedName name="solver_tim" localSheetId="8" hidden="1">100</definedName>
    <definedName name="solver_tim" localSheetId="5" hidden="1">100</definedName>
    <definedName name="solver_tim" localSheetId="6" hidden="1">100</definedName>
    <definedName name="solver_tol" localSheetId="7" hidden="1">0.05</definedName>
    <definedName name="solver_tol" localSheetId="8" hidden="1">0.05</definedName>
    <definedName name="solver_tol" localSheetId="5" hidden="1">0.05</definedName>
    <definedName name="solver_tol" localSheetId="6" hidden="1">0.05</definedName>
    <definedName name="solver_typ" localSheetId="7" hidden="1">2</definedName>
    <definedName name="solver_typ" localSheetId="8" hidden="1">2</definedName>
    <definedName name="solver_typ" localSheetId="5" hidden="1">2</definedName>
    <definedName name="solver_typ" localSheetId="6" hidden="1">2</definedName>
    <definedName name="solver_val" localSheetId="7" hidden="1">0</definedName>
    <definedName name="solver_val" localSheetId="8" hidden="1">0</definedName>
    <definedName name="solver_val" localSheetId="5" hidden="1">0</definedName>
    <definedName name="solver_val" localSheetId="6" hidden="1">0</definedName>
    <definedName name="solver_ver" localSheetId="7" hidden="1">2</definedName>
    <definedName name="solver_ver" localSheetId="5" hidden="1">2</definedName>
    <definedName name="solver_ver" localSheetId="6" hidden="1">2</definedName>
    <definedName name="workspace" localSheetId="1">#REF!</definedName>
    <definedName name="workspace" localSheetId="2">#REF!</definedName>
    <definedName name="workspace" localSheetId="3">#REF!</definedName>
    <definedName name="workspa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17" l="1"/>
  <c r="D66" i="17"/>
  <c r="C66" i="17"/>
  <c r="E65" i="17"/>
  <c r="D65" i="17"/>
  <c r="C65" i="17"/>
  <c r="F64" i="17"/>
  <c r="E64" i="17"/>
  <c r="D64" i="17"/>
  <c r="C64" i="17"/>
  <c r="G63" i="17"/>
  <c r="F63" i="17"/>
  <c r="E63" i="17"/>
  <c r="D63" i="17"/>
  <c r="C63" i="17"/>
  <c r="H62" i="17"/>
  <c r="G62" i="17"/>
  <c r="F62" i="17"/>
  <c r="E62" i="17"/>
  <c r="D62" i="17"/>
  <c r="C62" i="17"/>
  <c r="I61" i="17"/>
  <c r="H61" i="17"/>
  <c r="G61" i="17"/>
  <c r="F61" i="17"/>
  <c r="E61" i="17"/>
  <c r="D61" i="17"/>
  <c r="C61" i="17"/>
  <c r="J60" i="17"/>
  <c r="I60" i="17"/>
  <c r="H60" i="17"/>
  <c r="G60" i="17"/>
  <c r="F60" i="17"/>
  <c r="E60" i="17"/>
  <c r="D60" i="17"/>
  <c r="C60" i="17"/>
  <c r="K59" i="17"/>
  <c r="J59" i="17"/>
  <c r="I59" i="17"/>
  <c r="H59" i="17"/>
  <c r="G59" i="17"/>
  <c r="F59" i="17"/>
  <c r="E59" i="17"/>
  <c r="D59" i="17"/>
  <c r="C59" i="17"/>
  <c r="D42" i="17"/>
  <c r="E41" i="17"/>
  <c r="D41" i="17"/>
  <c r="F40" i="17"/>
  <c r="E40" i="17"/>
  <c r="D40" i="17"/>
  <c r="G39" i="17"/>
  <c r="F39" i="17"/>
  <c r="E39" i="17"/>
  <c r="D39" i="17"/>
  <c r="H38" i="17"/>
  <c r="G38" i="17"/>
  <c r="F38" i="17"/>
  <c r="E38" i="17"/>
  <c r="D38" i="17"/>
  <c r="I37" i="17"/>
  <c r="H37" i="17"/>
  <c r="G37" i="17"/>
  <c r="F37" i="17"/>
  <c r="E37" i="17"/>
  <c r="D37" i="17"/>
  <c r="J36" i="17"/>
  <c r="I36" i="17"/>
  <c r="H36" i="17"/>
  <c r="G36" i="17"/>
  <c r="F36" i="17"/>
  <c r="E36" i="17"/>
  <c r="D36" i="17"/>
  <c r="K35" i="17"/>
  <c r="J35" i="17"/>
  <c r="I35" i="17"/>
  <c r="H35" i="17"/>
  <c r="G35" i="17"/>
  <c r="F35" i="17"/>
  <c r="E35" i="17"/>
  <c r="D35" i="17"/>
  <c r="L34" i="17"/>
  <c r="K34" i="17"/>
  <c r="J34" i="17"/>
  <c r="I34" i="17"/>
  <c r="H34" i="17"/>
  <c r="G34" i="17"/>
  <c r="F34" i="17"/>
  <c r="E34" i="17"/>
  <c r="D34" i="17"/>
  <c r="M33" i="17"/>
  <c r="L33" i="17"/>
  <c r="K33" i="17"/>
  <c r="J33" i="17"/>
  <c r="I33" i="17"/>
  <c r="H33" i="17"/>
  <c r="G33" i="17"/>
  <c r="F33" i="17"/>
  <c r="E33" i="17"/>
  <c r="D33" i="17"/>
  <c r="M32" i="17"/>
  <c r="L32" i="17"/>
  <c r="K32" i="17"/>
  <c r="J32" i="17"/>
  <c r="I32" i="17"/>
  <c r="H32" i="17"/>
  <c r="G32" i="17"/>
  <c r="F32" i="17"/>
  <c r="E32" i="17"/>
  <c r="D32" i="17"/>
  <c r="M31" i="17"/>
  <c r="L31" i="17"/>
  <c r="K31" i="17"/>
  <c r="J31" i="17"/>
  <c r="I31" i="17"/>
  <c r="H31" i="17"/>
  <c r="G31" i="17"/>
  <c r="F31" i="17"/>
  <c r="E31" i="17"/>
  <c r="D31" i="17"/>
  <c r="M30" i="17"/>
  <c r="L30" i="17"/>
  <c r="K30" i="17"/>
  <c r="J30" i="17"/>
  <c r="I30" i="17"/>
  <c r="H30" i="17"/>
  <c r="G30" i="17"/>
  <c r="F30" i="17"/>
  <c r="E30" i="17"/>
  <c r="D30" i="17"/>
  <c r="L25" i="17"/>
  <c r="L68" i="17" s="1"/>
  <c r="K25" i="17"/>
  <c r="J25" i="17"/>
  <c r="I25" i="17"/>
  <c r="H25" i="17"/>
  <c r="G25" i="17"/>
  <c r="F25" i="17"/>
  <c r="E25" i="17"/>
  <c r="D25" i="17"/>
  <c r="C25" i="17"/>
  <c r="D43" i="17" s="1"/>
  <c r="L24" i="17"/>
  <c r="L67" i="17" s="1"/>
  <c r="K24" i="17"/>
  <c r="J24" i="17"/>
  <c r="I24" i="17"/>
  <c r="H24" i="17"/>
  <c r="G24" i="17"/>
  <c r="F24" i="17"/>
  <c r="E24" i="17"/>
  <c r="D24" i="17"/>
  <c r="L23" i="17"/>
  <c r="L66" i="17" s="1"/>
  <c r="K23" i="17"/>
  <c r="J23" i="17"/>
  <c r="I23" i="17"/>
  <c r="H23" i="17"/>
  <c r="G23" i="17"/>
  <c r="F23" i="17"/>
  <c r="E23" i="17"/>
  <c r="D23" i="17"/>
  <c r="L22" i="17"/>
  <c r="L65" i="17" s="1"/>
  <c r="K22" i="17"/>
  <c r="J22" i="17"/>
  <c r="I22" i="17"/>
  <c r="H22" i="17"/>
  <c r="G22" i="17"/>
  <c r="F22" i="17"/>
  <c r="E22" i="17"/>
  <c r="D22" i="17"/>
  <c r="L21" i="17"/>
  <c r="L64" i="17" s="1"/>
  <c r="K21" i="17"/>
  <c r="J21" i="17"/>
  <c r="I21" i="17"/>
  <c r="H21" i="17"/>
  <c r="G21" i="17"/>
  <c r="F21" i="17"/>
  <c r="E21" i="17"/>
  <c r="D21" i="17"/>
  <c r="L20" i="17"/>
  <c r="L63" i="17" s="1"/>
  <c r="K20" i="17"/>
  <c r="J20" i="17"/>
  <c r="I20" i="17"/>
  <c r="H20" i="17"/>
  <c r="G20" i="17"/>
  <c r="F20" i="17"/>
  <c r="E20" i="17"/>
  <c r="D20" i="17"/>
  <c r="L19" i="17"/>
  <c r="L62" i="17" s="1"/>
  <c r="K19" i="17"/>
  <c r="J19" i="17"/>
  <c r="I19" i="17"/>
  <c r="H19" i="17"/>
  <c r="G19" i="17"/>
  <c r="F19" i="17"/>
  <c r="E19" i="17"/>
  <c r="D19" i="17"/>
  <c r="L18" i="17"/>
  <c r="L61" i="17" s="1"/>
  <c r="K18" i="17"/>
  <c r="J18" i="17"/>
  <c r="I18" i="17"/>
  <c r="H18" i="17"/>
  <c r="G18" i="17"/>
  <c r="F18" i="17"/>
  <c r="E18" i="17"/>
  <c r="D18" i="17"/>
  <c r="L17" i="17"/>
  <c r="L60" i="17" s="1"/>
  <c r="K17" i="17"/>
  <c r="J17" i="17"/>
  <c r="I17" i="17"/>
  <c r="H17" i="17"/>
  <c r="G17" i="17"/>
  <c r="F17" i="17"/>
  <c r="E17" i="17"/>
  <c r="D17" i="17"/>
  <c r="L16" i="17"/>
  <c r="L59" i="17" s="1"/>
  <c r="K16" i="17"/>
  <c r="J16" i="17"/>
  <c r="I16" i="17"/>
  <c r="H16" i="17"/>
  <c r="G16" i="17"/>
  <c r="F16" i="17"/>
  <c r="E16" i="17"/>
  <c r="D16" i="17"/>
  <c r="L15" i="17"/>
  <c r="K15" i="17"/>
  <c r="J15" i="17"/>
  <c r="I15" i="17"/>
  <c r="H15" i="17"/>
  <c r="G15" i="17"/>
  <c r="F15" i="17"/>
  <c r="E15" i="17"/>
  <c r="D15" i="17"/>
  <c r="L14" i="17"/>
  <c r="K14" i="17"/>
  <c r="J14" i="17"/>
  <c r="I14" i="17"/>
  <c r="H14" i="17"/>
  <c r="G14" i="17"/>
  <c r="F14" i="17"/>
  <c r="E14" i="17"/>
  <c r="D14" i="17"/>
  <c r="L13" i="17"/>
  <c r="K13" i="17"/>
  <c r="J13" i="17"/>
  <c r="I13" i="17"/>
  <c r="H13" i="17"/>
  <c r="G13" i="17"/>
  <c r="F13" i="17"/>
  <c r="E13" i="17"/>
  <c r="D13" i="17"/>
  <c r="L12" i="17"/>
  <c r="K12" i="17"/>
  <c r="J12" i="17"/>
  <c r="I12" i="17"/>
  <c r="H12" i="17"/>
  <c r="G12" i="17"/>
  <c r="F12" i="17"/>
  <c r="E12" i="17"/>
  <c r="D12" i="17"/>
  <c r="B8" i="17"/>
  <c r="C25" i="7"/>
  <c r="H59" i="7"/>
  <c r="I59" i="7"/>
  <c r="J59" i="7"/>
  <c r="K59" i="7"/>
  <c r="H60" i="7"/>
  <c r="I60" i="7"/>
  <c r="J60" i="7"/>
  <c r="H61" i="7"/>
  <c r="I61" i="7"/>
  <c r="H62" i="7"/>
  <c r="G59" i="7"/>
  <c r="G60" i="7"/>
  <c r="G61" i="7"/>
  <c r="G62" i="7"/>
  <c r="G63" i="7"/>
  <c r="K60" i="17" l="1"/>
  <c r="K68" i="17"/>
  <c r="K62" i="17"/>
  <c r="K63" i="17"/>
  <c r="K64" i="17"/>
  <c r="K65" i="17"/>
  <c r="K61" i="17"/>
  <c r="K67" i="17"/>
  <c r="J68" i="17" s="1"/>
  <c r="K66" i="17"/>
  <c r="D44" i="17"/>
  <c r="E43" i="17" s="1"/>
  <c r="E42" i="17"/>
  <c r="F41" i="17" s="1"/>
  <c r="G40" i="17" s="1"/>
  <c r="H39" i="17" s="1"/>
  <c r="I38" i="17" s="1"/>
  <c r="J37" i="17" s="1"/>
  <c r="K36" i="17" s="1"/>
  <c r="L35" i="17" s="1"/>
  <c r="M34" i="17" s="1"/>
  <c r="J62" i="17" l="1"/>
  <c r="J63" i="17"/>
  <c r="F42" i="17"/>
  <c r="G41" i="17" s="1"/>
  <c r="H40" i="17" s="1"/>
  <c r="I39" i="17" s="1"/>
  <c r="J38" i="17" s="1"/>
  <c r="K37" i="17" s="1"/>
  <c r="L36" i="17" s="1"/>
  <c r="M35" i="17" s="1"/>
  <c r="J61" i="17"/>
  <c r="I62" i="17" s="1"/>
  <c r="E44" i="17"/>
  <c r="F44" i="17" s="1"/>
  <c r="G44" i="17" s="1"/>
  <c r="J67" i="17"/>
  <c r="I68" i="17" s="1"/>
  <c r="D47" i="17"/>
  <c r="D48" i="17" s="1"/>
  <c r="D50" i="17" s="1"/>
  <c r="J65" i="17"/>
  <c r="J64" i="17"/>
  <c r="J66" i="17"/>
  <c r="I63" i="17" l="1"/>
  <c r="H63" i="17" s="1"/>
  <c r="F43" i="17"/>
  <c r="G42" i="17" s="1"/>
  <c r="H41" i="17" s="1"/>
  <c r="I40" i="17" s="1"/>
  <c r="J39" i="17" s="1"/>
  <c r="K38" i="17" s="1"/>
  <c r="L37" i="17" s="1"/>
  <c r="M36" i="17" s="1"/>
  <c r="E47" i="17"/>
  <c r="E48" i="17" s="1"/>
  <c r="E50" i="17" s="1"/>
  <c r="I65" i="17"/>
  <c r="I64" i="17"/>
  <c r="H44" i="17"/>
  <c r="I67" i="17"/>
  <c r="H68" i="17" s="1"/>
  <c r="I66" i="17"/>
  <c r="F47" i="17" l="1"/>
  <c r="F48" i="17" s="1"/>
  <c r="F50" i="17" s="1"/>
  <c r="G43" i="17"/>
  <c r="H43" i="17" s="1"/>
  <c r="I43" i="17" s="1"/>
  <c r="H65" i="17"/>
  <c r="H64" i="17"/>
  <c r="H67" i="17"/>
  <c r="G68" i="17" s="1"/>
  <c r="H66" i="17"/>
  <c r="I44" i="17"/>
  <c r="G47" i="17" l="1"/>
  <c r="G48" i="17" s="1"/>
  <c r="G50" i="17" s="1"/>
  <c r="H42" i="17"/>
  <c r="I41" i="17" s="1"/>
  <c r="J40" i="17" s="1"/>
  <c r="G65" i="17"/>
  <c r="G64" i="17"/>
  <c r="I42" i="17"/>
  <c r="J42" i="17" s="1"/>
  <c r="J43" i="17"/>
  <c r="J44" i="17"/>
  <c r="G67" i="17"/>
  <c r="F68" i="17" s="1"/>
  <c r="G66" i="17"/>
  <c r="H47" i="17" l="1"/>
  <c r="H48" i="17" s="1"/>
  <c r="H50" i="17" s="1"/>
  <c r="F65" i="17"/>
  <c r="K42" i="17"/>
  <c r="K39" i="17"/>
  <c r="F66" i="17"/>
  <c r="F67" i="17"/>
  <c r="E68" i="17" s="1"/>
  <c r="K43" i="17"/>
  <c r="K44" i="17"/>
  <c r="I47" i="17"/>
  <c r="I48" i="17" s="1"/>
  <c r="I50" i="17" s="1"/>
  <c r="J41" i="17"/>
  <c r="C15" i="16"/>
  <c r="D14" i="16" s="1"/>
  <c r="B24" i="16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16" i="16"/>
  <c r="C16" i="16" s="1"/>
  <c r="D16" i="16" s="1"/>
  <c r="E16" i="16" s="1"/>
  <c r="F16" i="16" s="1"/>
  <c r="G16" i="16" s="1"/>
  <c r="G29" i="16" s="1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D47" i="15" s="1"/>
  <c r="D48" i="15" s="1"/>
  <c r="D50" i="15" s="1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 s="1"/>
  <c r="K25" i="15"/>
  <c r="J25" i="15"/>
  <c r="I25" i="15"/>
  <c r="H25" i="15"/>
  <c r="G25" i="15"/>
  <c r="F25" i="15"/>
  <c r="E25" i="15"/>
  <c r="D25" i="15"/>
  <c r="C25" i="15"/>
  <c r="D43" i="15" s="1"/>
  <c r="E42" i="15" s="1"/>
  <c r="F41" i="15" s="1"/>
  <c r="G40" i="15" s="1"/>
  <c r="H39" i="15" s="1"/>
  <c r="I38" i="15" s="1"/>
  <c r="J37" i="15" s="1"/>
  <c r="D24" i="15"/>
  <c r="E23" i="15"/>
  <c r="F22" i="15"/>
  <c r="G21" i="15"/>
  <c r="H20" i="15"/>
  <c r="I19" i="15"/>
  <c r="J18" i="15"/>
  <c r="K17" i="15"/>
  <c r="L16" i="15"/>
  <c r="M15" i="15"/>
  <c r="N14" i="15"/>
  <c r="O13" i="15"/>
  <c r="P12" i="15"/>
  <c r="P24" i="15"/>
  <c r="O24" i="15"/>
  <c r="N24" i="15"/>
  <c r="M24" i="15"/>
  <c r="L24" i="15"/>
  <c r="L66" i="15" s="1"/>
  <c r="K67" i="15" s="1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 s="1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 s="1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/>
  <c r="K21" i="15"/>
  <c r="J21" i="15"/>
  <c r="I21" i="15"/>
  <c r="H21" i="15"/>
  <c r="F21" i="15"/>
  <c r="E21" i="15"/>
  <c r="D21" i="15"/>
  <c r="P20" i="15"/>
  <c r="O20" i="15"/>
  <c r="N20" i="15"/>
  <c r="M20" i="15"/>
  <c r="L20" i="15"/>
  <c r="L62" i="15"/>
  <c r="K63" i="15" s="1"/>
  <c r="K20" i="15"/>
  <c r="K62" i="15" s="1"/>
  <c r="J63" i="15" s="1"/>
  <c r="J20" i="15"/>
  <c r="I20" i="15"/>
  <c r="G20" i="15"/>
  <c r="F20" i="15"/>
  <c r="E20" i="15"/>
  <c r="D20" i="15"/>
  <c r="P19" i="15"/>
  <c r="O19" i="15"/>
  <c r="N19" i="15"/>
  <c r="M19" i="15"/>
  <c r="L19" i="15"/>
  <c r="L61" i="15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 s="1"/>
  <c r="K60" i="15" s="1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/>
  <c r="J17" i="15"/>
  <c r="I17" i="15"/>
  <c r="H17" i="15"/>
  <c r="G17" i="15"/>
  <c r="F17" i="15"/>
  <c r="E17" i="15"/>
  <c r="D17" i="15"/>
  <c r="P16" i="15"/>
  <c r="O16" i="15"/>
  <c r="N16" i="15"/>
  <c r="M16" i="15"/>
  <c r="L58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 s="1"/>
  <c r="C66" i="14"/>
  <c r="D65" i="14"/>
  <c r="C65" i="14"/>
  <c r="E64" i="14"/>
  <c r="D64" i="14"/>
  <c r="C64" i="14"/>
  <c r="F63" i="14"/>
  <c r="E63" i="14"/>
  <c r="D63" i="14"/>
  <c r="C63" i="14"/>
  <c r="L20" i="14"/>
  <c r="L62" i="14" s="1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 s="1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N31" i="14"/>
  <c r="M31" i="14"/>
  <c r="L31" i="14"/>
  <c r="K31" i="14"/>
  <c r="J31" i="14"/>
  <c r="I31" i="14"/>
  <c r="H31" i="14"/>
  <c r="G31" i="14"/>
  <c r="F31" i="14"/>
  <c r="E31" i="14"/>
  <c r="D31" i="14"/>
  <c r="N30" i="14"/>
  <c r="M30" i="14"/>
  <c r="L30" i="14"/>
  <c r="K30" i="14"/>
  <c r="J30" i="14"/>
  <c r="I30" i="14"/>
  <c r="H30" i="14"/>
  <c r="G30" i="14"/>
  <c r="F30" i="14"/>
  <c r="E30" i="14"/>
  <c r="D30" i="14"/>
  <c r="M25" i="14"/>
  <c r="L25" i="14"/>
  <c r="L67" i="14" s="1"/>
  <c r="K25" i="14"/>
  <c r="B8" i="14"/>
  <c r="J25" i="14"/>
  <c r="I25" i="14"/>
  <c r="H25" i="14"/>
  <c r="G25" i="14"/>
  <c r="F25" i="14"/>
  <c r="E25" i="14"/>
  <c r="D25" i="14"/>
  <c r="C25" i="14"/>
  <c r="D43" i="14" s="1"/>
  <c r="D24" i="14"/>
  <c r="E23" i="14"/>
  <c r="F22" i="14"/>
  <c r="G21" i="14"/>
  <c r="H20" i="14"/>
  <c r="I19" i="14"/>
  <c r="J18" i="14"/>
  <c r="K17" i="14"/>
  <c r="M15" i="14"/>
  <c r="M24" i="14"/>
  <c r="K24" i="14"/>
  <c r="J24" i="14"/>
  <c r="I24" i="14"/>
  <c r="H24" i="14"/>
  <c r="G24" i="14"/>
  <c r="F24" i="14"/>
  <c r="E24" i="14"/>
  <c r="M23" i="14"/>
  <c r="L23" i="14"/>
  <c r="L65" i="14" s="1"/>
  <c r="K23" i="14"/>
  <c r="J23" i="14"/>
  <c r="I23" i="14"/>
  <c r="H23" i="14"/>
  <c r="G23" i="14"/>
  <c r="F23" i="14"/>
  <c r="D23" i="14"/>
  <c r="M22" i="14"/>
  <c r="L22" i="14"/>
  <c r="L64" i="14" s="1"/>
  <c r="K22" i="14"/>
  <c r="J22" i="14"/>
  <c r="I22" i="14"/>
  <c r="H22" i="14"/>
  <c r="G22" i="14"/>
  <c r="E22" i="14"/>
  <c r="D22" i="14"/>
  <c r="M21" i="14"/>
  <c r="L21" i="14"/>
  <c r="L63" i="14" s="1"/>
  <c r="K21" i="14"/>
  <c r="J21" i="14"/>
  <c r="I21" i="14"/>
  <c r="H21" i="14"/>
  <c r="F21" i="14"/>
  <c r="E21" i="14"/>
  <c r="D21" i="14"/>
  <c r="M20" i="14"/>
  <c r="K20" i="14"/>
  <c r="J20" i="14"/>
  <c r="I20" i="14"/>
  <c r="G20" i="14"/>
  <c r="F20" i="14"/>
  <c r="E20" i="14"/>
  <c r="D20" i="14"/>
  <c r="M19" i="14"/>
  <c r="L19" i="14"/>
  <c r="L61" i="14" s="1"/>
  <c r="K19" i="14"/>
  <c r="J19" i="14"/>
  <c r="H19" i="14"/>
  <c r="G19" i="14"/>
  <c r="F19" i="14"/>
  <c r="E19" i="14"/>
  <c r="D19" i="14"/>
  <c r="M18" i="14"/>
  <c r="L18" i="14"/>
  <c r="L60" i="14" s="1"/>
  <c r="K18" i="14"/>
  <c r="I18" i="14"/>
  <c r="H18" i="14"/>
  <c r="G18" i="14"/>
  <c r="F18" i="14"/>
  <c r="E18" i="14"/>
  <c r="D18" i="14"/>
  <c r="M17" i="14"/>
  <c r="L17" i="14"/>
  <c r="L59" i="14" s="1"/>
  <c r="J17" i="14"/>
  <c r="I17" i="14"/>
  <c r="H17" i="14"/>
  <c r="G17" i="14"/>
  <c r="F17" i="14"/>
  <c r="E17" i="14"/>
  <c r="D17" i="14"/>
  <c r="M16" i="14"/>
  <c r="K16" i="14"/>
  <c r="J16" i="14"/>
  <c r="I16" i="14"/>
  <c r="H16" i="14"/>
  <c r="G16" i="14"/>
  <c r="F16" i="14"/>
  <c r="E16" i="14"/>
  <c r="D16" i="14"/>
  <c r="L15" i="14"/>
  <c r="K15" i="14"/>
  <c r="J15" i="14"/>
  <c r="I15" i="14"/>
  <c r="H15" i="14"/>
  <c r="G15" i="14"/>
  <c r="F15" i="14"/>
  <c r="E15" i="14"/>
  <c r="D15" i="14"/>
  <c r="M14" i="14"/>
  <c r="L14" i="14"/>
  <c r="K14" i="14"/>
  <c r="J14" i="14"/>
  <c r="I14" i="14"/>
  <c r="H14" i="14"/>
  <c r="G14" i="14"/>
  <c r="F14" i="14"/>
  <c r="E14" i="14"/>
  <c r="D14" i="14"/>
  <c r="M13" i="14"/>
  <c r="L13" i="14"/>
  <c r="K13" i="14"/>
  <c r="J13" i="14"/>
  <c r="I13" i="14"/>
  <c r="H13" i="14"/>
  <c r="G13" i="14"/>
  <c r="F13" i="14"/>
  <c r="E13" i="14"/>
  <c r="D13" i="14"/>
  <c r="M12" i="14"/>
  <c r="L12" i="14"/>
  <c r="K12" i="14"/>
  <c r="J12" i="14"/>
  <c r="I12" i="14"/>
  <c r="H12" i="14"/>
  <c r="G12" i="14"/>
  <c r="F12" i="14"/>
  <c r="E12" i="14"/>
  <c r="D12" i="14"/>
  <c r="K59" i="15"/>
  <c r="D44" i="15"/>
  <c r="E44" i="15" s="1"/>
  <c r="E43" i="15"/>
  <c r="F42" i="15" s="1"/>
  <c r="B38" i="13"/>
  <c r="C38" i="13"/>
  <c r="B39" i="13"/>
  <c r="C39" i="13"/>
  <c r="B40" i="13"/>
  <c r="D38" i="13"/>
  <c r="B24" i="13"/>
  <c r="C24" i="13"/>
  <c r="D24" i="13"/>
  <c r="E24" i="13"/>
  <c r="B25" i="13"/>
  <c r="C25" i="13"/>
  <c r="D25" i="13"/>
  <c r="E25" i="13"/>
  <c r="B26" i="13"/>
  <c r="C26" i="13"/>
  <c r="D26" i="13"/>
  <c r="B27" i="13"/>
  <c r="C27" i="13"/>
  <c r="B28" i="13"/>
  <c r="F24" i="13"/>
  <c r="B16" i="13"/>
  <c r="C15" i="13" s="1"/>
  <c r="C16" i="13"/>
  <c r="D16" i="13" s="1"/>
  <c r="C14" i="13"/>
  <c r="D13" i="13"/>
  <c r="C13" i="13"/>
  <c r="E12" i="13"/>
  <c r="D12" i="13"/>
  <c r="C12" i="13"/>
  <c r="F11" i="13"/>
  <c r="E11" i="13"/>
  <c r="D11" i="13"/>
  <c r="C11" i="13"/>
  <c r="B6" i="13"/>
  <c r="K11" i="12"/>
  <c r="L11" i="12"/>
  <c r="M11" i="12"/>
  <c r="N11" i="12"/>
  <c r="K12" i="12"/>
  <c r="L12" i="12"/>
  <c r="M12" i="12"/>
  <c r="N12" i="12"/>
  <c r="K13" i="12"/>
  <c r="L13" i="12"/>
  <c r="M13" i="12"/>
  <c r="K14" i="12"/>
  <c r="L14" i="12"/>
  <c r="K15" i="12"/>
  <c r="K41" i="12"/>
  <c r="B41" i="12"/>
  <c r="L40" i="12"/>
  <c r="K40" i="12"/>
  <c r="C40" i="12"/>
  <c r="B40" i="12"/>
  <c r="M39" i="12"/>
  <c r="L39" i="12"/>
  <c r="K39" i="12"/>
  <c r="D39" i="12"/>
  <c r="C39" i="12"/>
  <c r="B39" i="12"/>
  <c r="N38" i="12"/>
  <c r="M38" i="12"/>
  <c r="L38" i="12"/>
  <c r="K38" i="12"/>
  <c r="E38" i="12"/>
  <c r="D38" i="12"/>
  <c r="C38" i="12"/>
  <c r="B38" i="12"/>
  <c r="B29" i="12"/>
  <c r="C28" i="12"/>
  <c r="B28" i="12"/>
  <c r="D27" i="12"/>
  <c r="C27" i="12"/>
  <c r="B27" i="12"/>
  <c r="E26" i="12"/>
  <c r="D26" i="12"/>
  <c r="C26" i="12"/>
  <c r="B26" i="12"/>
  <c r="F25" i="12"/>
  <c r="E25" i="12"/>
  <c r="D25" i="12"/>
  <c r="C25" i="12"/>
  <c r="B25" i="12"/>
  <c r="G24" i="12"/>
  <c r="F24" i="12"/>
  <c r="E24" i="12"/>
  <c r="D24" i="12"/>
  <c r="C24" i="12"/>
  <c r="B24" i="12"/>
  <c r="B16" i="12"/>
  <c r="C14" i="12"/>
  <c r="D13" i="12"/>
  <c r="C13" i="12"/>
  <c r="E12" i="12"/>
  <c r="D12" i="12"/>
  <c r="C12" i="12"/>
  <c r="F11" i="12"/>
  <c r="E11" i="12"/>
  <c r="D11" i="12"/>
  <c r="C11" i="12"/>
  <c r="B6" i="12"/>
  <c r="C23" i="9"/>
  <c r="C24" i="9"/>
  <c r="C25" i="9"/>
  <c r="C26" i="9"/>
  <c r="C27" i="9"/>
  <c r="B16" i="9"/>
  <c r="C16" i="9" s="1"/>
  <c r="D16" i="9" s="1"/>
  <c r="E16" i="9" s="1"/>
  <c r="F16" i="9" s="1"/>
  <c r="G16" i="9" s="1"/>
  <c r="C28" i="9"/>
  <c r="C29" i="9"/>
  <c r="D23" i="9"/>
  <c r="E23" i="9"/>
  <c r="F23" i="9"/>
  <c r="G23" i="9"/>
  <c r="D24" i="9"/>
  <c r="E24" i="9"/>
  <c r="F24" i="9"/>
  <c r="D25" i="9"/>
  <c r="E25" i="9"/>
  <c r="D26" i="9"/>
  <c r="C15" i="9"/>
  <c r="D14" i="9" s="1"/>
  <c r="C14" i="9"/>
  <c r="D13" i="9"/>
  <c r="C13" i="9"/>
  <c r="E12" i="9"/>
  <c r="D12" i="9"/>
  <c r="C12" i="9"/>
  <c r="F11" i="9"/>
  <c r="E11" i="9"/>
  <c r="D11" i="9"/>
  <c r="C11" i="9"/>
  <c r="B6" i="9"/>
  <c r="E23" i="7"/>
  <c r="F22" i="7"/>
  <c r="G21" i="7"/>
  <c r="H20" i="7"/>
  <c r="I19" i="7"/>
  <c r="J18" i="7"/>
  <c r="K17" i="7"/>
  <c r="L16" i="7"/>
  <c r="L59" i="7" s="1"/>
  <c r="L17" i="7"/>
  <c r="L60" i="7" s="1"/>
  <c r="B8" i="7"/>
  <c r="K18" i="7"/>
  <c r="L18" i="7"/>
  <c r="L61" i="7" s="1"/>
  <c r="J19" i="7"/>
  <c r="K19" i="7"/>
  <c r="L19" i="7"/>
  <c r="L62" i="7" s="1"/>
  <c r="I20" i="7"/>
  <c r="J20" i="7"/>
  <c r="K20" i="7"/>
  <c r="L20" i="7"/>
  <c r="L63" i="7" s="1"/>
  <c r="H21" i="7"/>
  <c r="I21" i="7"/>
  <c r="J21" i="7"/>
  <c r="K21" i="7"/>
  <c r="L21" i="7"/>
  <c r="L64" i="7" s="1"/>
  <c r="G22" i="7"/>
  <c r="H22" i="7"/>
  <c r="I22" i="7"/>
  <c r="J22" i="7"/>
  <c r="K22" i="7"/>
  <c r="L22" i="7"/>
  <c r="L65" i="7" s="1"/>
  <c r="F23" i="7"/>
  <c r="G23" i="7"/>
  <c r="H23" i="7"/>
  <c r="I23" i="7"/>
  <c r="J23" i="7"/>
  <c r="K23" i="7"/>
  <c r="L23" i="7"/>
  <c r="L66" i="7" s="1"/>
  <c r="E24" i="7"/>
  <c r="F24" i="7"/>
  <c r="G24" i="7"/>
  <c r="H24" i="7"/>
  <c r="I24" i="7"/>
  <c r="J24" i="7"/>
  <c r="K24" i="7"/>
  <c r="L24" i="7"/>
  <c r="L67" i="7" s="1"/>
  <c r="D24" i="7"/>
  <c r="E25" i="7"/>
  <c r="F25" i="7"/>
  <c r="G25" i="7"/>
  <c r="H25" i="7"/>
  <c r="I25" i="7"/>
  <c r="J25" i="7"/>
  <c r="K25" i="7"/>
  <c r="L25" i="7"/>
  <c r="L68" i="7" s="1"/>
  <c r="D25" i="7"/>
  <c r="D43" i="7"/>
  <c r="E59" i="7"/>
  <c r="E60" i="7"/>
  <c r="E61" i="7"/>
  <c r="E62" i="7"/>
  <c r="E63" i="7"/>
  <c r="E64" i="7"/>
  <c r="E65" i="7"/>
  <c r="F59" i="7"/>
  <c r="F60" i="7"/>
  <c r="F61" i="7"/>
  <c r="F62" i="7"/>
  <c r="F63" i="7"/>
  <c r="F64" i="7"/>
  <c r="C59" i="7"/>
  <c r="C60" i="7"/>
  <c r="C61" i="7"/>
  <c r="C62" i="7"/>
  <c r="C63" i="7"/>
  <c r="C64" i="7"/>
  <c r="C65" i="7"/>
  <c r="C66" i="7"/>
  <c r="C67" i="7"/>
  <c r="D59" i="7"/>
  <c r="D60" i="7"/>
  <c r="D61" i="7"/>
  <c r="D62" i="7"/>
  <c r="D63" i="7"/>
  <c r="D64" i="7"/>
  <c r="D65" i="7"/>
  <c r="D66" i="7"/>
  <c r="B16" i="8"/>
  <c r="C16" i="8" s="1"/>
  <c r="D16" i="8" s="1"/>
  <c r="E16" i="8" s="1"/>
  <c r="B6" i="8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E13" i="7"/>
  <c r="F13" i="7"/>
  <c r="G13" i="7"/>
  <c r="H13" i="7"/>
  <c r="I13" i="7"/>
  <c r="J13" i="7"/>
  <c r="K13" i="7"/>
  <c r="L13" i="7"/>
  <c r="E14" i="7"/>
  <c r="F14" i="7"/>
  <c r="G14" i="7"/>
  <c r="H14" i="7"/>
  <c r="I14" i="7"/>
  <c r="J14" i="7"/>
  <c r="K14" i="7"/>
  <c r="L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B35" i="8"/>
  <c r="C35" i="8"/>
  <c r="B36" i="8"/>
  <c r="C36" i="8"/>
  <c r="B37" i="8"/>
  <c r="D35" i="8"/>
  <c r="D13" i="8"/>
  <c r="L35" i="8"/>
  <c r="L36" i="8"/>
  <c r="M35" i="8"/>
  <c r="B21" i="8"/>
  <c r="C21" i="8"/>
  <c r="D21" i="8"/>
  <c r="B22" i="8"/>
  <c r="C22" i="8"/>
  <c r="D22" i="8"/>
  <c r="B23" i="8"/>
  <c r="C23" i="8"/>
  <c r="D23" i="8"/>
  <c r="B24" i="8"/>
  <c r="C24" i="8"/>
  <c r="B25" i="8"/>
  <c r="E21" i="8"/>
  <c r="E22" i="8"/>
  <c r="E11" i="8"/>
  <c r="E12" i="8"/>
  <c r="D11" i="8"/>
  <c r="F11" i="8"/>
  <c r="D12" i="8"/>
  <c r="C11" i="8"/>
  <c r="C12" i="8"/>
  <c r="C13" i="8"/>
  <c r="C14" i="8"/>
  <c r="C15" i="8"/>
  <c r="D14" i="8" s="1"/>
  <c r="L42" i="17" l="1"/>
  <c r="K40" i="17"/>
  <c r="L39" i="17" s="1"/>
  <c r="K41" i="17"/>
  <c r="L43" i="17"/>
  <c r="L44" i="17"/>
  <c r="E67" i="17"/>
  <c r="D68" i="17" s="1"/>
  <c r="E66" i="17"/>
  <c r="J47" i="17"/>
  <c r="J48" i="17" s="1"/>
  <c r="J50" i="17" s="1"/>
  <c r="L38" i="17"/>
  <c r="K61" i="7"/>
  <c r="K63" i="7"/>
  <c r="K65" i="7"/>
  <c r="K68" i="7"/>
  <c r="K62" i="7"/>
  <c r="J62" i="7" s="1"/>
  <c r="K60" i="7"/>
  <c r="K64" i="7"/>
  <c r="K67" i="7"/>
  <c r="K66" i="7"/>
  <c r="D44" i="14"/>
  <c r="E43" i="14" s="1"/>
  <c r="K64" i="14"/>
  <c r="K61" i="14"/>
  <c r="K66" i="14"/>
  <c r="K60" i="14"/>
  <c r="K59" i="14"/>
  <c r="K67" i="14"/>
  <c r="D44" i="7"/>
  <c r="E43" i="7" s="1"/>
  <c r="E42" i="7"/>
  <c r="F41" i="7" s="1"/>
  <c r="G40" i="7" s="1"/>
  <c r="H39" i="7" s="1"/>
  <c r="I38" i="7" s="1"/>
  <c r="J37" i="7" s="1"/>
  <c r="D15" i="8"/>
  <c r="E15" i="8" s="1"/>
  <c r="E25" i="8" s="1"/>
  <c r="K36" i="15"/>
  <c r="L35" i="15" s="1"/>
  <c r="M34" i="15" s="1"/>
  <c r="E42" i="14"/>
  <c r="F41" i="14" s="1"/>
  <c r="G40" i="14" s="1"/>
  <c r="H39" i="14" s="1"/>
  <c r="I38" i="14" s="1"/>
  <c r="K65" i="15"/>
  <c r="K64" i="15"/>
  <c r="J65" i="15" s="1"/>
  <c r="K63" i="14"/>
  <c r="C16" i="12"/>
  <c r="D16" i="12" s="1"/>
  <c r="E16" i="12" s="1"/>
  <c r="N16" i="12" s="1"/>
  <c r="C15" i="12"/>
  <c r="K62" i="14"/>
  <c r="C33" i="9"/>
  <c r="C34" i="9" s="1"/>
  <c r="K65" i="14"/>
  <c r="K61" i="15"/>
  <c r="J62" i="15" s="1"/>
  <c r="I63" i="15" s="1"/>
  <c r="K66" i="15"/>
  <c r="J67" i="15" s="1"/>
  <c r="J60" i="15"/>
  <c r="G41" i="15"/>
  <c r="H40" i="15" s="1"/>
  <c r="I39" i="15" s="1"/>
  <c r="J38" i="15" s="1"/>
  <c r="K37" i="15" s="1"/>
  <c r="L36" i="15" s="1"/>
  <c r="M35" i="15" s="1"/>
  <c r="N34" i="15" s="1"/>
  <c r="J61" i="15"/>
  <c r="I62" i="15" s="1"/>
  <c r="H63" i="15" s="1"/>
  <c r="E47" i="15"/>
  <c r="E48" i="15" s="1"/>
  <c r="E50" i="15" s="1"/>
  <c r="D15" i="13"/>
  <c r="E15" i="13" s="1"/>
  <c r="F15" i="13" s="1"/>
  <c r="G15" i="13" s="1"/>
  <c r="G28" i="13" s="1"/>
  <c r="D14" i="13"/>
  <c r="F43" i="15"/>
  <c r="G42" i="15" s="1"/>
  <c r="H41" i="15" s="1"/>
  <c r="I40" i="15" s="1"/>
  <c r="J39" i="15" s="1"/>
  <c r="K38" i="15" s="1"/>
  <c r="L37" i="15" s="1"/>
  <c r="M36" i="15" s="1"/>
  <c r="N35" i="15" s="1"/>
  <c r="O34" i="15" s="1"/>
  <c r="F44" i="15"/>
  <c r="F47" i="15"/>
  <c r="F48" i="15" s="1"/>
  <c r="F50" i="15" s="1"/>
  <c r="E13" i="8"/>
  <c r="F13" i="8" s="1"/>
  <c r="G13" i="8" s="1"/>
  <c r="E14" i="8"/>
  <c r="E24" i="8" s="1"/>
  <c r="E36" i="8" s="1"/>
  <c r="D15" i="16"/>
  <c r="E15" i="16" s="1"/>
  <c r="F15" i="16" s="1"/>
  <c r="G15" i="16" s="1"/>
  <c r="G28" i="16" s="1"/>
  <c r="F29" i="16" s="1"/>
  <c r="D27" i="9"/>
  <c r="E26" i="9" s="1"/>
  <c r="E14" i="16"/>
  <c r="F14" i="16" s="1"/>
  <c r="G14" i="16" s="1"/>
  <c r="G27" i="16" s="1"/>
  <c r="E13" i="16"/>
  <c r="F16" i="8"/>
  <c r="G16" i="8" s="1"/>
  <c r="E26" i="8"/>
  <c r="E38" i="8" s="1"/>
  <c r="E14" i="9"/>
  <c r="F14" i="9" s="1"/>
  <c r="G14" i="9" s="1"/>
  <c r="E13" i="9"/>
  <c r="E16" i="13"/>
  <c r="D29" i="9"/>
  <c r="D15" i="9"/>
  <c r="E15" i="9" s="1"/>
  <c r="F15" i="9" s="1"/>
  <c r="G15" i="9" s="1"/>
  <c r="D28" i="9"/>
  <c r="M42" i="17" l="1"/>
  <c r="K47" i="17"/>
  <c r="K48" i="17" s="1"/>
  <c r="K50" i="17" s="1"/>
  <c r="D67" i="17"/>
  <c r="C68" i="17" s="1"/>
  <c r="T68" i="17" s="1"/>
  <c r="M38" i="17"/>
  <c r="M43" i="17"/>
  <c r="M44" i="17"/>
  <c r="L40" i="17"/>
  <c r="M39" i="17" s="1"/>
  <c r="L41" i="17"/>
  <c r="M37" i="17"/>
  <c r="J64" i="14"/>
  <c r="D47" i="14"/>
  <c r="D48" i="14" s="1"/>
  <c r="D50" i="14" s="1"/>
  <c r="E44" i="14"/>
  <c r="F44" i="14" s="1"/>
  <c r="G44" i="14" s="1"/>
  <c r="H44" i="14" s="1"/>
  <c r="I44" i="14" s="1"/>
  <c r="J61" i="7"/>
  <c r="I62" i="7" s="1"/>
  <c r="J68" i="7"/>
  <c r="J65" i="7"/>
  <c r="J66" i="7"/>
  <c r="J63" i="7"/>
  <c r="I63" i="7" s="1"/>
  <c r="J64" i="7"/>
  <c r="J67" i="7"/>
  <c r="J65" i="14"/>
  <c r="I65" i="14" s="1"/>
  <c r="J67" i="14"/>
  <c r="J61" i="14"/>
  <c r="J60" i="14"/>
  <c r="J66" i="14"/>
  <c r="J63" i="14"/>
  <c r="I64" i="14" s="1"/>
  <c r="E44" i="7"/>
  <c r="F44" i="7" s="1"/>
  <c r="D47" i="7"/>
  <c r="F42" i="7"/>
  <c r="G41" i="7" s="1"/>
  <c r="H40" i="7" s="1"/>
  <c r="I39" i="7" s="1"/>
  <c r="J38" i="7" s="1"/>
  <c r="K37" i="7" s="1"/>
  <c r="F15" i="8"/>
  <c r="G15" i="8" s="1"/>
  <c r="F14" i="8"/>
  <c r="G14" i="8" s="1"/>
  <c r="F16" i="12"/>
  <c r="G16" i="12" s="1"/>
  <c r="G30" i="12" s="1"/>
  <c r="F25" i="9"/>
  <c r="D25" i="8"/>
  <c r="N36" i="8" s="1"/>
  <c r="F12" i="8"/>
  <c r="G12" i="8" s="1"/>
  <c r="G43" i="15"/>
  <c r="H42" i="15" s="1"/>
  <c r="I41" i="15" s="1"/>
  <c r="J40" i="15" s="1"/>
  <c r="K39" i="15" s="1"/>
  <c r="L38" i="15" s="1"/>
  <c r="M37" i="15" s="1"/>
  <c r="N36" i="15" s="1"/>
  <c r="O35" i="15" s="1"/>
  <c r="P34" i="15" s="1"/>
  <c r="Q33" i="15" s="1"/>
  <c r="G44" i="15"/>
  <c r="N33" i="15"/>
  <c r="P33" i="15"/>
  <c r="J62" i="14"/>
  <c r="J66" i="15"/>
  <c r="I67" i="15" s="1"/>
  <c r="O33" i="15"/>
  <c r="J37" i="14"/>
  <c r="F42" i="14"/>
  <c r="G41" i="14" s="1"/>
  <c r="H40" i="14" s="1"/>
  <c r="E14" i="13"/>
  <c r="F14" i="13" s="1"/>
  <c r="G14" i="13" s="1"/>
  <c r="G27" i="13" s="1"/>
  <c r="F28" i="13" s="1"/>
  <c r="E13" i="13"/>
  <c r="I61" i="15"/>
  <c r="H62" i="15" s="1"/>
  <c r="G63" i="15" s="1"/>
  <c r="D14" i="12"/>
  <c r="D15" i="12"/>
  <c r="E15" i="12" s="1"/>
  <c r="G47" i="15"/>
  <c r="G48" i="15" s="1"/>
  <c r="G50" i="15" s="1"/>
  <c r="J64" i="15"/>
  <c r="K36" i="7"/>
  <c r="F28" i="16"/>
  <c r="E29" i="16" s="1"/>
  <c r="E23" i="8"/>
  <c r="E35" i="8" s="1"/>
  <c r="E27" i="9"/>
  <c r="D33" i="9"/>
  <c r="D34" i="9" s="1"/>
  <c r="D26" i="8"/>
  <c r="E37" i="8"/>
  <c r="F12" i="9"/>
  <c r="F13" i="9"/>
  <c r="G13" i="9" s="1"/>
  <c r="E29" i="9"/>
  <c r="E28" i="9"/>
  <c r="F16" i="13"/>
  <c r="F12" i="16"/>
  <c r="F13" i="16"/>
  <c r="G13" i="16" s="1"/>
  <c r="G26" i="16" s="1"/>
  <c r="F27" i="16" s="1"/>
  <c r="L47" i="17" l="1"/>
  <c r="L48" i="17" s="1"/>
  <c r="L50" i="17" s="1"/>
  <c r="M40" i="17"/>
  <c r="M41" i="17"/>
  <c r="D48" i="7"/>
  <c r="D50" i="7" s="1"/>
  <c r="I68" i="7"/>
  <c r="I66" i="14"/>
  <c r="H66" i="14" s="1"/>
  <c r="F43" i="14"/>
  <c r="G42" i="14" s="1"/>
  <c r="H41" i="14" s="1"/>
  <c r="I40" i="14" s="1"/>
  <c r="E47" i="14"/>
  <c r="E48" i="14" s="1"/>
  <c r="E50" i="14" s="1"/>
  <c r="I65" i="7"/>
  <c r="I66" i="7"/>
  <c r="H63" i="7"/>
  <c r="I64" i="7"/>
  <c r="E47" i="7"/>
  <c r="E48" i="7" s="1"/>
  <c r="E50" i="7" s="1"/>
  <c r="I67" i="7"/>
  <c r="I61" i="14"/>
  <c r="I67" i="14"/>
  <c r="F43" i="7"/>
  <c r="F47" i="7" s="1"/>
  <c r="F48" i="7" s="1"/>
  <c r="F50" i="7" s="1"/>
  <c r="E28" i="16"/>
  <c r="D29" i="16" s="1"/>
  <c r="L36" i="7"/>
  <c r="G44" i="7"/>
  <c r="C26" i="8"/>
  <c r="D37" i="8"/>
  <c r="G11" i="8"/>
  <c r="D24" i="8"/>
  <c r="C25" i="8" s="1"/>
  <c r="E13" i="12"/>
  <c r="E14" i="12"/>
  <c r="I39" i="14"/>
  <c r="O32" i="15"/>
  <c r="H65" i="14"/>
  <c r="F13" i="13"/>
  <c r="G13" i="13" s="1"/>
  <c r="G26" i="13" s="1"/>
  <c r="F27" i="13" s="1"/>
  <c r="E28" i="13" s="1"/>
  <c r="E40" i="13" s="1"/>
  <c r="F12" i="13"/>
  <c r="L35" i="7"/>
  <c r="I66" i="15"/>
  <c r="H67" i="15" s="1"/>
  <c r="I63" i="14"/>
  <c r="H64" i="14" s="1"/>
  <c r="I62" i="14"/>
  <c r="H43" i="15"/>
  <c r="H44" i="15"/>
  <c r="I65" i="15"/>
  <c r="I64" i="15"/>
  <c r="J44" i="14"/>
  <c r="K36" i="14"/>
  <c r="F15" i="12"/>
  <c r="G15" i="12" s="1"/>
  <c r="G29" i="12" s="1"/>
  <c r="F30" i="12" s="1"/>
  <c r="N15" i="12"/>
  <c r="M16" i="12" s="1"/>
  <c r="F27" i="9"/>
  <c r="G12" i="16"/>
  <c r="G25" i="16" s="1"/>
  <c r="F26" i="16" s="1"/>
  <c r="E27" i="16" s="1"/>
  <c r="G11" i="16"/>
  <c r="G24" i="16" s="1"/>
  <c r="G16" i="13"/>
  <c r="G29" i="13" s="1"/>
  <c r="F29" i="13" s="1"/>
  <c r="E29" i="13" s="1"/>
  <c r="E41" i="13" s="1"/>
  <c r="F26" i="9"/>
  <c r="E33" i="9"/>
  <c r="E34" i="9" s="1"/>
  <c r="F29" i="9"/>
  <c r="F28" i="9"/>
  <c r="G12" i="9"/>
  <c r="G11" i="9"/>
  <c r="N37" i="8"/>
  <c r="M37" i="8" s="1"/>
  <c r="D38" i="8"/>
  <c r="G24" i="9"/>
  <c r="M47" i="17" l="1"/>
  <c r="M48" i="17" s="1"/>
  <c r="M50" i="17" s="1"/>
  <c r="D51" i="17" s="1"/>
  <c r="H67" i="14"/>
  <c r="H68" i="7"/>
  <c r="H66" i="7"/>
  <c r="H65" i="7"/>
  <c r="F47" i="14"/>
  <c r="F48" i="14" s="1"/>
  <c r="F50" i="14" s="1"/>
  <c r="G43" i="14"/>
  <c r="G47" i="14" s="1"/>
  <c r="G48" i="14" s="1"/>
  <c r="G50" i="14" s="1"/>
  <c r="H64" i="7"/>
  <c r="G64" i="7" s="1"/>
  <c r="H67" i="7"/>
  <c r="G68" i="7" s="1"/>
  <c r="G66" i="14"/>
  <c r="J39" i="14"/>
  <c r="G67" i="14"/>
  <c r="G65" i="14"/>
  <c r="G43" i="7"/>
  <c r="H43" i="7" s="1"/>
  <c r="G42" i="7"/>
  <c r="C38" i="8"/>
  <c r="D28" i="16"/>
  <c r="C29" i="16" s="1"/>
  <c r="G26" i="9"/>
  <c r="H44" i="7"/>
  <c r="G27" i="9"/>
  <c r="D36" i="8"/>
  <c r="C37" i="8" s="1"/>
  <c r="N35" i="8"/>
  <c r="M36" i="8" s="1"/>
  <c r="L37" i="8" s="1"/>
  <c r="I43" i="15"/>
  <c r="I44" i="15"/>
  <c r="L35" i="14"/>
  <c r="I42" i="15"/>
  <c r="H47" i="15"/>
  <c r="H48" i="15" s="1"/>
  <c r="H50" i="15" s="1"/>
  <c r="J38" i="14"/>
  <c r="H63" i="14"/>
  <c r="G64" i="14" s="1"/>
  <c r="H62" i="14"/>
  <c r="N14" i="12"/>
  <c r="M15" i="12" s="1"/>
  <c r="L16" i="12" s="1"/>
  <c r="F14" i="12"/>
  <c r="G14" i="12" s="1"/>
  <c r="G28" i="12" s="1"/>
  <c r="F29" i="12" s="1"/>
  <c r="M34" i="7"/>
  <c r="F13" i="12"/>
  <c r="G13" i="12" s="1"/>
  <c r="G27" i="12" s="1"/>
  <c r="F12" i="12"/>
  <c r="N13" i="12"/>
  <c r="F42" i="12"/>
  <c r="O42" i="12"/>
  <c r="K44" i="14"/>
  <c r="H65" i="15"/>
  <c r="H64" i="15"/>
  <c r="G11" i="13"/>
  <c r="G24" i="13" s="1"/>
  <c r="G12" i="13"/>
  <c r="G25" i="13" s="1"/>
  <c r="F26" i="13" s="1"/>
  <c r="E27" i="13" s="1"/>
  <c r="P31" i="15"/>
  <c r="H66" i="15"/>
  <c r="G67" i="15" s="1"/>
  <c r="P32" i="15"/>
  <c r="M35" i="7"/>
  <c r="F25" i="16"/>
  <c r="E26" i="16" s="1"/>
  <c r="D27" i="16" s="1"/>
  <c r="D41" i="13"/>
  <c r="D29" i="13"/>
  <c r="H23" i="9"/>
  <c r="G29" i="9"/>
  <c r="G28" i="9"/>
  <c r="G25" i="9"/>
  <c r="H24" i="9" s="1"/>
  <c r="F33" i="9"/>
  <c r="F34" i="9" s="1"/>
  <c r="B26" i="8"/>
  <c r="F65" i="14" l="1"/>
  <c r="G66" i="7"/>
  <c r="F67" i="14"/>
  <c r="F66" i="14"/>
  <c r="E67" i="14" s="1"/>
  <c r="H43" i="14"/>
  <c r="I43" i="14" s="1"/>
  <c r="H42" i="14"/>
  <c r="I41" i="14" s="1"/>
  <c r="J40" i="14" s="1"/>
  <c r="K39" i="14" s="1"/>
  <c r="K38" i="14"/>
  <c r="G65" i="7"/>
  <c r="F66" i="7" s="1"/>
  <c r="G67" i="7"/>
  <c r="F68" i="7" s="1"/>
  <c r="G63" i="14"/>
  <c r="F64" i="14" s="1"/>
  <c r="E65" i="14" s="1"/>
  <c r="H42" i="7"/>
  <c r="I42" i="7" s="1"/>
  <c r="G47" i="7"/>
  <c r="G48" i="7" s="1"/>
  <c r="G50" i="7" s="1"/>
  <c r="H41" i="7"/>
  <c r="I40" i="7" s="1"/>
  <c r="H27" i="9"/>
  <c r="C28" i="16"/>
  <c r="B29" i="16" s="1"/>
  <c r="H26" i="9"/>
  <c r="I44" i="7"/>
  <c r="I43" i="7"/>
  <c r="F28" i="12"/>
  <c r="E29" i="12" s="1"/>
  <c r="M14" i="12"/>
  <c r="L15" i="12" s="1"/>
  <c r="K16" i="12" s="1"/>
  <c r="G65" i="15"/>
  <c r="F66" i="15" s="1"/>
  <c r="E67" i="15" s="1"/>
  <c r="G64" i="15"/>
  <c r="J41" i="15"/>
  <c r="I47" i="15"/>
  <c r="I48" i="15" s="1"/>
  <c r="I50" i="15" s="1"/>
  <c r="G66" i="15"/>
  <c r="F67" i="15" s="1"/>
  <c r="M34" i="14"/>
  <c r="Q31" i="15"/>
  <c r="Q32" i="15"/>
  <c r="L44" i="14"/>
  <c r="Q30" i="15"/>
  <c r="G12" i="12"/>
  <c r="G26" i="12" s="1"/>
  <c r="F27" i="12" s="1"/>
  <c r="G11" i="12"/>
  <c r="G25" i="12" s="1"/>
  <c r="E39" i="13"/>
  <c r="D40" i="13" s="1"/>
  <c r="C41" i="13" s="1"/>
  <c r="D28" i="13"/>
  <c r="C29" i="13" s="1"/>
  <c r="F41" i="12"/>
  <c r="E42" i="12" s="1"/>
  <c r="E30" i="12"/>
  <c r="O41" i="12"/>
  <c r="N42" i="12" s="1"/>
  <c r="J44" i="15"/>
  <c r="J43" i="15"/>
  <c r="F25" i="13"/>
  <c r="E26" i="13" s="1"/>
  <c r="K37" i="14"/>
  <c r="J42" i="15"/>
  <c r="K41" i="15" s="1"/>
  <c r="H29" i="9"/>
  <c r="H28" i="9"/>
  <c r="G33" i="9"/>
  <c r="G34" i="9" s="1"/>
  <c r="H25" i="9"/>
  <c r="B38" i="8"/>
  <c r="E66" i="14" l="1"/>
  <c r="D66" i="14" s="1"/>
  <c r="I42" i="14"/>
  <c r="I47" i="14" s="1"/>
  <c r="I48" i="14" s="1"/>
  <c r="I50" i="14" s="1"/>
  <c r="J41" i="14"/>
  <c r="K40" i="14" s="1"/>
  <c r="L39" i="14" s="1"/>
  <c r="H47" i="14"/>
  <c r="H48" i="14" s="1"/>
  <c r="H50" i="14" s="1"/>
  <c r="L38" i="14"/>
  <c r="L37" i="14"/>
  <c r="F65" i="7"/>
  <c r="E66" i="7" s="1"/>
  <c r="F67" i="7"/>
  <c r="E68" i="7" s="1"/>
  <c r="I41" i="7"/>
  <c r="J40" i="7" s="1"/>
  <c r="H47" i="7"/>
  <c r="H48" i="7" s="1"/>
  <c r="H50" i="7" s="1"/>
  <c r="J42" i="7"/>
  <c r="D30" i="12"/>
  <c r="F40" i="12"/>
  <c r="E41" i="12" s="1"/>
  <c r="D42" i="12" s="1"/>
  <c r="O40" i="12"/>
  <c r="N41" i="12" s="1"/>
  <c r="M42" i="12" s="1"/>
  <c r="F26" i="12"/>
  <c r="O38" i="12" s="1"/>
  <c r="J44" i="7"/>
  <c r="J43" i="7"/>
  <c r="J39" i="7"/>
  <c r="J43" i="14"/>
  <c r="K40" i="15"/>
  <c r="J47" i="15"/>
  <c r="J48" i="15" s="1"/>
  <c r="J50" i="15" s="1"/>
  <c r="K42" i="15"/>
  <c r="L41" i="15" s="1"/>
  <c r="M44" i="14"/>
  <c r="F65" i="15"/>
  <c r="E66" i="15" s="1"/>
  <c r="D67" i="15" s="1"/>
  <c r="F64" i="15"/>
  <c r="E65" i="15" s="1"/>
  <c r="D66" i="15" s="1"/>
  <c r="C67" i="15" s="1"/>
  <c r="E28" i="12"/>
  <c r="D29" i="12" s="1"/>
  <c r="F39" i="12"/>
  <c r="O39" i="12"/>
  <c r="N33" i="14"/>
  <c r="K43" i="15"/>
  <c r="L42" i="15" s="1"/>
  <c r="M41" i="15" s="1"/>
  <c r="K44" i="15"/>
  <c r="L36" i="14"/>
  <c r="L40" i="15"/>
  <c r="D27" i="13"/>
  <c r="C28" i="13" s="1"/>
  <c r="B29" i="13" s="1"/>
  <c r="E38" i="13"/>
  <c r="D39" i="13" s="1"/>
  <c r="H33" i="9"/>
  <c r="H34" i="9" s="1"/>
  <c r="E67" i="7" l="1"/>
  <c r="J42" i="14"/>
  <c r="K41" i="14" s="1"/>
  <c r="L40" i="14" s="1"/>
  <c r="M39" i="14" s="1"/>
  <c r="M38" i="14"/>
  <c r="M37" i="14"/>
  <c r="N37" i="14" s="1"/>
  <c r="D67" i="14"/>
  <c r="C40" i="13"/>
  <c r="B41" i="13" s="1"/>
  <c r="I47" i="7"/>
  <c r="I48" i="7" s="1"/>
  <c r="I50" i="7" s="1"/>
  <c r="J41" i="7"/>
  <c r="K40" i="7" s="1"/>
  <c r="J47" i="14"/>
  <c r="J48" i="14" s="1"/>
  <c r="J50" i="14" s="1"/>
  <c r="K39" i="7"/>
  <c r="K42" i="7"/>
  <c r="C30" i="12"/>
  <c r="E40" i="12"/>
  <c r="D41" i="12" s="1"/>
  <c r="C42" i="12" s="1"/>
  <c r="N40" i="12"/>
  <c r="M41" i="12" s="1"/>
  <c r="L42" i="12" s="1"/>
  <c r="E27" i="12"/>
  <c r="D28" i="12" s="1"/>
  <c r="C29" i="12" s="1"/>
  <c r="F38" i="12"/>
  <c r="E39" i="12" s="1"/>
  <c r="K43" i="7"/>
  <c r="K44" i="7"/>
  <c r="K38" i="7"/>
  <c r="L39" i="15"/>
  <c r="K47" i="15"/>
  <c r="K48" i="15" s="1"/>
  <c r="K50" i="15" s="1"/>
  <c r="M39" i="15"/>
  <c r="N44" i="14"/>
  <c r="M40" i="15"/>
  <c r="N40" i="15" s="1"/>
  <c r="M35" i="14"/>
  <c r="L44" i="15"/>
  <c r="L43" i="15"/>
  <c r="M42" i="15" s="1"/>
  <c r="N41" i="15" s="1"/>
  <c r="K42" i="14"/>
  <c r="K43" i="14"/>
  <c r="N39" i="12"/>
  <c r="M36" i="14"/>
  <c r="N38" i="14" l="1"/>
  <c r="C67" i="14"/>
  <c r="C69" i="14" s="1"/>
  <c r="K41" i="7"/>
  <c r="L40" i="7" s="1"/>
  <c r="J47" i="7"/>
  <c r="J48" i="7" s="1"/>
  <c r="J50" i="7" s="1"/>
  <c r="D68" i="7"/>
  <c r="L39" i="7"/>
  <c r="L42" i="7"/>
  <c r="B30" i="12"/>
  <c r="D67" i="7"/>
  <c r="D40" i="12"/>
  <c r="C41" i="12" s="1"/>
  <c r="B42" i="12" s="1"/>
  <c r="C44" i="12" s="1"/>
  <c r="M40" i="12"/>
  <c r="L41" i="12" s="1"/>
  <c r="K42" i="12" s="1"/>
  <c r="L44" i="12" s="1"/>
  <c r="L37" i="7"/>
  <c r="L44" i="7"/>
  <c r="L43" i="7"/>
  <c r="L38" i="7"/>
  <c r="L41" i="14"/>
  <c r="K47" i="14"/>
  <c r="K48" i="14" s="1"/>
  <c r="K50" i="14" s="1"/>
  <c r="N34" i="14"/>
  <c r="M38" i="15"/>
  <c r="L47" i="15"/>
  <c r="L48" i="15" s="1"/>
  <c r="L50" i="15" s="1"/>
  <c r="O40" i="15"/>
  <c r="M44" i="15"/>
  <c r="M43" i="15"/>
  <c r="N42" i="15" s="1"/>
  <c r="O41" i="15" s="1"/>
  <c r="P40" i="15" s="1"/>
  <c r="N39" i="15"/>
  <c r="N35" i="14"/>
  <c r="N36" i="14"/>
  <c r="L42" i="14"/>
  <c r="L43" i="14"/>
  <c r="L41" i="7" l="1"/>
  <c r="M40" i="7" s="1"/>
  <c r="K47" i="7"/>
  <c r="K48" i="7" s="1"/>
  <c r="K50" i="7" s="1"/>
  <c r="C68" i="7"/>
  <c r="T68" i="7" s="1"/>
  <c r="M41" i="14"/>
  <c r="M39" i="7"/>
  <c r="M42" i="7"/>
  <c r="M44" i="7"/>
  <c r="M43" i="7"/>
  <c r="M37" i="7"/>
  <c r="M38" i="7"/>
  <c r="M36" i="7"/>
  <c r="N37" i="15"/>
  <c r="M47" i="15"/>
  <c r="M48" i="15" s="1"/>
  <c r="M50" i="15" s="1"/>
  <c r="N43" i="15"/>
  <c r="O42" i="15" s="1"/>
  <c r="P41" i="15" s="1"/>
  <c r="Q40" i="15" s="1"/>
  <c r="N44" i="15"/>
  <c r="N38" i="15"/>
  <c r="O37" i="15" s="1"/>
  <c r="M40" i="14"/>
  <c r="L47" i="14"/>
  <c r="L48" i="14" s="1"/>
  <c r="L50" i="14" s="1"/>
  <c r="M42" i="14"/>
  <c r="M43" i="14"/>
  <c r="O39" i="15"/>
  <c r="L47" i="7" l="1"/>
  <c r="L48" i="7" s="1"/>
  <c r="L50" i="7" s="1"/>
  <c r="M41" i="7"/>
  <c r="M47" i="7" s="1"/>
  <c r="M48" i="7" s="1"/>
  <c r="M50" i="7" s="1"/>
  <c r="N41" i="14"/>
  <c r="O43" i="15"/>
  <c r="P42" i="15" s="1"/>
  <c r="Q41" i="15" s="1"/>
  <c r="O44" i="15"/>
  <c r="N42" i="14"/>
  <c r="N43" i="14"/>
  <c r="N39" i="14"/>
  <c r="M47" i="14"/>
  <c r="M48" i="14" s="1"/>
  <c r="M50" i="14" s="1"/>
  <c r="P39" i="15"/>
  <c r="P36" i="15"/>
  <c r="O38" i="15"/>
  <c r="P37" i="15" s="1"/>
  <c r="N40" i="14"/>
  <c r="O36" i="15"/>
  <c r="N47" i="15"/>
  <c r="N48" i="15" s="1"/>
  <c r="N50" i="15" s="1"/>
  <c r="D51" i="7" l="1"/>
  <c r="P43" i="15"/>
  <c r="Q42" i="15" s="1"/>
  <c r="P44" i="15"/>
  <c r="N47" i="14"/>
  <c r="N48" i="14" s="1"/>
  <c r="N50" i="14" s="1"/>
  <c r="P35" i="15"/>
  <c r="O47" i="15"/>
  <c r="O48" i="15" s="1"/>
  <c r="O50" i="15" s="1"/>
  <c r="P38" i="15"/>
  <c r="Q37" i="15" s="1"/>
  <c r="Q36" i="15"/>
  <c r="Q38" i="15"/>
  <c r="Q39" i="15"/>
  <c r="Q43" i="15" l="1"/>
  <c r="Q44" i="15"/>
  <c r="Q34" i="15"/>
  <c r="Q47" i="15" s="1"/>
  <c r="Q48" i="15" s="1"/>
  <c r="Q50" i="15" s="1"/>
  <c r="D51" i="15" s="1"/>
  <c r="P47" i="15"/>
  <c r="P48" i="15" s="1"/>
  <c r="P50" i="15" s="1"/>
  <c r="Q35" i="15"/>
  <c r="D51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500-000001000000}">
      <text>
        <r>
          <rPr>
            <b/>
            <sz val="8"/>
            <color rgb="FF000000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D51" authorId="0" shapeId="0" xr:uid="{00000000-0006-0000-0500-000002000000}">
      <text>
        <r>
          <rPr>
            <b/>
            <sz val="8"/>
            <color rgb="FF000000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22EED06B-EB5C-414F-BCCF-D8FD553D7E30}">
      <text>
        <r>
          <rPr>
            <b/>
            <sz val="8"/>
            <color rgb="FF000000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D51" authorId="0" shapeId="0" xr:uid="{8F962F56-E260-5B40-9250-B4CB013CFF37}">
      <text>
        <r>
          <rPr>
            <b/>
            <sz val="8"/>
            <color rgb="FF000000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600-000001000000}">
      <text>
        <r>
          <rPr>
            <b/>
            <sz val="8"/>
            <color rgb="FF000000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D51" authorId="0" shapeId="0" xr:uid="{00000000-0006-0000-0600-000002000000}">
      <text>
        <r>
          <rPr>
            <b/>
            <sz val="8"/>
            <color rgb="FF000000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700-000002000000}">
      <text>
        <r>
          <rPr>
            <b/>
            <sz val="8"/>
            <color rgb="FF000000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<sst xmlns="http://schemas.openxmlformats.org/spreadsheetml/2006/main" count="175" uniqueCount="49">
  <si>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</si>
  <si>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</si>
  <si>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</si>
  <si>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</si>
  <si>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</si>
  <si>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</si>
  <si>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</si>
  <si>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</si>
  <si>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</si>
  <si>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</si>
  <si>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</si>
  <si>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</si>
  <si>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</si>
  <si>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</si>
  <si>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</si>
  <si>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</si>
  <si>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</si>
  <si>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</si>
  <si>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</si>
  <si>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</si>
  <si>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</si>
  <si>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</si>
  <si>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</si>
  <si>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</si>
  <si>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</si>
  <si>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</si>
  <si>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</si>
  <si>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</si>
  <si>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</si>
  <si>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</si>
  <si>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</si>
  <si>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</si>
  <si>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</si>
  <si>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</si>
  <si>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</si>
  <si>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</si>
  <si>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</si>
  <si>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</si>
  <si>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</si>
  <si>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</si>
  <si>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</si>
  <si>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</si>
  <si>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</si>
  <si>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</si>
  <si>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</si>
  <si>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</si>
  <si>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</si>
  <si>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Swaption:  Expiration t = 3</t>
  </si>
  <si>
    <t>Caplet With Expiration t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</si>
</sst>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00"/>
    <numFmt numFmtId="166" formatCode="0.0%"/>
    <numFmt numFmtId="167" formatCode="0.0000000"/>
    <numFmt numFmtId="168" formatCode="0.00000"/>
  </numFmts>
  <fonts count="14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  <font>
      <sz val="10"/>
      <name val="Times New Roman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2" fillId="0" borderId="14" xfId="0" applyNumberFormat="1" applyFon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43" fontId="0" fillId="0" borderId="0" xfId="10" applyFont="1"/>
    <xf numFmtId="43" fontId="0" fillId="0" borderId="0" xfId="0" applyNumberFormat="1"/>
  </cellXfs>
  <cellStyles count="11">
    <cellStyle name="Comma" xfId="10" builtinId="3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 xr:uid="{00000000-0005-0000-0000-000007000000}"/>
    <cellStyle name="Per cent" xfId="1" builtinId="5"/>
    <cellStyle name="Percent 2" xfId="3" xr:uid="{00000000-0005-0000-0000-00000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Q46"/>
  <sheetViews>
    <sheetView showGridLines="0" zoomScaleNormal="100" zoomScalePageLayoutView="175" workbookViewId="0">
      <selection activeCell="C44" sqref="C44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7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11" ht="14" thickBot="1" x14ac:dyDescent="0.2">
      <c r="A1" s="115" t="s">
        <v>35</v>
      </c>
      <c r="B1" s="114"/>
      <c r="E1" s="1"/>
    </row>
    <row r="2" spans="1:11" x14ac:dyDescent="0.15">
      <c r="A2" s="25" t="s">
        <v>2</v>
      </c>
      <c r="B2" s="38">
        <v>0.06</v>
      </c>
    </row>
    <row r="3" spans="1:11" x14ac:dyDescent="0.15">
      <c r="A3" s="26" t="s">
        <v>3</v>
      </c>
      <c r="B3" s="34">
        <v>1.25</v>
      </c>
    </row>
    <row r="4" spans="1:11" x14ac:dyDescent="0.15">
      <c r="A4" s="26" t="s">
        <v>4</v>
      </c>
      <c r="B4" s="35">
        <v>0.9</v>
      </c>
    </row>
    <row r="5" spans="1:11" x14ac:dyDescent="0.15">
      <c r="A5" s="26" t="s">
        <v>5</v>
      </c>
      <c r="B5" s="36">
        <v>0.5</v>
      </c>
      <c r="F5" s="1"/>
    </row>
    <row r="6" spans="1:11" ht="14" thickBot="1" x14ac:dyDescent="0.2">
      <c r="A6" s="27" t="s">
        <v>6</v>
      </c>
      <c r="B6" s="37">
        <f>1-B5</f>
        <v>0.5</v>
      </c>
    </row>
    <row r="7" spans="1:11" x14ac:dyDescent="0.15">
      <c r="C7" s="7"/>
      <c r="D7" s="7"/>
      <c r="E7" s="7"/>
      <c r="F7" s="7"/>
      <c r="G7" s="7"/>
      <c r="H7" s="7"/>
      <c r="I7" s="7"/>
      <c r="J7" s="7"/>
      <c r="K7" s="7"/>
    </row>
    <row r="8" spans="1:11" ht="14" thickBot="1" x14ac:dyDescent="0.2">
      <c r="A8" s="10"/>
      <c r="B8" s="10"/>
      <c r="C8" s="10"/>
      <c r="D8" s="10"/>
      <c r="E8" s="10"/>
      <c r="F8" s="10"/>
      <c r="G8" s="10"/>
    </row>
    <row r="9" spans="1:11" ht="14" thickBot="1" x14ac:dyDescent="0.2">
      <c r="A9" s="116" t="s">
        <v>32</v>
      </c>
      <c r="B9" s="117"/>
      <c r="C9" s="61"/>
      <c r="D9" s="61"/>
      <c r="E9" s="61"/>
      <c r="F9" s="61"/>
      <c r="G9" s="62"/>
    </row>
    <row r="10" spans="1:11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5">
        <v>5</v>
      </c>
    </row>
    <row r="11" spans="1:11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9">
        <f t="shared" ca="1" si="0"/>
        <v>0.18310546875</v>
      </c>
      <c r="H11" s="7"/>
      <c r="I11" s="7"/>
      <c r="J11" s="7"/>
      <c r="K11" s="7"/>
    </row>
    <row r="12" spans="1:11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9">
        <f t="shared" ca="1" si="0"/>
        <v>0.1318359375</v>
      </c>
      <c r="H12" s="7"/>
      <c r="I12" s="7"/>
      <c r="J12" s="7"/>
      <c r="K12" s="7"/>
    </row>
    <row r="13" spans="1:11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9">
        <f t="shared" ca="1" si="0"/>
        <v>9.4921875000000003E-2</v>
      </c>
      <c r="H13" s="7"/>
      <c r="I13" s="7"/>
      <c r="J13" s="7"/>
      <c r="K13" s="7"/>
    </row>
    <row r="14" spans="1:11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9">
        <f t="shared" ca="1" si="0"/>
        <v>6.8343750000000009E-2</v>
      </c>
      <c r="H14" s="7"/>
      <c r="I14" s="7"/>
      <c r="J14" s="7"/>
      <c r="K14" s="7"/>
    </row>
    <row r="15" spans="1:11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9">
        <f t="shared" ca="1" si="0"/>
        <v>4.9207500000000008E-2</v>
      </c>
      <c r="H15" s="7"/>
      <c r="I15" s="7"/>
      <c r="J15" s="7"/>
      <c r="K15" s="7"/>
    </row>
    <row r="16" spans="1:11" ht="14" thickBot="1" x14ac:dyDescent="0.2">
      <c r="A16" s="70">
        <v>0</v>
      </c>
      <c r="B16" s="71">
        <f>$B$2</f>
        <v>0.06</v>
      </c>
      <c r="C16" s="72">
        <f t="shared" ca="1" si="0"/>
        <v>5.3999999999999999E-2</v>
      </c>
      <c r="D16" s="71">
        <f t="shared" ca="1" si="0"/>
        <v>4.8599999999999997E-2</v>
      </c>
      <c r="E16" s="71">
        <f t="shared" ca="1" si="0"/>
        <v>4.3740000000000001E-2</v>
      </c>
      <c r="F16" s="71">
        <f t="shared" ca="1" si="0"/>
        <v>3.9366000000000005E-2</v>
      </c>
      <c r="G16" s="73">
        <f t="shared" ca="1" si="0"/>
        <v>3.5429400000000007E-2</v>
      </c>
      <c r="H16" s="7"/>
      <c r="I16" s="7"/>
      <c r="J16" s="7"/>
      <c r="K16" s="7"/>
    </row>
    <row r="17" spans="1:17" x14ac:dyDescent="0.15">
      <c r="C17" s="7"/>
      <c r="D17" s="7"/>
      <c r="E17" s="7"/>
      <c r="F17" s="7"/>
      <c r="G17" s="7"/>
      <c r="H17" s="7"/>
      <c r="I17" s="7"/>
      <c r="J17" s="7"/>
      <c r="K17" s="7"/>
    </row>
    <row r="18" spans="1:17" ht="14" thickBot="1" x14ac:dyDescent="0.2">
      <c r="A18" s="1"/>
      <c r="J18" s="1"/>
    </row>
    <row r="19" spans="1:17" ht="14" thickBot="1" x14ac:dyDescent="0.2">
      <c r="A19" s="118" t="s">
        <v>39</v>
      </c>
      <c r="B19" s="119"/>
      <c r="C19" s="12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t="s">
        <v>7</v>
      </c>
    </row>
    <row r="20" spans="1:17" x14ac:dyDescent="0.15">
      <c r="A20" s="48"/>
      <c r="B20" s="50">
        <v>0</v>
      </c>
      <c r="C20" s="50">
        <v>1</v>
      </c>
      <c r="D20" s="50">
        <v>2</v>
      </c>
      <c r="E20" s="50">
        <v>3</v>
      </c>
      <c r="F20" s="50">
        <v>4</v>
      </c>
      <c r="G20" s="50"/>
      <c r="H20" s="50"/>
      <c r="I20" s="50"/>
      <c r="J20" s="50"/>
      <c r="K20" s="50"/>
      <c r="P20" s="24"/>
    </row>
    <row r="21" spans="1:17" x14ac:dyDescent="0.15">
      <c r="A21" s="48">
        <v>5</v>
      </c>
      <c r="B21" s="49" t="str">
        <f t="shared" ref="B21:E26" si="1">IF($A21 &lt;=B$20,($B$5*C20 + $B$6*C21)/(1+B11), "")</f>
        <v/>
      </c>
      <c r="C21" s="49" t="str">
        <f t="shared" si="1"/>
        <v/>
      </c>
      <c r="D21" s="49" t="str">
        <f t="shared" si="1"/>
        <v/>
      </c>
      <c r="E21" s="49" t="str">
        <f t="shared" si="1"/>
        <v/>
      </c>
      <c r="F21" s="49"/>
      <c r="G21" s="57"/>
      <c r="H21" s="57"/>
      <c r="I21" s="57"/>
      <c r="J21" s="50"/>
      <c r="K21" s="50"/>
      <c r="P21" s="24"/>
    </row>
    <row r="22" spans="1:17" x14ac:dyDescent="0.15">
      <c r="A22" s="48">
        <v>4</v>
      </c>
      <c r="B22" s="49" t="str">
        <f t="shared" si="1"/>
        <v/>
      </c>
      <c r="C22" s="49" t="str">
        <f t="shared" si="1"/>
        <v/>
      </c>
      <c r="D22" s="49" t="str">
        <f t="shared" si="1"/>
        <v/>
      </c>
      <c r="E22" s="49" t="str">
        <f t="shared" si="1"/>
        <v/>
      </c>
      <c r="F22" s="49">
        <v>100</v>
      </c>
      <c r="G22" s="57"/>
      <c r="H22" s="57"/>
      <c r="I22" s="57"/>
      <c r="J22" s="50"/>
      <c r="K22" s="50"/>
      <c r="P22" s="24"/>
    </row>
    <row r="23" spans="1:17" x14ac:dyDescent="0.15">
      <c r="A23" s="48">
        <v>3</v>
      </c>
      <c r="B23" s="49" t="str">
        <f t="shared" si="1"/>
        <v/>
      </c>
      <c r="C23" s="49" t="str">
        <f t="shared" si="1"/>
        <v/>
      </c>
      <c r="D23" s="49" t="str">
        <f t="shared" si="1"/>
        <v/>
      </c>
      <c r="E23" s="49">
        <f t="shared" ca="1" si="1"/>
        <v>89.510489510489506</v>
      </c>
      <c r="F23" s="49">
        <v>100</v>
      </c>
      <c r="G23" s="57"/>
      <c r="H23" s="57"/>
      <c r="I23" s="57"/>
      <c r="J23" s="50"/>
      <c r="K23" s="50"/>
      <c r="P23" s="24"/>
    </row>
    <row r="24" spans="1:17" x14ac:dyDescent="0.15">
      <c r="A24" s="48">
        <v>2</v>
      </c>
      <c r="B24" s="49" t="str">
        <f t="shared" si="1"/>
        <v/>
      </c>
      <c r="C24" s="49" t="str">
        <f t="shared" si="1"/>
        <v/>
      </c>
      <c r="D24" s="49">
        <f t="shared" ca="1" si="1"/>
        <v>83.076347283840079</v>
      </c>
      <c r="E24" s="49">
        <f t="shared" ca="1" si="1"/>
        <v>92.21902017291066</v>
      </c>
      <c r="F24" s="49">
        <v>100</v>
      </c>
      <c r="G24" s="57"/>
      <c r="H24" s="57"/>
      <c r="I24" s="57"/>
      <c r="J24" s="50"/>
      <c r="K24" s="50"/>
      <c r="P24" s="24"/>
    </row>
    <row r="25" spans="1:17" x14ac:dyDescent="0.15">
      <c r="A25" s="48">
        <v>1</v>
      </c>
      <c r="B25" s="49" t="str">
        <f t="shared" si="1"/>
        <v/>
      </c>
      <c r="C25" s="49">
        <f t="shared" ca="1" si="1"/>
        <v>79.268001029924179</v>
      </c>
      <c r="D25" s="49">
        <f t="shared" ca="1" si="1"/>
        <v>87.349854930496903</v>
      </c>
      <c r="E25" s="49">
        <f t="shared" ca="1" si="1"/>
        <v>94.272920103700201</v>
      </c>
      <c r="F25" s="49">
        <v>100</v>
      </c>
      <c r="G25" s="57"/>
      <c r="H25" s="57"/>
      <c r="I25" s="57"/>
      <c r="J25" s="50"/>
      <c r="K25" s="50"/>
      <c r="P25" s="24"/>
    </row>
    <row r="26" spans="1:17" x14ac:dyDescent="0.15">
      <c r="A26" s="48">
        <v>0</v>
      </c>
      <c r="B26" s="49">
        <f t="shared" ca="1" si="1"/>
        <v>77.217740328716005</v>
      </c>
      <c r="C26" s="49">
        <f t="shared" ca="1" si="1"/>
        <v>84.433608466953771</v>
      </c>
      <c r="D26" s="49">
        <f t="shared" ca="1" si="1"/>
        <v>90.636191717841641</v>
      </c>
      <c r="E26" s="23">
        <f t="shared" ca="1" si="1"/>
        <v>95.809301166957283</v>
      </c>
      <c r="F26" s="49">
        <v>100</v>
      </c>
      <c r="G26" s="57" t="s">
        <v>7</v>
      </c>
      <c r="H26" s="57"/>
      <c r="I26" s="57"/>
      <c r="J26" s="50"/>
      <c r="K26" s="50"/>
      <c r="P26" s="24"/>
    </row>
    <row r="27" spans="1:17" x14ac:dyDescent="0.15">
      <c r="A27" s="48"/>
      <c r="B27" s="57"/>
      <c r="C27" s="57"/>
      <c r="D27" s="57"/>
      <c r="E27" s="57"/>
      <c r="F27" s="57"/>
      <c r="G27" s="57"/>
      <c r="H27" s="57"/>
      <c r="I27" s="57"/>
      <c r="J27" s="50"/>
      <c r="K27" s="50"/>
      <c r="P27" s="24"/>
    </row>
    <row r="28" spans="1:17" ht="14" thickBot="1" x14ac:dyDescent="0.2">
      <c r="A28" s="48"/>
      <c r="B28" s="50"/>
      <c r="C28" s="5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24"/>
    </row>
    <row r="29" spans="1:17" ht="14" thickBot="1" x14ac:dyDescent="0.2">
      <c r="A29" s="113" t="s">
        <v>1</v>
      </c>
      <c r="B29" s="114"/>
      <c r="C29" s="57"/>
      <c r="D29" s="50"/>
      <c r="E29" s="50"/>
      <c r="F29" s="50"/>
      <c r="G29" s="50"/>
      <c r="H29" s="50"/>
      <c r="I29" s="50"/>
      <c r="J29" s="50"/>
      <c r="K29" s="113" t="s">
        <v>0</v>
      </c>
      <c r="L29" s="114"/>
      <c r="M29" s="50"/>
      <c r="N29" s="50"/>
      <c r="O29" s="50"/>
      <c r="P29" s="24"/>
    </row>
    <row r="30" spans="1:17" x14ac:dyDescent="0.15">
      <c r="A30" s="28" t="s">
        <v>33</v>
      </c>
      <c r="B30" s="31">
        <v>3</v>
      </c>
      <c r="C30" s="50"/>
      <c r="D30" s="50"/>
      <c r="E30" s="50"/>
      <c r="F30" s="50"/>
      <c r="G30" s="50"/>
      <c r="H30" s="50"/>
      <c r="I30" s="50"/>
      <c r="J30" s="50"/>
      <c r="K30" s="28" t="s">
        <v>33</v>
      </c>
      <c r="L30" s="31">
        <v>2</v>
      </c>
      <c r="M30" s="50"/>
      <c r="N30" s="50"/>
      <c r="O30" s="50"/>
      <c r="P30" s="24"/>
    </row>
    <row r="31" spans="1:17" x14ac:dyDescent="0.15">
      <c r="A31" s="29" t="s">
        <v>34</v>
      </c>
      <c r="B31" s="32">
        <v>88</v>
      </c>
      <c r="C31" s="50"/>
      <c r="D31" s="50"/>
      <c r="E31" s="50"/>
      <c r="F31" s="50"/>
      <c r="G31" s="50"/>
      <c r="H31" s="50"/>
      <c r="I31" s="50"/>
      <c r="J31" s="50"/>
      <c r="K31" s="29" t="s">
        <v>34</v>
      </c>
      <c r="L31" s="32">
        <v>84</v>
      </c>
      <c r="M31" s="50"/>
      <c r="N31" s="50"/>
      <c r="O31" s="50"/>
      <c r="P31" s="24"/>
    </row>
    <row r="32" spans="1:17" ht="14" thickBot="1" x14ac:dyDescent="0.2">
      <c r="A32" s="30" t="s">
        <v>8</v>
      </c>
      <c r="B32" s="33">
        <v>-1</v>
      </c>
      <c r="C32" s="50"/>
      <c r="D32" s="59"/>
      <c r="E32" s="50"/>
      <c r="F32" s="50"/>
      <c r="G32" s="50"/>
      <c r="H32" s="50"/>
      <c r="I32" s="50"/>
      <c r="J32" s="50"/>
      <c r="K32" s="30" t="s">
        <v>8</v>
      </c>
      <c r="L32" s="33">
        <v>1</v>
      </c>
      <c r="M32" s="50"/>
      <c r="N32" s="50"/>
      <c r="O32" s="50"/>
      <c r="P32" s="24"/>
    </row>
    <row r="33" spans="1:16" x14ac:dyDescent="0.15">
      <c r="A33" s="4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24"/>
    </row>
    <row r="34" spans="1:16" x14ac:dyDescent="0.15">
      <c r="A34" s="48"/>
      <c r="B34" s="50">
        <v>0</v>
      </c>
      <c r="C34" s="50">
        <v>1</v>
      </c>
      <c r="D34" s="50">
        <v>2</v>
      </c>
      <c r="E34" s="50">
        <v>3</v>
      </c>
      <c r="F34" s="50"/>
      <c r="G34" s="50"/>
      <c r="H34" s="50"/>
      <c r="I34" s="50"/>
      <c r="J34" s="50"/>
      <c r="K34" s="58"/>
      <c r="L34" s="58">
        <v>0</v>
      </c>
      <c r="M34" s="58">
        <v>1</v>
      </c>
      <c r="N34" s="58">
        <v>2</v>
      </c>
      <c r="O34" s="50"/>
      <c r="P34" s="24"/>
    </row>
    <row r="35" spans="1:16" x14ac:dyDescent="0.15">
      <c r="A35" s="48">
        <v>3</v>
      </c>
      <c r="B35" s="49" t="str">
        <f t="shared" ref="B35:D38" si="2">IF($A35 &lt;=B$34, MAX($B$32*(B23-$B$31), ( $B$5*C34 + $B$6*C35   )/(1+B13 )),"")</f>
        <v/>
      </c>
      <c r="C35" s="49" t="str">
        <f t="shared" si="2"/>
        <v/>
      </c>
      <c r="D35" s="49" t="str">
        <f t="shared" si="2"/>
        <v/>
      </c>
      <c r="E35" s="49">
        <f ca="1">MAX(0, $B$32*(E23-$B$31))</f>
        <v>0</v>
      </c>
      <c r="F35" s="50"/>
      <c r="G35" s="50"/>
      <c r="H35" s="50"/>
      <c r="I35" s="50"/>
      <c r="J35" s="50"/>
      <c r="K35" s="58">
        <v>2</v>
      </c>
      <c r="L35" s="49" t="str">
        <f t="shared" ref="L35:M37" si="3">IF($A24 &lt;= L$34, ($B$5*M34 + $B$6*M35  )/(1+B14),"")</f>
        <v/>
      </c>
      <c r="M35" s="49" t="str">
        <f t="shared" si="3"/>
        <v/>
      </c>
      <c r="N35" s="49">
        <f ca="1">MAX(0,$L$32*(D24-$L$31))</f>
        <v>0</v>
      </c>
      <c r="O35" s="50"/>
      <c r="P35" s="24"/>
    </row>
    <row r="36" spans="1:16" x14ac:dyDescent="0.15">
      <c r="A36" s="48">
        <v>2</v>
      </c>
      <c r="B36" s="49" t="str">
        <f t="shared" si="2"/>
        <v/>
      </c>
      <c r="C36" s="49" t="str">
        <f t="shared" si="2"/>
        <v/>
      </c>
      <c r="D36" s="49">
        <f t="shared" ca="1" si="2"/>
        <v>4.9236527161599213</v>
      </c>
      <c r="E36" s="49">
        <f ca="1">MAX(0, $B$32*(E24-$B$31))</f>
        <v>0</v>
      </c>
      <c r="F36" s="50"/>
      <c r="G36" s="50"/>
      <c r="H36" s="50"/>
      <c r="I36" s="50"/>
      <c r="J36" s="50"/>
      <c r="K36" s="58">
        <v>1</v>
      </c>
      <c r="L36" s="49" t="str">
        <f t="shared" si="3"/>
        <v/>
      </c>
      <c r="M36" s="49">
        <f t="shared" ca="1" si="3"/>
        <v>1.5580720606962342</v>
      </c>
      <c r="N36" s="49">
        <f ca="1">MAX(0,$L$32*(D25-$L$31))</f>
        <v>3.3498549304969032</v>
      </c>
      <c r="O36" s="50"/>
      <c r="P36" s="24"/>
    </row>
    <row r="37" spans="1:16" x14ac:dyDescent="0.15">
      <c r="A37" s="48">
        <v>1</v>
      </c>
      <c r="B37" s="49" t="str">
        <f t="shared" si="2"/>
        <v/>
      </c>
      <c r="C37" s="49">
        <f t="shared" ca="1" si="2"/>
        <v>8.7319989700758214</v>
      </c>
      <c r="D37" s="49">
        <f t="shared" ca="1" si="2"/>
        <v>0.65014506950309681</v>
      </c>
      <c r="E37" s="49">
        <f ca="1">MAX(0, $B$32*(E25-$B$31))</f>
        <v>0</v>
      </c>
      <c r="F37" s="50"/>
      <c r="G37" s="50"/>
      <c r="H37" s="50"/>
      <c r="I37" s="50"/>
      <c r="J37" s="50"/>
      <c r="K37" s="58">
        <v>0</v>
      </c>
      <c r="L37" s="49">
        <f t="shared" ca="1" si="3"/>
        <v>2.9694744531806512</v>
      </c>
      <c r="M37" s="23">
        <f t="shared" ca="1" si="3"/>
        <v>4.7372137800467469</v>
      </c>
      <c r="N37" s="49">
        <f ca="1">MAX(0,$L$32*(D26-$L$31))</f>
        <v>6.6361917178416405</v>
      </c>
      <c r="O37" s="50"/>
      <c r="P37" s="24"/>
    </row>
    <row r="38" spans="1:16" ht="14" thickBot="1" x14ac:dyDescent="0.2">
      <c r="A38" s="53">
        <v>0</v>
      </c>
      <c r="B38" s="55">
        <f t="shared" ca="1" si="2"/>
        <v>10.782259671283995</v>
      </c>
      <c r="C38" s="55">
        <f t="shared" ca="1" si="2"/>
        <v>3.5663915330462288</v>
      </c>
      <c r="D38" s="54">
        <f t="shared" ca="1" si="2"/>
        <v>0</v>
      </c>
      <c r="E38" s="55">
        <f ca="1">MAX(0, $B$32*(E26-$B$31))</f>
        <v>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60"/>
    </row>
    <row r="39" spans="1:16" x14ac:dyDescent="0.15">
      <c r="B39" s="5"/>
      <c r="C39" s="5"/>
      <c r="D39" s="2"/>
      <c r="E39" s="5"/>
    </row>
    <row r="40" spans="1:16" x14ac:dyDescent="0.15">
      <c r="B40" s="5"/>
      <c r="C40" s="5"/>
      <c r="D40" s="2"/>
      <c r="E40" s="5"/>
    </row>
    <row r="43" spans="1:16" x14ac:dyDescent="0.15">
      <c r="B43" s="6" t="s">
        <v>7</v>
      </c>
      <c r="C43" s="3"/>
      <c r="D43" s="6"/>
      <c r="E43" s="6"/>
      <c r="F43" s="6"/>
      <c r="G43" s="6"/>
    </row>
    <row r="46" spans="1:16" x14ac:dyDescent="0.15">
      <c r="A46" s="1"/>
    </row>
  </sheetData>
  <mergeCells count="5">
    <mergeCell ref="K29:L29"/>
    <mergeCell ref="A1:B1"/>
    <mergeCell ref="A9:B9"/>
    <mergeCell ref="A19:C19"/>
    <mergeCell ref="A29:B29"/>
  </mergeCells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51"/>
  <sheetViews>
    <sheetView showGridLines="0" topLeftCell="A5" zoomScaleNormal="100" zoomScalePageLayoutView="160" workbookViewId="0">
      <selection activeCell="K49" sqref="K49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7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16" ht="14" thickBot="1" x14ac:dyDescent="0.2">
      <c r="A1" s="115" t="s">
        <v>35</v>
      </c>
      <c r="B1" s="114"/>
      <c r="E1" s="1"/>
    </row>
    <row r="2" spans="1:16" x14ac:dyDescent="0.15">
      <c r="A2" s="25" t="s">
        <v>2</v>
      </c>
      <c r="B2" s="38">
        <v>0.06</v>
      </c>
    </row>
    <row r="3" spans="1:16" x14ac:dyDescent="0.15">
      <c r="A3" s="26" t="s">
        <v>3</v>
      </c>
      <c r="B3" s="34">
        <v>1.25</v>
      </c>
    </row>
    <row r="4" spans="1:16" x14ac:dyDescent="0.15">
      <c r="A4" s="26" t="s">
        <v>4</v>
      </c>
      <c r="B4" s="35">
        <v>0.9</v>
      </c>
    </row>
    <row r="5" spans="1:16" x14ac:dyDescent="0.15">
      <c r="A5" s="26" t="s">
        <v>5</v>
      </c>
      <c r="B5" s="36">
        <v>0.5</v>
      </c>
      <c r="F5" s="1"/>
    </row>
    <row r="6" spans="1:16" ht="14" thickBot="1" x14ac:dyDescent="0.2">
      <c r="A6" s="27" t="s">
        <v>6</v>
      </c>
      <c r="B6" s="37">
        <f>1-B5</f>
        <v>0.5</v>
      </c>
    </row>
    <row r="7" spans="1:16" x14ac:dyDescent="0.15">
      <c r="C7" s="7"/>
      <c r="D7" s="7"/>
      <c r="E7" s="7"/>
      <c r="F7" s="7"/>
      <c r="G7" s="7"/>
      <c r="H7" s="7"/>
      <c r="I7" s="7"/>
      <c r="J7" s="7"/>
      <c r="K7" s="7"/>
    </row>
    <row r="8" spans="1:16" ht="14" thickBot="1" x14ac:dyDescent="0.2">
      <c r="A8" s="10"/>
      <c r="B8" s="10"/>
      <c r="C8" s="10"/>
      <c r="D8" s="10"/>
      <c r="E8" s="10"/>
      <c r="F8" s="10"/>
      <c r="G8" s="10"/>
    </row>
    <row r="9" spans="1:16" ht="14" thickBot="1" x14ac:dyDescent="0.2">
      <c r="A9" s="116" t="s">
        <v>32</v>
      </c>
      <c r="B9" s="117"/>
      <c r="C9" s="61"/>
      <c r="D9" s="61"/>
      <c r="E9" s="61"/>
      <c r="F9" s="61"/>
      <c r="G9" s="61"/>
      <c r="H9" s="47"/>
      <c r="J9" s="118" t="s">
        <v>39</v>
      </c>
      <c r="K9" s="125"/>
      <c r="L9" s="126"/>
      <c r="M9" s="46"/>
      <c r="N9" s="46"/>
      <c r="O9" s="46"/>
      <c r="P9" s="47"/>
    </row>
    <row r="10" spans="1:16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  <c r="J10" s="48"/>
      <c r="K10" s="50">
        <v>0</v>
      </c>
      <c r="L10" s="50">
        <v>1</v>
      </c>
      <c r="M10" s="50">
        <v>2</v>
      </c>
      <c r="N10" s="50">
        <v>3</v>
      </c>
      <c r="O10" s="50">
        <v>4</v>
      </c>
      <c r="P10" s="24"/>
    </row>
    <row r="11" spans="1:16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  <c r="J11" s="48">
        <v>5</v>
      </c>
      <c r="K11" s="49" t="str">
        <f t="shared" ref="K11:N16" si="1">IF($J11 &lt;=K$10,($B$5*L10 + $B$6*L11)/(1+B11), "")</f>
        <v/>
      </c>
      <c r="L11" s="49" t="str">
        <f t="shared" si="1"/>
        <v/>
      </c>
      <c r="M11" s="49" t="str">
        <f t="shared" si="1"/>
        <v/>
      </c>
      <c r="N11" s="49" t="str">
        <f t="shared" si="1"/>
        <v/>
      </c>
      <c r="O11" s="49"/>
      <c r="P11" s="104"/>
    </row>
    <row r="12" spans="1:16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  <c r="J12" s="48">
        <v>4</v>
      </c>
      <c r="K12" s="49" t="str">
        <f t="shared" si="1"/>
        <v/>
      </c>
      <c r="L12" s="49" t="str">
        <f t="shared" si="1"/>
        <v/>
      </c>
      <c r="M12" s="49" t="str">
        <f t="shared" si="1"/>
        <v/>
      </c>
      <c r="N12" s="49" t="str">
        <f t="shared" si="1"/>
        <v/>
      </c>
      <c r="O12" s="49">
        <v>100</v>
      </c>
      <c r="P12" s="104"/>
    </row>
    <row r="13" spans="1:16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  <c r="J13" s="48">
        <v>3</v>
      </c>
      <c r="K13" s="49" t="str">
        <f t="shared" si="1"/>
        <v/>
      </c>
      <c r="L13" s="49" t="str">
        <f t="shared" si="1"/>
        <v/>
      </c>
      <c r="M13" s="49" t="str">
        <f t="shared" si="1"/>
        <v/>
      </c>
      <c r="N13" s="49">
        <f t="shared" ca="1" si="1"/>
        <v>89.510489510489506</v>
      </c>
      <c r="O13" s="49">
        <v>100</v>
      </c>
      <c r="P13" s="104"/>
    </row>
    <row r="14" spans="1:16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  <c r="J14" s="48">
        <v>2</v>
      </c>
      <c r="K14" s="49" t="str">
        <f t="shared" si="1"/>
        <v/>
      </c>
      <c r="L14" s="49" t="str">
        <f t="shared" si="1"/>
        <v/>
      </c>
      <c r="M14" s="49">
        <f t="shared" ca="1" si="1"/>
        <v>83.076347283840079</v>
      </c>
      <c r="N14" s="49">
        <f t="shared" ca="1" si="1"/>
        <v>92.21902017291066</v>
      </c>
      <c r="O14" s="49">
        <v>100</v>
      </c>
      <c r="P14" s="104"/>
    </row>
    <row r="15" spans="1:16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  <c r="J15" s="48">
        <v>1</v>
      </c>
      <c r="K15" s="49" t="str">
        <f t="shared" si="1"/>
        <v/>
      </c>
      <c r="L15" s="49">
        <f t="shared" ca="1" si="1"/>
        <v>79.268001029924179</v>
      </c>
      <c r="M15" s="49">
        <f t="shared" ca="1" si="1"/>
        <v>87.349854930496903</v>
      </c>
      <c r="N15" s="49">
        <f t="shared" ca="1" si="1"/>
        <v>94.272920103700201</v>
      </c>
      <c r="O15" s="49">
        <v>100</v>
      </c>
      <c r="P15" s="104"/>
    </row>
    <row r="16" spans="1:16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  <c r="J16" s="48">
        <v>0</v>
      </c>
      <c r="K16" s="49">
        <f t="shared" ca="1" si="1"/>
        <v>77.217740328716005</v>
      </c>
      <c r="L16" s="49">
        <f t="shared" ca="1" si="1"/>
        <v>84.433608466953771</v>
      </c>
      <c r="M16" s="49">
        <f t="shared" ca="1" si="1"/>
        <v>90.636191717841641</v>
      </c>
      <c r="N16" s="23">
        <f t="shared" ca="1" si="1"/>
        <v>95.809301166957283</v>
      </c>
      <c r="O16" s="49">
        <v>100</v>
      </c>
      <c r="P16" s="104" t="s">
        <v>7</v>
      </c>
    </row>
    <row r="17" spans="1:17" ht="14" thickBot="1" x14ac:dyDescent="0.2">
      <c r="A17" s="53"/>
      <c r="B17" s="56"/>
      <c r="C17" s="71"/>
      <c r="D17" s="71"/>
      <c r="E17" s="71"/>
      <c r="F17" s="71"/>
      <c r="G17" s="71"/>
      <c r="H17" s="73"/>
      <c r="I17" s="7"/>
      <c r="J17" s="53"/>
      <c r="K17" s="74"/>
      <c r="L17" s="74"/>
      <c r="M17" s="74"/>
      <c r="N17" s="74"/>
      <c r="O17" s="74"/>
      <c r="P17" s="105"/>
    </row>
    <row r="18" spans="1:17" x14ac:dyDescent="0.15">
      <c r="A18" s="1"/>
      <c r="H18" s="7"/>
      <c r="I18" s="7"/>
      <c r="J18" s="7"/>
      <c r="K18" s="7"/>
    </row>
    <row r="19" spans="1:17" x14ac:dyDescent="0.15">
      <c r="B19" s="5"/>
      <c r="C19" s="5"/>
      <c r="D19" s="2"/>
      <c r="E19" s="5"/>
    </row>
    <row r="20" spans="1:17" ht="14" thickBot="1" x14ac:dyDescent="0.2">
      <c r="B20" s="5"/>
      <c r="C20" s="5"/>
      <c r="D20" s="2"/>
      <c r="E20" s="5"/>
    </row>
    <row r="21" spans="1:17" ht="14" thickBot="1" x14ac:dyDescent="0.2">
      <c r="A21" s="118" t="s">
        <v>38</v>
      </c>
      <c r="B21" s="119"/>
      <c r="C21" s="120"/>
      <c r="D21" s="44"/>
      <c r="E21" s="45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  <c r="Q21" s="50"/>
    </row>
    <row r="22" spans="1:17" x14ac:dyDescent="0.15">
      <c r="A22" s="48"/>
      <c r="B22" s="49"/>
      <c r="C22" s="49"/>
      <c r="D22" s="2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24"/>
      <c r="Q22" s="50"/>
    </row>
    <row r="23" spans="1:17" x14ac:dyDescent="0.15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50">
        <v>6</v>
      </c>
      <c r="I23" s="50"/>
      <c r="J23" s="50"/>
      <c r="K23" s="50"/>
      <c r="L23" s="50"/>
      <c r="M23" s="50"/>
      <c r="N23" s="50"/>
      <c r="O23" s="50"/>
      <c r="P23" s="24"/>
      <c r="Q23" s="50"/>
    </row>
    <row r="24" spans="1:17" x14ac:dyDescent="0.15">
      <c r="A24" s="48">
        <v>6</v>
      </c>
      <c r="B24" s="22" t="str">
        <f t="shared" ref="B24:G30" si="2">IF($A24 &lt;=B$23, 100*$B$34  + ( $B$5 *C23   +   $B$6*C24  )/(1+B10),"")</f>
        <v/>
      </c>
      <c r="C24" s="22" t="str">
        <f t="shared" si="2"/>
        <v/>
      </c>
      <c r="D24" s="22" t="str">
        <f t="shared" si="2"/>
        <v/>
      </c>
      <c r="E24" s="22" t="str">
        <f t="shared" si="2"/>
        <v/>
      </c>
      <c r="F24" s="22" t="str">
        <f t="shared" si="2"/>
        <v/>
      </c>
      <c r="G24" s="22" t="str">
        <f t="shared" si="2"/>
        <v/>
      </c>
      <c r="H24" s="49">
        <v>110</v>
      </c>
      <c r="I24" s="50"/>
      <c r="J24" s="50"/>
      <c r="K24" s="50"/>
      <c r="L24" s="50"/>
      <c r="M24" s="50"/>
      <c r="N24" s="50"/>
      <c r="O24" s="50"/>
      <c r="P24" s="24"/>
      <c r="Q24" s="50"/>
    </row>
    <row r="25" spans="1:17" x14ac:dyDescent="0.15">
      <c r="A25" s="48">
        <v>5</v>
      </c>
      <c r="B25" s="22" t="str">
        <f t="shared" si="2"/>
        <v/>
      </c>
      <c r="C25" s="22" t="str">
        <f t="shared" si="2"/>
        <v/>
      </c>
      <c r="D25" s="22" t="str">
        <f t="shared" si="2"/>
        <v/>
      </c>
      <c r="E25" s="22" t="str">
        <f t="shared" si="2"/>
        <v/>
      </c>
      <c r="F25" s="22" t="str">
        <f t="shared" si="2"/>
        <v/>
      </c>
      <c r="G25" s="22">
        <f t="shared" ca="1" si="2"/>
        <v>102.97565002063557</v>
      </c>
      <c r="H25" s="49">
        <v>110</v>
      </c>
      <c r="I25" s="50"/>
      <c r="J25" s="50"/>
      <c r="K25" s="50"/>
      <c r="L25" s="50"/>
      <c r="M25" s="50"/>
      <c r="N25" s="50"/>
      <c r="O25" s="50"/>
      <c r="P25" s="24"/>
      <c r="Q25" s="50"/>
    </row>
    <row r="26" spans="1:17" x14ac:dyDescent="0.15">
      <c r="A26" s="48">
        <v>4</v>
      </c>
      <c r="B26" s="22" t="str">
        <f t="shared" si="2"/>
        <v/>
      </c>
      <c r="C26" s="22" t="str">
        <f t="shared" si="2"/>
        <v/>
      </c>
      <c r="D26" s="22" t="str">
        <f t="shared" si="2"/>
        <v/>
      </c>
      <c r="E26" s="22" t="str">
        <f t="shared" si="2"/>
        <v/>
      </c>
      <c r="F26" s="22">
        <f t="shared" ca="1" si="2"/>
        <v>101.65536180623702</v>
      </c>
      <c r="G26" s="22">
        <f t="shared" ca="1" si="2"/>
        <v>107.18723037100949</v>
      </c>
      <c r="H26" s="49">
        <v>110</v>
      </c>
      <c r="I26" s="50"/>
      <c r="J26" s="50"/>
      <c r="K26" s="50"/>
      <c r="L26" s="50"/>
      <c r="M26" s="50"/>
      <c r="N26" s="50"/>
      <c r="O26" s="50"/>
      <c r="P26" s="24"/>
      <c r="Q26" s="50"/>
    </row>
    <row r="27" spans="1:17" x14ac:dyDescent="0.15">
      <c r="A27" s="48">
        <v>3</v>
      </c>
      <c r="B27" s="22" t="str">
        <f t="shared" si="2"/>
        <v/>
      </c>
      <c r="C27" s="22" t="str">
        <f t="shared" si="2"/>
        <v/>
      </c>
      <c r="D27" s="22" t="str">
        <f t="shared" si="2"/>
        <v/>
      </c>
      <c r="E27" s="22">
        <f t="shared" ca="1" si="2"/>
        <v>104.02997509364626</v>
      </c>
      <c r="F27" s="22">
        <f t="shared" ca="1" si="2"/>
        <v>108.44286379362883</v>
      </c>
      <c r="G27" s="22">
        <f t="shared" ca="1" si="2"/>
        <v>110.46378879771673</v>
      </c>
      <c r="H27" s="49">
        <v>110</v>
      </c>
      <c r="I27" s="50"/>
      <c r="J27" s="50"/>
      <c r="K27" s="50"/>
      <c r="L27" s="50"/>
      <c r="M27" s="50"/>
      <c r="N27" s="50"/>
      <c r="O27" s="50"/>
      <c r="P27" s="24"/>
      <c r="Q27" s="50"/>
    </row>
    <row r="28" spans="1:17" x14ac:dyDescent="0.15">
      <c r="A28" s="48">
        <v>2</v>
      </c>
      <c r="B28" s="22" t="str">
        <f t="shared" si="2"/>
        <v/>
      </c>
      <c r="C28" s="22" t="str">
        <f t="shared" si="2"/>
        <v/>
      </c>
      <c r="D28" s="22">
        <f t="shared" ca="1" si="2"/>
        <v>108.97984711421685</v>
      </c>
      <c r="E28" s="22">
        <f t="shared" ca="1" si="2"/>
        <v>112.4884404687031</v>
      </c>
      <c r="F28" s="22">
        <f t="shared" ca="1" si="2"/>
        <v>113.82894147287107</v>
      </c>
      <c r="G28" s="22">
        <f t="shared" ca="1" si="2"/>
        <v>112.96311463421769</v>
      </c>
      <c r="H28" s="49">
        <v>110</v>
      </c>
      <c r="I28" s="50"/>
      <c r="J28" s="50"/>
      <c r="K28" s="50"/>
      <c r="L28" s="50"/>
      <c r="M28" s="50"/>
      <c r="N28" s="50"/>
      <c r="O28" s="50"/>
      <c r="P28" s="24"/>
      <c r="Q28" s="50"/>
    </row>
    <row r="29" spans="1:17" x14ac:dyDescent="0.15">
      <c r="A29" s="48">
        <v>1</v>
      </c>
      <c r="B29" s="22" t="str">
        <f t="shared" si="2"/>
        <v/>
      </c>
      <c r="C29" s="22">
        <f t="shared" ca="1" si="2"/>
        <v>115.82977130637603</v>
      </c>
      <c r="D29" s="22">
        <f t="shared" ca="1" si="2"/>
        <v>118.55416119449161</v>
      </c>
      <c r="E29" s="22">
        <f t="shared" ca="1" si="2"/>
        <v>119.27469368153648</v>
      </c>
      <c r="F29" s="22">
        <f t="shared" ca="1" si="2"/>
        <v>117.99732117250858</v>
      </c>
      <c r="G29" s="22">
        <f t="shared" ca="1" si="2"/>
        <v>114.84103478101328</v>
      </c>
      <c r="H29" s="49">
        <v>110</v>
      </c>
      <c r="I29" s="50"/>
      <c r="J29" s="50"/>
      <c r="K29" s="50"/>
      <c r="L29" s="50"/>
      <c r="M29" s="50"/>
      <c r="N29" s="50"/>
      <c r="O29" s="50"/>
      <c r="P29" s="24"/>
      <c r="Q29" s="50"/>
    </row>
    <row r="30" spans="1:17" x14ac:dyDescent="0.15">
      <c r="A30" s="48">
        <v>0</v>
      </c>
      <c r="B30" s="22">
        <f t="shared" ca="1" si="2"/>
        <v>124.13712572733934</v>
      </c>
      <c r="C30" s="22">
        <f t="shared" ca="1" si="2"/>
        <v>126.14093523558337</v>
      </c>
      <c r="D30" s="22">
        <f t="shared" ca="1" si="2"/>
        <v>126.27093028211813</v>
      </c>
      <c r="E30" s="22">
        <f t="shared" ca="1" si="2"/>
        <v>124.56870130612165</v>
      </c>
      <c r="F30" s="22">
        <f t="shared" ca="1" si="2"/>
        <v>121.16255142999428</v>
      </c>
      <c r="G30" s="51">
        <f t="shared" ca="1" si="2"/>
        <v>116.23611807816158</v>
      </c>
      <c r="H30" s="49">
        <v>110</v>
      </c>
      <c r="I30" s="50"/>
      <c r="J30" s="50"/>
      <c r="K30" s="50"/>
      <c r="L30" s="50"/>
      <c r="M30" s="50"/>
      <c r="N30" s="50"/>
      <c r="O30" s="50"/>
      <c r="P30" s="24"/>
      <c r="Q30" s="50"/>
    </row>
    <row r="31" spans="1:17" x14ac:dyDescent="0.15">
      <c r="A31" s="48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24"/>
      <c r="Q31" s="50"/>
    </row>
    <row r="32" spans="1:17" ht="14" thickBot="1" x14ac:dyDescent="0.2">
      <c r="A32" s="48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24"/>
      <c r="Q32" s="50"/>
    </row>
    <row r="33" spans="1:16" ht="14" thickBot="1" x14ac:dyDescent="0.2">
      <c r="A33" s="121" t="s">
        <v>9</v>
      </c>
      <c r="B33" s="122"/>
      <c r="C33" s="52"/>
      <c r="D33" s="50"/>
      <c r="E33" s="50"/>
      <c r="F33" s="50"/>
      <c r="G33" s="50"/>
      <c r="H33" s="50"/>
      <c r="I33" s="50"/>
      <c r="J33" s="121" t="s">
        <v>11</v>
      </c>
      <c r="K33" s="122"/>
      <c r="L33" s="52"/>
      <c r="M33" s="50"/>
      <c r="N33" s="50"/>
      <c r="O33" s="50"/>
      <c r="P33" s="24"/>
    </row>
    <row r="34" spans="1:16" x14ac:dyDescent="0.15">
      <c r="A34" s="42" t="s">
        <v>10</v>
      </c>
      <c r="B34" s="43">
        <v>0.1</v>
      </c>
      <c r="C34" s="50"/>
      <c r="D34" s="50"/>
      <c r="E34" s="50"/>
      <c r="F34" s="50"/>
      <c r="G34" s="50"/>
      <c r="H34" s="50"/>
      <c r="I34" s="50"/>
      <c r="J34" s="42" t="s">
        <v>12</v>
      </c>
      <c r="K34" s="43">
        <v>0.1</v>
      </c>
      <c r="L34" s="50"/>
      <c r="M34" s="50"/>
      <c r="N34" s="50"/>
      <c r="O34" s="50"/>
      <c r="P34" s="24"/>
    </row>
    <row r="35" spans="1:16" ht="14" thickBot="1" x14ac:dyDescent="0.2">
      <c r="A35" s="40" t="s">
        <v>37</v>
      </c>
      <c r="B35" s="41">
        <v>4</v>
      </c>
      <c r="C35" s="50"/>
      <c r="D35" s="50"/>
      <c r="E35" s="50"/>
      <c r="F35" s="50"/>
      <c r="G35" s="50"/>
      <c r="H35" s="50"/>
      <c r="I35" s="50"/>
      <c r="J35" s="40" t="s">
        <v>37</v>
      </c>
      <c r="K35" s="41">
        <v>4</v>
      </c>
      <c r="L35" s="50"/>
      <c r="M35" s="50"/>
      <c r="N35" s="50"/>
      <c r="O35" s="50"/>
      <c r="P35" s="24"/>
    </row>
    <row r="36" spans="1:16" x14ac:dyDescent="0.15">
      <c r="A36" s="48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24"/>
    </row>
    <row r="37" spans="1:16" x14ac:dyDescent="0.15">
      <c r="A37" s="48"/>
      <c r="B37" s="50">
        <v>0</v>
      </c>
      <c r="C37" s="50">
        <v>1</v>
      </c>
      <c r="D37" s="50">
        <v>2</v>
      </c>
      <c r="E37" s="50">
        <v>3</v>
      </c>
      <c r="F37" s="50">
        <v>4</v>
      </c>
      <c r="G37" s="50"/>
      <c r="H37" s="50"/>
      <c r="I37" s="50"/>
      <c r="J37" s="50"/>
      <c r="K37" s="50">
        <v>0</v>
      </c>
      <c r="L37" s="50">
        <v>1</v>
      </c>
      <c r="M37" s="50">
        <v>2</v>
      </c>
      <c r="N37" s="50">
        <v>3</v>
      </c>
      <c r="O37" s="50">
        <v>4</v>
      </c>
      <c r="P37" s="24"/>
    </row>
    <row r="38" spans="1:16" x14ac:dyDescent="0.15">
      <c r="A38" s="48">
        <v>4</v>
      </c>
      <c r="B38" s="22" t="str">
        <f t="shared" ref="B38:E42" si="3">IF($A38 &lt;=B$37,  ( $B$5 *C37   +   $B$6*C38  )/(1+B12),"")</f>
        <v/>
      </c>
      <c r="C38" s="22" t="str">
        <f t="shared" si="3"/>
        <v/>
      </c>
      <c r="D38" s="22" t="str">
        <f t="shared" si="3"/>
        <v/>
      </c>
      <c r="E38" s="22" t="str">
        <f t="shared" si="3"/>
        <v/>
      </c>
      <c r="F38" s="22">
        <f ca="1">IF($A38 &lt;=F$37,  F26-100*$B$34,"")</f>
        <v>91.655361806237025</v>
      </c>
      <c r="G38" s="49"/>
      <c r="H38" s="49"/>
      <c r="I38" s="50"/>
      <c r="J38" s="50">
        <v>4</v>
      </c>
      <c r="K38" s="22" t="str">
        <f>IF($A38 &lt;=K$37,  ( $B$5 *#REF!   +   $B$6*L38  ),"")</f>
        <v/>
      </c>
      <c r="L38" s="22" t="str">
        <f>IF($A38 &lt;=L$37,  ( $B$5 *#REF!   +   $B$6*M38  ),"")</f>
        <v/>
      </c>
      <c r="M38" s="22" t="str">
        <f>IF($A38 &lt;=M$37,  ( $B$5 *#REF!   +   $B$6*N38  ),"")</f>
        <v/>
      </c>
      <c r="N38" s="22" t="str">
        <f>IF($A38 &lt;=N$37,  ( $B$5 *#REF!   +   $B$6*O38  ),"")</f>
        <v/>
      </c>
      <c r="O38" s="22">
        <f ca="1">IF($J38 &lt;=O$37, F26-100*$K$34,"")</f>
        <v>91.655361806237025</v>
      </c>
      <c r="P38" s="24"/>
    </row>
    <row r="39" spans="1:16" x14ac:dyDescent="0.15">
      <c r="A39" s="48">
        <v>3</v>
      </c>
      <c r="B39" s="22" t="str">
        <f t="shared" si="3"/>
        <v/>
      </c>
      <c r="C39" s="22" t="str">
        <f t="shared" si="3"/>
        <v/>
      </c>
      <c r="D39" s="22" t="str">
        <f t="shared" si="3"/>
        <v/>
      </c>
      <c r="E39" s="22">
        <f t="shared" ca="1" si="3"/>
        <v>85.078926142597311</v>
      </c>
      <c r="F39" s="22">
        <f ca="1">IF($A39 &lt;=F$37,  F27-100*$B$34,"")</f>
        <v>98.442863793628831</v>
      </c>
      <c r="G39" s="49"/>
      <c r="H39" s="49"/>
      <c r="I39" s="50"/>
      <c r="J39" s="50">
        <v>3</v>
      </c>
      <c r="K39" s="22" t="str">
        <f t="shared" ref="K39:N42" si="4">IF($A39 &lt;=K$37,  ( $B$5 *L38   +   $B$6*L39  ),"")</f>
        <v/>
      </c>
      <c r="L39" s="22" t="str">
        <f t="shared" si="4"/>
        <v/>
      </c>
      <c r="M39" s="22" t="str">
        <f t="shared" si="4"/>
        <v/>
      </c>
      <c r="N39" s="22">
        <f t="shared" ca="1" si="4"/>
        <v>95.049112799932928</v>
      </c>
      <c r="O39" s="22">
        <f ca="1">IF($J39 &lt;=O$37, F27-100*$K$34,"")</f>
        <v>98.442863793628831</v>
      </c>
      <c r="P39" s="24"/>
    </row>
    <row r="40" spans="1:16" x14ac:dyDescent="0.15">
      <c r="A40" s="48">
        <v>2</v>
      </c>
      <c r="B40" s="22" t="str">
        <f t="shared" si="3"/>
        <v/>
      </c>
      <c r="C40" s="22" t="str">
        <f t="shared" si="3"/>
        <v/>
      </c>
      <c r="D40" s="22">
        <f t="shared" ca="1" si="3"/>
        <v>81.529355242975697</v>
      </c>
      <c r="E40" s="22">
        <f t="shared" ca="1" si="3"/>
        <v>93.266538451412046</v>
      </c>
      <c r="F40" s="22">
        <f ca="1">IF($A40 &lt;=F$37,  F28-100*$B$34,"")</f>
        <v>103.82894147287107</v>
      </c>
      <c r="G40" s="49"/>
      <c r="H40" s="49"/>
      <c r="I40" s="50"/>
      <c r="J40" s="50">
        <v>2</v>
      </c>
      <c r="K40" s="22" t="str">
        <f t="shared" si="4"/>
        <v/>
      </c>
      <c r="L40" s="22" t="str">
        <f t="shared" si="4"/>
        <v/>
      </c>
      <c r="M40" s="22">
        <f t="shared" ca="1" si="4"/>
        <v>98.092507716591427</v>
      </c>
      <c r="N40" s="22">
        <f t="shared" ca="1" si="4"/>
        <v>101.13590263324994</v>
      </c>
      <c r="O40" s="22">
        <f ca="1">IF($J40 &lt;=O$37, F28-100*$K$34,"")</f>
        <v>103.82894147287107</v>
      </c>
      <c r="P40" s="24"/>
    </row>
    <row r="41" spans="1:16" x14ac:dyDescent="0.15">
      <c r="A41" s="48">
        <v>1</v>
      </c>
      <c r="B41" s="22" t="str">
        <f t="shared" si="3"/>
        <v/>
      </c>
      <c r="C41" s="22">
        <f t="shared" ca="1" si="3"/>
        <v>79.99109276539005</v>
      </c>
      <c r="D41" s="22">
        <f t="shared" ca="1" si="3"/>
        <v>90.451494202612892</v>
      </c>
      <c r="E41" s="22">
        <f t="shared" ca="1" si="3"/>
        <v>99.847401671166452</v>
      </c>
      <c r="F41" s="22">
        <f ca="1">IF($A41 &lt;=F$37,  F29-100*$B$34,"")</f>
        <v>107.99732117250858</v>
      </c>
      <c r="G41" s="49"/>
      <c r="H41" s="49"/>
      <c r="I41" s="50"/>
      <c r="J41" s="50">
        <v>1</v>
      </c>
      <c r="K41" s="22" t="str">
        <f t="shared" si="4"/>
        <v/>
      </c>
      <c r="L41" s="22">
        <f t="shared" ca="1" si="4"/>
        <v>100.80851234728065</v>
      </c>
      <c r="M41" s="22">
        <f t="shared" ca="1" si="4"/>
        <v>103.52451697796988</v>
      </c>
      <c r="N41" s="22">
        <f t="shared" ca="1" si="4"/>
        <v>105.91313132268982</v>
      </c>
      <c r="O41" s="22">
        <f ca="1">IF($J41 &lt;=O$37, F29-100*$K$34,"")</f>
        <v>107.99732117250858</v>
      </c>
      <c r="P41" s="24"/>
    </row>
    <row r="42" spans="1:16" x14ac:dyDescent="0.15">
      <c r="A42" s="48">
        <v>0</v>
      </c>
      <c r="B42" s="22">
        <f t="shared" ca="1" si="3"/>
        <v>79.82696286654145</v>
      </c>
      <c r="C42" s="22">
        <f t="shared" ca="1" si="3"/>
        <v>89.242068511677829</v>
      </c>
      <c r="D42" s="22">
        <f t="shared" ca="1" si="3"/>
        <v>97.67078622000399</v>
      </c>
      <c r="E42" s="51">
        <f t="shared" ca="1" si="3"/>
        <v>104.98777118942591</v>
      </c>
      <c r="F42" s="22">
        <f ca="1">IF($A42 &lt;=F$37,  F30-100*$B$34,"")</f>
        <v>111.16255142999428</v>
      </c>
      <c r="G42" s="23"/>
      <c r="H42" s="49"/>
      <c r="I42" s="50"/>
      <c r="J42" s="50">
        <v>0</v>
      </c>
      <c r="K42" s="22">
        <f t="shared" ca="1" si="4"/>
        <v>103.22201887112544</v>
      </c>
      <c r="L42" s="22">
        <f t="shared" ca="1" si="4"/>
        <v>105.63552539497024</v>
      </c>
      <c r="M42" s="22">
        <f t="shared" ca="1" si="4"/>
        <v>107.74653381197062</v>
      </c>
      <c r="N42" s="23">
        <f t="shared" ca="1" si="4"/>
        <v>109.57993630125142</v>
      </c>
      <c r="O42" s="22">
        <f ca="1">IF($J42 &lt;=O$37, F30-100*$K$34,"")</f>
        <v>111.16255142999428</v>
      </c>
      <c r="P42" s="24"/>
    </row>
    <row r="43" spans="1:16" ht="14" thickBot="1" x14ac:dyDescent="0.2">
      <c r="A43" s="48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24"/>
    </row>
    <row r="44" spans="1:16" ht="14" thickBot="1" x14ac:dyDescent="0.2">
      <c r="A44" s="123" t="s">
        <v>36</v>
      </c>
      <c r="B44" s="124"/>
      <c r="C44" s="39">
        <f ca="1">100*B42/K16</f>
        <v>103.3790454456683</v>
      </c>
      <c r="D44" s="56"/>
      <c r="E44" s="56"/>
      <c r="F44" s="56"/>
      <c r="G44" s="56"/>
      <c r="H44" s="56"/>
      <c r="I44" s="56"/>
      <c r="J44" s="124" t="s">
        <v>44</v>
      </c>
      <c r="K44" s="124"/>
      <c r="L44" s="39">
        <f ca="1">K42</f>
        <v>103.22201887112544</v>
      </c>
      <c r="M44" s="56"/>
      <c r="N44" s="56"/>
      <c r="O44" s="56"/>
      <c r="P44" s="60"/>
    </row>
    <row r="47" spans="1:16" x14ac:dyDescent="0.15">
      <c r="B47" s="6"/>
      <c r="C47" s="6"/>
      <c r="D47" s="6"/>
      <c r="E47" s="6"/>
      <c r="F47" s="6"/>
      <c r="G47" s="6"/>
    </row>
    <row r="48" spans="1:16" x14ac:dyDescent="0.15">
      <c r="B48" s="6" t="s">
        <v>7</v>
      </c>
      <c r="C48" s="3"/>
      <c r="D48" s="6"/>
      <c r="E48" s="6"/>
      <c r="F48" s="6"/>
      <c r="G48" s="6"/>
    </row>
    <row r="51" spans="1:1" x14ac:dyDescent="0.15">
      <c r="A51" s="1"/>
    </row>
  </sheetData>
  <mergeCells count="8">
    <mergeCell ref="A33:B33"/>
    <mergeCell ref="J33:K33"/>
    <mergeCell ref="A44:B44"/>
    <mergeCell ref="J44:K44"/>
    <mergeCell ref="A1:B1"/>
    <mergeCell ref="A9:B9"/>
    <mergeCell ref="J9:L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showGridLines="0" zoomScale="130" zoomScaleNormal="130" zoomScalePageLayoutView="190" workbookViewId="0">
      <selection activeCell="B29" sqref="B29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6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9" ht="14" thickBot="1" x14ac:dyDescent="0.2">
      <c r="A1" s="115" t="s">
        <v>35</v>
      </c>
      <c r="B1" s="114"/>
      <c r="E1" s="1"/>
    </row>
    <row r="2" spans="1:9" x14ac:dyDescent="0.15">
      <c r="A2" s="25" t="s">
        <v>2</v>
      </c>
      <c r="B2" s="38">
        <v>0.06</v>
      </c>
    </row>
    <row r="3" spans="1:9" x14ac:dyDescent="0.15">
      <c r="A3" s="26" t="s">
        <v>3</v>
      </c>
      <c r="B3" s="34">
        <v>1.25</v>
      </c>
    </row>
    <row r="4" spans="1:9" x14ac:dyDescent="0.15">
      <c r="A4" s="26" t="s">
        <v>4</v>
      </c>
      <c r="B4" s="35">
        <v>0.9</v>
      </c>
    </row>
    <row r="5" spans="1:9" x14ac:dyDescent="0.15">
      <c r="A5" s="26" t="s">
        <v>5</v>
      </c>
      <c r="B5" s="36">
        <v>0.5</v>
      </c>
      <c r="F5" s="1"/>
    </row>
    <row r="6" spans="1:9" ht="14" thickBot="1" x14ac:dyDescent="0.2">
      <c r="A6" s="27" t="s">
        <v>6</v>
      </c>
      <c r="B6" s="37">
        <f>1-B5</f>
        <v>0.5</v>
      </c>
    </row>
    <row r="7" spans="1:9" x14ac:dyDescent="0.15">
      <c r="C7" s="7"/>
      <c r="D7" s="7"/>
      <c r="E7" s="7"/>
      <c r="F7" s="7"/>
      <c r="G7" s="7"/>
      <c r="H7" s="7"/>
      <c r="I7" s="7"/>
    </row>
    <row r="8" spans="1:9" ht="14" thickBot="1" x14ac:dyDescent="0.2">
      <c r="A8" s="10"/>
      <c r="B8" s="10"/>
      <c r="C8" s="10"/>
      <c r="D8" s="10"/>
      <c r="E8" s="10"/>
      <c r="F8" s="10"/>
      <c r="G8" s="10"/>
    </row>
    <row r="9" spans="1:9" ht="14" thickBot="1" x14ac:dyDescent="0.2">
      <c r="A9" s="116" t="s">
        <v>32</v>
      </c>
      <c r="B9" s="117"/>
      <c r="C9" s="61"/>
      <c r="D9" s="61"/>
      <c r="E9" s="61"/>
      <c r="F9" s="61"/>
      <c r="G9" s="61"/>
      <c r="H9" s="47"/>
    </row>
    <row r="10" spans="1:9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4" thickBot="1" x14ac:dyDescent="0.2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15">
      <c r="A18" s="1"/>
      <c r="H18" s="7"/>
      <c r="I18" s="7"/>
    </row>
    <row r="19" spans="1:17" ht="14" thickBot="1" x14ac:dyDescent="0.2">
      <c r="B19" s="5"/>
      <c r="C19" s="5"/>
      <c r="D19" s="2"/>
      <c r="E19" s="5"/>
    </row>
    <row r="20" spans="1:17" ht="14" thickBot="1" x14ac:dyDescent="0.2">
      <c r="A20" s="127" t="s">
        <v>22</v>
      </c>
      <c r="B20" s="128"/>
      <c r="C20" s="108">
        <v>0.02</v>
      </c>
      <c r="D20" s="2"/>
      <c r="E20" s="5"/>
    </row>
    <row r="21" spans="1:17" ht="14" thickBot="1" x14ac:dyDescent="0.2">
      <c r="A21" s="127" t="s">
        <v>48</v>
      </c>
      <c r="B21" s="129"/>
      <c r="C21" s="130"/>
      <c r="D21" s="44"/>
      <c r="E21" s="45"/>
      <c r="F21" s="46"/>
      <c r="G21" s="46"/>
      <c r="H21" s="47"/>
      <c r="Q21" s="50"/>
    </row>
    <row r="22" spans="1:17" x14ac:dyDescent="0.15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15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15">
      <c r="A24" s="48">
        <v>5</v>
      </c>
      <c r="B24" s="112" t="str">
        <f t="shared" ref="B24:E28" si="1">IF($A24 &lt;=B$23,  ($B$5*C23 + $B$6*C24 )/(1+B11 ),"")</f>
        <v/>
      </c>
      <c r="C24" s="112" t="str">
        <f t="shared" si="1"/>
        <v/>
      </c>
      <c r="D24" s="112" t="str">
        <f t="shared" si="1"/>
        <v/>
      </c>
      <c r="E24" s="112" t="str">
        <f t="shared" si="1"/>
        <v/>
      </c>
      <c r="F24" s="112" t="str">
        <f t="shared" ref="F24:F28" si="2">IF($A24 &lt;=F$23,  ($B$5*G23 + $B$6*G24 )/(1+F11 ),"")</f>
        <v/>
      </c>
      <c r="G24" s="21">
        <f t="shared" ref="G24:G28" ca="1" si="3">MAX(0,(G11-$C$20)/(1+G11))</f>
        <v>0.13786215435410648</v>
      </c>
      <c r="H24" s="106"/>
      <c r="Q24" s="50"/>
    </row>
    <row r="25" spans="1:17" x14ac:dyDescent="0.15">
      <c r="A25" s="48">
        <v>4</v>
      </c>
      <c r="B25" s="112" t="str">
        <f t="shared" si="1"/>
        <v/>
      </c>
      <c r="C25" s="112" t="str">
        <f t="shared" si="1"/>
        <v/>
      </c>
      <c r="D25" s="112" t="str">
        <f t="shared" si="1"/>
        <v/>
      </c>
      <c r="E25" s="112" t="str">
        <f t="shared" si="1"/>
        <v/>
      </c>
      <c r="F25" s="112">
        <f t="shared" ca="1" si="2"/>
        <v>0.10321617890868268</v>
      </c>
      <c r="G25" s="21">
        <f t="shared" ca="1" si="3"/>
        <v>9.8809318377911987E-2</v>
      </c>
      <c r="H25" s="106"/>
      <c r="Q25" s="50"/>
    </row>
    <row r="26" spans="1:17" x14ac:dyDescent="0.15">
      <c r="A26" s="48">
        <v>3</v>
      </c>
      <c r="B26" s="112" t="str">
        <f t="shared" si="1"/>
        <v/>
      </c>
      <c r="C26" s="112" t="str">
        <f t="shared" si="1"/>
        <v/>
      </c>
      <c r="D26" s="112" t="str">
        <f t="shared" si="1"/>
        <v/>
      </c>
      <c r="E26" s="112">
        <f t="shared" ca="1" si="1"/>
        <v>8.0047660622954347E-2</v>
      </c>
      <c r="F26" s="112">
        <f t="shared" ca="1" si="2"/>
        <v>7.5640312795730941E-2</v>
      </c>
      <c r="G26" s="21">
        <f t="shared" ca="1" si="3"/>
        <v>6.8426685693899383E-2</v>
      </c>
      <c r="H26" s="106"/>
      <c r="Q26" s="50"/>
    </row>
    <row r="27" spans="1:17" x14ac:dyDescent="0.15">
      <c r="A27" s="48">
        <v>2</v>
      </c>
      <c r="B27" s="112" t="str">
        <f t="shared" si="1"/>
        <v/>
      </c>
      <c r="C27" s="112" t="str">
        <f t="shared" si="1"/>
        <v/>
      </c>
      <c r="D27" s="112">
        <f t="shared" ca="1" si="1"/>
        <v>6.3672438860078243E-2</v>
      </c>
      <c r="E27" s="112">
        <f t="shared" ca="1" si="1"/>
        <v>5.9235799383466806E-2</v>
      </c>
      <c r="F27" s="112">
        <f t="shared" ca="1" si="2"/>
        <v>5.2827327117162703E-2</v>
      </c>
      <c r="G27" s="21">
        <f t="shared" ca="1" si="3"/>
        <v>4.5251118846345112E-2</v>
      </c>
      <c r="H27" s="106"/>
      <c r="Q27" s="50"/>
    </row>
    <row r="28" spans="1:17" x14ac:dyDescent="0.15">
      <c r="A28" s="48">
        <v>1</v>
      </c>
      <c r="B28" s="112" t="str">
        <f t="shared" si="1"/>
        <v/>
      </c>
      <c r="C28" s="112">
        <f t="shared" ca="1" si="1"/>
        <v>5.1502670054143648E-2</v>
      </c>
      <c r="D28" s="112">
        <f t="shared" ca="1" si="1"/>
        <v>4.7058301756330592E-2</v>
      </c>
      <c r="E28" s="112">
        <f t="shared" ca="1" si="1"/>
        <v>4.1233674866299003E-2</v>
      </c>
      <c r="F28" s="112">
        <f t="shared" ca="1" si="2"/>
        <v>3.4649914111690626E-2</v>
      </c>
      <c r="G28" s="21">
        <f t="shared" ca="1" si="3"/>
        <v>2.7837677485149512E-2</v>
      </c>
      <c r="H28" s="106"/>
      <c r="Q28" s="50"/>
    </row>
    <row r="29" spans="1:17" x14ac:dyDescent="0.15">
      <c r="A29" s="48">
        <v>0</v>
      </c>
      <c r="B29" s="112">
        <f t="shared" ref="B29:E29" ca="1" si="4">IF($A29 &lt;=B$23,  ($B$5*C28 + $B$6*C29 )/(1+B16 ),"")</f>
        <v>4.2045224917924694E-2</v>
      </c>
      <c r="C29" s="112">
        <f t="shared" ca="1" si="4"/>
        <v>3.7633206771856706E-2</v>
      </c>
      <c r="D29" s="112">
        <f t="shared" ca="1" si="4"/>
        <v>3.2272498118743338E-2</v>
      </c>
      <c r="E29" s="112">
        <f t="shared" ca="1" si="4"/>
        <v>2.6448208188329523E-2</v>
      </c>
      <c r="F29" s="20">
        <f ca="1">IF($A29 &lt;=F$23,  ($B$5*G28 + $B$6*G29 )/(1+F16 ),"")</f>
        <v>2.0560191517283496E-2</v>
      </c>
      <c r="G29" s="21">
        <f ca="1">MAX(0,(G16-$C$20)/(1+G16))</f>
        <v>1.4901450547956246E-2</v>
      </c>
      <c r="H29" s="106"/>
      <c r="Q29" s="50"/>
    </row>
    <row r="30" spans="1:17" ht="14" thickBot="1" x14ac:dyDescent="0.2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15">
      <c r="A31" s="48"/>
      <c r="B31" s="50"/>
      <c r="C31" s="50"/>
      <c r="D31" s="50"/>
      <c r="E31" s="50"/>
      <c r="F31" s="50"/>
      <c r="G31" s="50"/>
      <c r="H31" s="50"/>
      <c r="Q31" s="50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42"/>
  <sheetViews>
    <sheetView showGridLines="0" topLeftCell="A24" zoomScale="115" zoomScaleNormal="115" zoomScalePageLayoutView="190" workbookViewId="0">
      <selection activeCell="K50" sqref="K50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6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9" ht="14" thickBot="1" x14ac:dyDescent="0.2">
      <c r="A1" s="115" t="s">
        <v>35</v>
      </c>
      <c r="B1" s="114"/>
      <c r="E1" s="1"/>
    </row>
    <row r="2" spans="1:9" x14ac:dyDescent="0.15">
      <c r="A2" s="25" t="s">
        <v>2</v>
      </c>
      <c r="B2" s="38">
        <v>0.06</v>
      </c>
    </row>
    <row r="3" spans="1:9" x14ac:dyDescent="0.15">
      <c r="A3" s="26" t="s">
        <v>3</v>
      </c>
      <c r="B3" s="34">
        <v>1.25</v>
      </c>
    </row>
    <row r="4" spans="1:9" x14ac:dyDescent="0.15">
      <c r="A4" s="26" t="s">
        <v>4</v>
      </c>
      <c r="B4" s="35">
        <v>0.9</v>
      </c>
    </row>
    <row r="5" spans="1:9" x14ac:dyDescent="0.15">
      <c r="A5" s="26" t="s">
        <v>5</v>
      </c>
      <c r="B5" s="36">
        <v>0.5</v>
      </c>
      <c r="F5" s="1"/>
    </row>
    <row r="6" spans="1:9" ht="14" thickBot="1" x14ac:dyDescent="0.2">
      <c r="A6" s="27" t="s">
        <v>6</v>
      </c>
      <c r="B6" s="37">
        <f>1-B5</f>
        <v>0.5</v>
      </c>
    </row>
    <row r="7" spans="1:9" x14ac:dyDescent="0.15">
      <c r="C7" s="7"/>
      <c r="D7" s="7"/>
      <c r="E7" s="7"/>
      <c r="F7" s="7"/>
      <c r="G7" s="7"/>
      <c r="H7" s="7"/>
      <c r="I7" s="7"/>
    </row>
    <row r="8" spans="1:9" ht="14" thickBot="1" x14ac:dyDescent="0.2">
      <c r="A8" s="10"/>
      <c r="B8" s="10"/>
      <c r="C8" s="10"/>
      <c r="D8" s="10"/>
      <c r="E8" s="10"/>
      <c r="F8" s="10"/>
      <c r="G8" s="10"/>
    </row>
    <row r="9" spans="1:9" ht="14" thickBot="1" x14ac:dyDescent="0.2">
      <c r="A9" s="116" t="s">
        <v>32</v>
      </c>
      <c r="B9" s="117"/>
      <c r="C9" s="61"/>
      <c r="D9" s="61"/>
      <c r="E9" s="61"/>
      <c r="F9" s="61"/>
      <c r="G9" s="61"/>
      <c r="H9" s="47"/>
    </row>
    <row r="10" spans="1:9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4" thickBot="1" x14ac:dyDescent="0.2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15">
      <c r="A18" s="1"/>
      <c r="H18" s="7"/>
      <c r="I18" s="7"/>
    </row>
    <row r="19" spans="1:17" ht="14" thickBot="1" x14ac:dyDescent="0.2">
      <c r="B19" s="5"/>
      <c r="C19" s="5"/>
      <c r="D19" s="2"/>
      <c r="E19" s="5"/>
    </row>
    <row r="20" spans="1:17" ht="14" thickBot="1" x14ac:dyDescent="0.2">
      <c r="A20" s="127" t="s">
        <v>22</v>
      </c>
      <c r="B20" s="128"/>
      <c r="C20" s="108">
        <v>0.05</v>
      </c>
      <c r="D20" s="2"/>
      <c r="E20" s="5"/>
    </row>
    <row r="21" spans="1:17" ht="14" thickBot="1" x14ac:dyDescent="0.2">
      <c r="A21" s="127" t="s">
        <v>45</v>
      </c>
      <c r="B21" s="129"/>
      <c r="C21" s="130"/>
      <c r="D21" s="44"/>
      <c r="E21" s="45"/>
      <c r="F21" s="46"/>
      <c r="G21" s="46"/>
      <c r="H21" s="47"/>
      <c r="Q21" s="50"/>
    </row>
    <row r="22" spans="1:17" x14ac:dyDescent="0.15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15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15">
      <c r="A24" s="48">
        <v>5</v>
      </c>
      <c r="B24" s="21" t="str">
        <f t="shared" ref="B24:F29" si="1">IF($A24 &lt;=B$23,  ((B11-$C$20)+$B$5*C23 + $B$6*C24 )/(1+B11 ),"")</f>
        <v/>
      </c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ref="G24:G29" ca="1" si="2">(G11-$C$20)/(1+G11)</f>
        <v>0.11250515889393314</v>
      </c>
      <c r="H24" s="106"/>
      <c r="Q24" s="50"/>
    </row>
    <row r="25" spans="1:17" x14ac:dyDescent="0.15">
      <c r="A25" s="48">
        <v>4</v>
      </c>
      <c r="B25" s="21" t="str">
        <f t="shared" si="1"/>
        <v/>
      </c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0.16475480487418007</v>
      </c>
      <c r="G25" s="21">
        <f t="shared" ca="1" si="2"/>
        <v>7.2303710094909407E-2</v>
      </c>
      <c r="H25" s="106"/>
      <c r="Q25" s="50"/>
    </row>
    <row r="26" spans="1:17" x14ac:dyDescent="0.15">
      <c r="A26" s="48">
        <v>3</v>
      </c>
      <c r="B26" s="21" t="str">
        <f t="shared" si="1"/>
        <v/>
      </c>
      <c r="C26" s="21" t="str">
        <f t="shared" si="1"/>
        <v/>
      </c>
      <c r="D26" s="21" t="str">
        <f t="shared" si="1"/>
        <v/>
      </c>
      <c r="E26" s="21">
        <f t="shared" ca="1" si="1"/>
        <v>0.17927421131892446</v>
      </c>
      <c r="F26" s="21">
        <f t="shared" ca="1" si="1"/>
        <v>0.10143601104154178</v>
      </c>
      <c r="G26" s="21">
        <f t="shared" ca="1" si="2"/>
        <v>4.1027470567249376E-2</v>
      </c>
      <c r="H26" s="106"/>
      <c r="Q26" s="50"/>
    </row>
    <row r="27" spans="1:17" x14ac:dyDescent="0.15">
      <c r="A27" s="48">
        <v>2</v>
      </c>
      <c r="B27" s="21" t="str">
        <f t="shared" si="1"/>
        <v/>
      </c>
      <c r="C27" s="21" t="str">
        <f t="shared" si="1"/>
        <v/>
      </c>
      <c r="D27" s="21">
        <f t="shared" ca="1" si="1"/>
        <v>0.16860895555048425</v>
      </c>
      <c r="E27" s="21">
        <f t="shared" ca="1" si="1"/>
        <v>0.10205787894775988</v>
      </c>
      <c r="F27" s="21">
        <f t="shared" ca="1" si="1"/>
        <v>5.1152013926412429E-2</v>
      </c>
      <c r="G27" s="21">
        <f t="shared" ca="1" si="2"/>
        <v>1.7170269400649377E-2</v>
      </c>
      <c r="H27" s="106"/>
      <c r="Q27" s="50"/>
    </row>
    <row r="28" spans="1:17" x14ac:dyDescent="0.15">
      <c r="A28" s="48">
        <v>1</v>
      </c>
      <c r="B28" s="21" t="str">
        <f t="shared" si="1"/>
        <v/>
      </c>
      <c r="C28" s="21">
        <f t="shared" ca="1" si="1"/>
        <v>0.14025186699204412</v>
      </c>
      <c r="D28" s="21">
        <f t="shared" ca="1" si="1"/>
        <v>8.2932558482410587E-2</v>
      </c>
      <c r="E28" s="21">
        <f t="shared" ca="1" si="1"/>
        <v>4.0003133412186698E-2</v>
      </c>
      <c r="F28" s="21">
        <f t="shared" ca="1" si="1"/>
        <v>1.221463360754166E-2</v>
      </c>
      <c r="G28" s="21">
        <f t="shared" ca="1" si="2"/>
        <v>-7.5533200058138601E-4</v>
      </c>
      <c r="H28" s="106"/>
      <c r="Q28" s="50"/>
    </row>
    <row r="29" spans="1:17" x14ac:dyDescent="0.15">
      <c r="A29" s="48">
        <v>0</v>
      </c>
      <c r="B29" s="21">
        <f t="shared" ca="1" si="1"/>
        <v>9.9004427031513742E-2</v>
      </c>
      <c r="C29" s="21">
        <f ca="1">IF($A29 &lt;=C$23,  ((C16-$C$20)+$B$5*D28 + $B$6*D29 )/(1+C16 ),"")</f>
        <v>4.9637518314765032E-2</v>
      </c>
      <c r="D29" s="21">
        <f ca="1">IF($A29 &lt;=D$23,  ((D16-$C$20)+$B$5*E28 + $B$6*E29 )/(1+D16 ),"")</f>
        <v>1.3703330125114111E-2</v>
      </c>
      <c r="E29" s="21">
        <f t="shared" ca="1" si="1"/>
        <v>-8.4645094737973731E-3</v>
      </c>
      <c r="F29" s="20">
        <f t="shared" ca="1" si="1"/>
        <v>-1.7364127843904197E-2</v>
      </c>
      <c r="G29" s="21">
        <f t="shared" ca="1" si="2"/>
        <v>-1.407203620063328E-2</v>
      </c>
      <c r="H29" s="106"/>
      <c r="Q29" s="50"/>
    </row>
    <row r="30" spans="1:17" ht="14" thickBot="1" x14ac:dyDescent="0.2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15">
      <c r="A31" s="48"/>
      <c r="B31" s="50"/>
      <c r="C31" s="50"/>
      <c r="D31" s="50"/>
      <c r="E31" s="50"/>
      <c r="F31" s="50"/>
      <c r="G31" s="50"/>
      <c r="H31" s="50"/>
      <c r="Q31" s="50"/>
    </row>
    <row r="33" spans="1:6" ht="14" thickBot="1" x14ac:dyDescent="0.2"/>
    <row r="34" spans="1:6" ht="14" thickBot="1" x14ac:dyDescent="0.2">
      <c r="A34" s="127" t="s">
        <v>46</v>
      </c>
      <c r="B34" s="129"/>
      <c r="C34" s="107">
        <v>0</v>
      </c>
      <c r="D34" s="2"/>
      <c r="E34" s="5"/>
    </row>
    <row r="35" spans="1:6" ht="14" thickBot="1" x14ac:dyDescent="0.2">
      <c r="A35" s="127" t="s">
        <v>47</v>
      </c>
      <c r="B35" s="129"/>
      <c r="C35" s="130"/>
      <c r="D35" s="44"/>
      <c r="E35" s="45"/>
      <c r="F35" s="47"/>
    </row>
    <row r="36" spans="1:6" x14ac:dyDescent="0.15">
      <c r="A36" s="48"/>
      <c r="B36" s="49"/>
      <c r="C36" s="49"/>
      <c r="D36" s="23"/>
      <c r="E36" s="49"/>
      <c r="F36" s="24"/>
    </row>
    <row r="37" spans="1:6" x14ac:dyDescent="0.15">
      <c r="A37" s="48"/>
      <c r="B37" s="50">
        <v>0</v>
      </c>
      <c r="C37" s="50">
        <v>1</v>
      </c>
      <c r="D37" s="50">
        <v>2</v>
      </c>
      <c r="E37" s="50">
        <v>3</v>
      </c>
      <c r="F37" s="24"/>
    </row>
    <row r="38" spans="1:6" x14ac:dyDescent="0.15">
      <c r="A38" s="48">
        <v>3</v>
      </c>
      <c r="B38" s="21" t="str">
        <f t="shared" ref="B38:D40" si="3">IF($A38 &lt;=B$37,  ($B$5*C37 + $B$6*C38 )/(1+B13 ),"")</f>
        <v/>
      </c>
      <c r="C38" s="21" t="str">
        <f t="shared" si="3"/>
        <v/>
      </c>
      <c r="D38" s="21" t="str">
        <f t="shared" si="3"/>
        <v/>
      </c>
      <c r="E38" s="21">
        <f ca="1">MAX(E26,0)</f>
        <v>0.17927421131892446</v>
      </c>
      <c r="F38" s="24"/>
    </row>
    <row r="39" spans="1:6" x14ac:dyDescent="0.15">
      <c r="A39" s="48">
        <v>2</v>
      </c>
      <c r="B39" s="21" t="str">
        <f t="shared" si="3"/>
        <v/>
      </c>
      <c r="C39" s="21" t="str">
        <f t="shared" si="3"/>
        <v/>
      </c>
      <c r="D39" s="21">
        <f ca="1">IF($A39 &lt;=D$37,  ($B$5*E38 + $B$6*E39 )/(1+D14 ),"")</f>
        <v>0.12860895555048427</v>
      </c>
      <c r="E39" s="21">
        <f t="shared" ref="E39:E40" ca="1" si="4">MAX(E27,0)</f>
        <v>0.10205787894775988</v>
      </c>
      <c r="F39" s="24"/>
    </row>
    <row r="40" spans="1:6" x14ac:dyDescent="0.15">
      <c r="A40" s="48">
        <v>1</v>
      </c>
      <c r="B40" s="21" t="str">
        <f t="shared" si="3"/>
        <v/>
      </c>
      <c r="C40" s="21">
        <f t="shared" ca="1" si="3"/>
        <v>9.0766544841834426E-2</v>
      </c>
      <c r="D40" s="21">
        <f t="shared" ca="1" si="3"/>
        <v>6.6539115859459749E-2</v>
      </c>
      <c r="E40" s="21">
        <f t="shared" ca="1" si="4"/>
        <v>4.0003133412186698E-2</v>
      </c>
      <c r="F40" s="24"/>
    </row>
    <row r="41" spans="1:6" x14ac:dyDescent="0.15">
      <c r="A41" s="48">
        <v>0</v>
      </c>
      <c r="B41" s="21">
        <f ca="1">IF($A41 &lt;=B$37,  ($B$5*C40 + $B$6*C41 )/(1+B16 ),"")</f>
        <v>6.1971809159149363E-2</v>
      </c>
      <c r="C41" s="21">
        <f ca="1">IF($A41 &lt;=C$37,  ($B$5*D40 + $B$6*D41 )/(1+C16 ),"")</f>
        <v>4.0613690575562231E-2</v>
      </c>
      <c r="D41" s="20">
        <f ca="1">IF($A41 &lt;=D$37,  ($B$5*E40 + $B$6*E41 )/(1+D16 ),"")</f>
        <v>1.9074543873825435E-2</v>
      </c>
      <c r="E41" s="21">
        <f ca="1">MAX(E29,0)</f>
        <v>0</v>
      </c>
      <c r="F41" s="24"/>
    </row>
    <row r="42" spans="1:6" ht="14" thickBot="1" x14ac:dyDescent="0.2">
      <c r="A42" s="53"/>
      <c r="B42" s="56"/>
      <c r="C42" s="56"/>
      <c r="D42" s="56"/>
      <c r="E42" s="56"/>
      <c r="F42" s="60"/>
    </row>
  </sheetData>
  <mergeCells count="6">
    <mergeCell ref="A35:C35"/>
    <mergeCell ref="A34:B34"/>
    <mergeCell ref="A20:B20"/>
    <mergeCell ref="A1:B1"/>
    <mergeCell ref="A9:B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34"/>
  <sheetViews>
    <sheetView showGridLines="0" zoomScaleNormal="100" zoomScalePageLayoutView="205" workbookViewId="0">
      <selection activeCell="H34" sqref="H34"/>
    </sheetView>
  </sheetViews>
  <sheetFormatPr baseColWidth="10" defaultColWidth="8.796875" defaultRowHeight="13" x14ac:dyDescent="0.15"/>
  <cols>
    <col min="1" max="1" width="18.3984375" bestFit="1" customWidth="1"/>
  </cols>
  <sheetData>
    <row r="1" spans="1:8" ht="14" thickBot="1" x14ac:dyDescent="0.2">
      <c r="A1" s="115" t="s">
        <v>35</v>
      </c>
      <c r="B1" s="114"/>
      <c r="C1" s="1"/>
    </row>
    <row r="2" spans="1:8" x14ac:dyDescent="0.15">
      <c r="A2" s="25" t="s">
        <v>2</v>
      </c>
      <c r="B2" s="38">
        <v>0.06</v>
      </c>
    </row>
    <row r="3" spans="1:8" x14ac:dyDescent="0.15">
      <c r="A3" s="26" t="s">
        <v>3</v>
      </c>
      <c r="B3" s="34">
        <v>1.25</v>
      </c>
    </row>
    <row r="4" spans="1:8" x14ac:dyDescent="0.15">
      <c r="A4" s="26" t="s">
        <v>4</v>
      </c>
      <c r="B4" s="35">
        <v>0.9</v>
      </c>
    </row>
    <row r="5" spans="1:8" x14ac:dyDescent="0.15">
      <c r="A5" s="26" t="s">
        <v>5</v>
      </c>
      <c r="B5" s="36">
        <v>0.5</v>
      </c>
    </row>
    <row r="6" spans="1:8" ht="14" thickBot="1" x14ac:dyDescent="0.2">
      <c r="A6" s="27" t="s">
        <v>6</v>
      </c>
      <c r="B6" s="37">
        <f>1-B5</f>
        <v>0.5</v>
      </c>
    </row>
    <row r="7" spans="1:8" x14ac:dyDescent="0.15">
      <c r="C7" s="7"/>
      <c r="D7" s="7"/>
      <c r="E7" s="7"/>
      <c r="F7" s="7"/>
      <c r="G7" s="7"/>
      <c r="H7" s="7"/>
    </row>
    <row r="8" spans="1:8" ht="14" thickBot="1" x14ac:dyDescent="0.2"/>
    <row r="9" spans="1:8" ht="14" thickBot="1" x14ac:dyDescent="0.2">
      <c r="A9" s="116" t="s">
        <v>32</v>
      </c>
      <c r="B9" s="117"/>
      <c r="C9" s="61"/>
      <c r="D9" s="61"/>
      <c r="E9" s="61"/>
      <c r="F9" s="61"/>
      <c r="G9" s="61"/>
      <c r="H9" s="47"/>
    </row>
    <row r="10" spans="1:8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8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</row>
    <row r="12" spans="1:8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</row>
    <row r="13" spans="1:8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</row>
    <row r="14" spans="1:8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</row>
    <row r="15" spans="1:8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</row>
    <row r="16" spans="1:8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</row>
    <row r="17" spans="1:9" ht="14" thickBot="1" x14ac:dyDescent="0.2">
      <c r="A17" s="53"/>
      <c r="B17" s="56"/>
      <c r="C17" s="56"/>
      <c r="D17" s="56"/>
      <c r="E17" s="56"/>
      <c r="F17" s="56"/>
      <c r="G17" s="56"/>
      <c r="H17" s="60"/>
    </row>
    <row r="20" spans="1:9" ht="14" thickBot="1" x14ac:dyDescent="0.2"/>
    <row r="21" spans="1:9" ht="14" thickBot="1" x14ac:dyDescent="0.2">
      <c r="A21" s="116" t="s">
        <v>13</v>
      </c>
      <c r="B21" s="117"/>
      <c r="C21" s="46"/>
      <c r="D21" s="46"/>
      <c r="E21" s="46"/>
      <c r="F21" s="46"/>
      <c r="G21" s="46"/>
      <c r="H21" s="46"/>
      <c r="I21" s="47"/>
    </row>
    <row r="22" spans="1:9" x14ac:dyDescent="0.15">
      <c r="A22" s="48"/>
      <c r="B22" s="50">
        <v>0</v>
      </c>
      <c r="C22" s="50">
        <v>1</v>
      </c>
      <c r="D22" s="50">
        <v>2</v>
      </c>
      <c r="E22" s="50">
        <v>3</v>
      </c>
      <c r="F22" s="50">
        <v>4</v>
      </c>
      <c r="G22" s="50">
        <v>5</v>
      </c>
      <c r="H22" s="50">
        <v>6</v>
      </c>
      <c r="I22" s="24"/>
    </row>
    <row r="23" spans="1:9" x14ac:dyDescent="0.15">
      <c r="A23" s="48">
        <v>6</v>
      </c>
      <c r="B23" s="57"/>
      <c r="C23" s="21" t="str">
        <f t="shared" ref="C23:H28" si="1">IF($A23=0,$B$5*B23/(1+B10), IF($A23=C$22, $B$5*B24/(1 +B11 ), IF(AND(0 &lt; $A23, $A23 &lt; C$22), $B$5*B24/(1+B11) + $B$6*B23/(1+B10 ),"")))</f>
        <v/>
      </c>
      <c r="D23" s="21" t="str">
        <f t="shared" si="1"/>
        <v/>
      </c>
      <c r="E23" s="21" t="str">
        <f t="shared" si="1"/>
        <v/>
      </c>
      <c r="F23" s="21" t="str">
        <f t="shared" si="1"/>
        <v/>
      </c>
      <c r="G23" s="21" t="str">
        <f t="shared" si="1"/>
        <v/>
      </c>
      <c r="H23" s="21">
        <f t="shared" ca="1" si="1"/>
        <v>8.273132131083329E-3</v>
      </c>
      <c r="I23" s="24"/>
    </row>
    <row r="24" spans="1:9" x14ac:dyDescent="0.15">
      <c r="A24" s="48">
        <v>5</v>
      </c>
      <c r="B24" s="57"/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ca="1" si="1"/>
        <v>1.9575975735952055E-2</v>
      </c>
      <c r="H24" s="21">
        <f t="shared" ca="1" si="1"/>
        <v>5.4253219267040222E-2</v>
      </c>
      <c r="I24" s="24"/>
    </row>
    <row r="25" spans="1:9" x14ac:dyDescent="0.15">
      <c r="A25" s="48">
        <v>4</v>
      </c>
      <c r="B25" s="57"/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4.4887100613296316E-2</v>
      </c>
      <c r="G25" s="21">
        <f t="shared" ca="1" si="1"/>
        <v>0.10408383005971493</v>
      </c>
      <c r="H25" s="21">
        <f t="shared" ca="1" si="1"/>
        <v>0.14613116919921304</v>
      </c>
      <c r="I25" s="24"/>
    </row>
    <row r="26" spans="1:9" x14ac:dyDescent="0.15">
      <c r="A26" s="48">
        <v>3</v>
      </c>
      <c r="B26" s="57"/>
      <c r="C26" s="21" t="str">
        <f t="shared" si="1"/>
        <v/>
      </c>
      <c r="D26" s="21" t="str">
        <f t="shared" si="1"/>
        <v/>
      </c>
      <c r="E26" s="21">
        <f t="shared" ca="1" si="1"/>
        <v>0.10029461543283395</v>
      </c>
      <c r="F26" s="21">
        <f t="shared" ca="1" si="1"/>
        <v>0.18684158416894447</v>
      </c>
      <c r="G26" s="21">
        <f t="shared" ca="1" si="1"/>
        <v>0.21931522111195856</v>
      </c>
      <c r="H26" s="21">
        <f t="shared" ca="1" si="1"/>
        <v>0.20745099327213951</v>
      </c>
      <c r="I26" s="24"/>
    </row>
    <row r="27" spans="1:9" x14ac:dyDescent="0.15">
      <c r="A27" s="48">
        <v>2</v>
      </c>
      <c r="B27" s="57"/>
      <c r="C27" s="21" t="str">
        <f t="shared" si="1"/>
        <v/>
      </c>
      <c r="D27" s="21">
        <f t="shared" ca="1" si="1"/>
        <v>0.21939447125932426</v>
      </c>
      <c r="E27" s="21">
        <f t="shared" ca="1" si="1"/>
        <v>0.307863786211312</v>
      </c>
      <c r="F27" s="21">
        <f t="shared" ca="1" si="1"/>
        <v>0.29008860240734857</v>
      </c>
      <c r="G27" s="21">
        <f t="shared" ca="1" si="1"/>
        <v>0.22926637903113095</v>
      </c>
      <c r="H27" s="21">
        <f t="shared" ca="1" si="1"/>
        <v>0.16403204418995573</v>
      </c>
      <c r="I27" s="24"/>
    </row>
    <row r="28" spans="1:9" x14ac:dyDescent="0.15">
      <c r="A28" s="48">
        <v>1</v>
      </c>
      <c r="B28" s="57"/>
      <c r="C28" s="21">
        <f t="shared" si="1"/>
        <v>0.47169811320754712</v>
      </c>
      <c r="D28" s="21">
        <f t="shared" ca="1" si="1"/>
        <v>0.44316017961205056</v>
      </c>
      <c r="E28" s="21">
        <f t="shared" ca="1" si="1"/>
        <v>0.31426653314388253</v>
      </c>
      <c r="F28" s="21">
        <f t="shared" ca="1" si="1"/>
        <v>0.1992471174746355</v>
      </c>
      <c r="G28" s="21">
        <f t="shared" ca="1" si="1"/>
        <v>0.119047558829477</v>
      </c>
      <c r="H28" s="21">
        <f t="shared" ca="1" si="1"/>
        <v>6.8605731792609759E-2</v>
      </c>
      <c r="I28" s="24"/>
    </row>
    <row r="29" spans="1:9" x14ac:dyDescent="0.15">
      <c r="A29" s="48">
        <v>0</v>
      </c>
      <c r="B29" s="57">
        <v>1</v>
      </c>
      <c r="C29" s="21">
        <f>IF($A29=0,$B$5*B29/(1+B16), IF($A29=C$22, $B$5*B30/(1 +B17 ), IF(AND(0 &lt; $A29, $A29 &lt; C$22), $B$5*B30/(1+B17) + $B$6*B29/(1+B16 ),"")))</f>
        <v>0.47169811320754712</v>
      </c>
      <c r="D29" s="21">
        <f t="shared" ref="D29:H29" ca="1" si="2">IF($A29=0,$B$5*C29/(1+C16), IF($A29=D$22, $B$5*C30/(1 +C17 ), IF(AND(0 &lt; $A29, $A29 &lt; D$22), $B$5*C30/(1+C17) + $B$6*C29/(1+C16 ),"")))</f>
        <v>0.22376570835272633</v>
      </c>
      <c r="E29" s="21">
        <f t="shared" ca="1" si="2"/>
        <v>0.1066973623654045</v>
      </c>
      <c r="F29" s="21">
        <f t="shared" ca="1" si="2"/>
        <v>5.1112998622935064E-2</v>
      </c>
      <c r="G29" s="21">
        <f t="shared" ca="1" si="2"/>
        <v>2.4588546586541731E-2</v>
      </c>
      <c r="H29" s="21">
        <f t="shared" ca="1" si="2"/>
        <v>1.1873598811537383E-2</v>
      </c>
      <c r="I29" s="24"/>
    </row>
    <row r="30" spans="1:9" ht="14" thickBot="1" x14ac:dyDescent="0.2">
      <c r="A30" s="53"/>
      <c r="B30" s="56"/>
      <c r="C30" s="56"/>
      <c r="D30" s="56"/>
      <c r="E30" s="56"/>
      <c r="F30" s="56"/>
      <c r="G30" s="56"/>
      <c r="H30" s="56"/>
      <c r="I30" s="60"/>
    </row>
    <row r="32" spans="1:9" ht="14" thickBot="1" x14ac:dyDescent="0.2"/>
    <row r="33" spans="1:8" ht="14" thickBot="1" x14ac:dyDescent="0.2">
      <c r="A33" s="116" t="s">
        <v>40</v>
      </c>
      <c r="B33" s="117"/>
      <c r="C33" s="77">
        <f>SUM(C23:C29)*100</f>
        <v>94.339622641509422</v>
      </c>
      <c r="D33" s="75">
        <f t="shared" ref="D33:H33" ca="1" si="3">SUM(D23:D29)*100</f>
        <v>88.632035922410125</v>
      </c>
      <c r="E33" s="75">
        <f t="shared" ca="1" si="3"/>
        <v>82.912229715343301</v>
      </c>
      <c r="F33" s="75">
        <f t="shared" ca="1" si="3"/>
        <v>77.217740328716005</v>
      </c>
      <c r="G33" s="75">
        <f t="shared" ca="1" si="3"/>
        <v>71.587751135477532</v>
      </c>
      <c r="H33" s="78">
        <f t="shared" ca="1" si="3"/>
        <v>66.061988866357908</v>
      </c>
    </row>
    <row r="34" spans="1:8" ht="14" thickBot="1" x14ac:dyDescent="0.2">
      <c r="A34" s="116" t="s">
        <v>14</v>
      </c>
      <c r="B34" s="117"/>
      <c r="C34" s="79">
        <f>(100/C33)^(1/C22)-1</f>
        <v>6.0000000000000053E-2</v>
      </c>
      <c r="D34" s="76">
        <f t="shared" ref="D34:H34" ca="1" si="4">(100/D33)^(1/D22)-1</f>
        <v>6.2195940523159576E-2</v>
      </c>
      <c r="E34" s="76">
        <f t="shared" ca="1" si="4"/>
        <v>6.4454580516027038E-2</v>
      </c>
      <c r="F34" s="76">
        <f t="shared" ca="1" si="4"/>
        <v>6.6769838003144066E-2</v>
      </c>
      <c r="G34" s="76">
        <f t="shared" ca="1" si="4"/>
        <v>6.9134283378631478E-2</v>
      </c>
      <c r="H34" s="80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T116"/>
  <sheetViews>
    <sheetView showGridLines="0" topLeftCell="A54" zoomScaleNormal="100" zoomScalePageLayoutView="130" workbookViewId="0">
      <selection activeCell="C58" sqref="C58:L68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1" customWidth="1"/>
    <col min="19" max="19" width="14.3984375" bestFit="1" customWidth="1"/>
    <col min="20" max="20" width="9.796875" bestFit="1" customWidth="1"/>
  </cols>
  <sheetData>
    <row r="1" spans="1:16" ht="14" thickBot="1" x14ac:dyDescent="0.2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4" thickBot="1" x14ac:dyDescent="0.2"/>
    <row r="3" spans="1:16" x14ac:dyDescent="0.15">
      <c r="A3" s="134" t="s">
        <v>15</v>
      </c>
      <c r="B3" s="135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/>
      <c r="N3" s="95"/>
      <c r="O3" s="95"/>
      <c r="P3" s="96"/>
    </row>
    <row r="4" spans="1:16" ht="14" thickBot="1" x14ac:dyDescent="0.2">
      <c r="A4" s="136" t="s">
        <v>43</v>
      </c>
      <c r="B4" s="137"/>
      <c r="C4" s="97">
        <v>3</v>
      </c>
      <c r="D4" s="97">
        <v>3.1</v>
      </c>
      <c r="E4" s="97">
        <v>3.2</v>
      </c>
      <c r="F4" s="97">
        <v>3.3</v>
      </c>
      <c r="G4" s="97">
        <v>3.4</v>
      </c>
      <c r="H4" s="97">
        <v>3.5</v>
      </c>
      <c r="I4" s="97">
        <v>3.55</v>
      </c>
      <c r="J4" s="97">
        <v>3.6</v>
      </c>
      <c r="K4" s="98">
        <v>3.65</v>
      </c>
      <c r="L4" s="97">
        <v>3.7</v>
      </c>
      <c r="M4" s="97"/>
      <c r="N4" s="97"/>
      <c r="O4" s="97"/>
      <c r="P4" s="99"/>
    </row>
    <row r="5" spans="1:16" ht="14" thickBot="1" x14ac:dyDescent="0.2">
      <c r="A5" s="138" t="s">
        <v>16</v>
      </c>
      <c r="B5" s="139"/>
      <c r="C5" s="100">
        <v>2.99999810502305</v>
      </c>
      <c r="D5" s="100">
        <v>3.1201739638318751</v>
      </c>
      <c r="E5" s="100">
        <v>3.2326247658601752</v>
      </c>
      <c r="F5" s="100">
        <v>3.3377106752200101</v>
      </c>
      <c r="G5" s="100">
        <v>3.4357098421025127</v>
      </c>
      <c r="H5" s="100">
        <v>3.5269576580709581</v>
      </c>
      <c r="I5" s="100">
        <v>3.3095247752813353</v>
      </c>
      <c r="J5" s="100">
        <v>3.3113002792939343</v>
      </c>
      <c r="K5" s="100">
        <v>3.3110426566654065</v>
      </c>
      <c r="L5" s="100">
        <v>3.3089560579458537</v>
      </c>
      <c r="M5" s="101"/>
      <c r="N5" s="101"/>
      <c r="O5" s="101"/>
      <c r="P5" s="102"/>
    </row>
    <row r="6" spans="1:16" x14ac:dyDescent="0.15">
      <c r="A6" s="81" t="s">
        <v>18</v>
      </c>
      <c r="B6" s="31">
        <v>0.05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/>
      <c r="O11" s="12"/>
      <c r="P11" s="12"/>
    </row>
    <row r="12" spans="1:16" x14ac:dyDescent="0.15">
      <c r="A12" s="12"/>
      <c r="B12" s="12">
        <v>13</v>
      </c>
      <c r="C12" s="4"/>
      <c r="D12" s="4" t="str">
        <f t="shared" ref="D12:M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/>
      <c r="N12" s="4"/>
      <c r="O12" s="4"/>
      <c r="P12" s="4"/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/>
      <c r="N13" s="4"/>
      <c r="O13" s="4"/>
      <c r="P13" s="4"/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/>
      <c r="N14" s="4"/>
      <c r="O14" s="4"/>
      <c r="P14" s="4"/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/>
      <c r="N15" s="4"/>
      <c r="O15" s="4"/>
      <c r="P15" s="4"/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5.1894761069279962</v>
      </c>
      <c r="M16" s="4"/>
      <c r="N16" s="4"/>
      <c r="O16" s="4"/>
      <c r="P16" s="4"/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4.9394952101572187</v>
      </c>
      <c r="L17" s="4">
        <f t="shared" si="0"/>
        <v>4.9363823706533232</v>
      </c>
      <c r="M17" s="4"/>
      <c r="N17" s="4"/>
      <c r="O17" s="4"/>
      <c r="P17" s="4"/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4.698958769993812</v>
      </c>
      <c r="K18" s="4">
        <f t="shared" si="0"/>
        <v>4.6985931860818848</v>
      </c>
      <c r="L18" s="4">
        <f t="shared" si="0"/>
        <v>4.6956321615520311</v>
      </c>
      <c r="M18" s="4"/>
      <c r="N18" s="4"/>
      <c r="O18" s="4"/>
      <c r="P18" s="4"/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4.4673911668045028</v>
      </c>
      <c r="J19" s="4">
        <f t="shared" si="0"/>
        <v>4.4697878465337961</v>
      </c>
      <c r="K19" s="4">
        <f t="shared" si="0"/>
        <v>4.4694400923596476</v>
      </c>
      <c r="L19" s="4">
        <f t="shared" si="0"/>
        <v>4.4666234787001819</v>
      </c>
      <c r="M19" s="4"/>
      <c r="N19" s="4"/>
      <c r="O19" s="4"/>
      <c r="P19" s="4"/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4.528703276544582</v>
      </c>
      <c r="I20" s="4">
        <f t="shared" si="0"/>
        <v>4.2495139286190202</v>
      </c>
      <c r="J20" s="4">
        <f t="shared" si="0"/>
        <v>4.2517937208986281</v>
      </c>
      <c r="K20" s="4">
        <f t="shared" si="0"/>
        <v>4.2514629268956847</v>
      </c>
      <c r="L20" s="4">
        <f t="shared" si="0"/>
        <v>4.2487836811053512</v>
      </c>
      <c r="M20" s="4"/>
      <c r="N20" s="4"/>
      <c r="O20" s="4"/>
      <c r="P20" s="4"/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4.1963854773820506</v>
      </c>
      <c r="H21" s="4">
        <f t="shared" si="0"/>
        <v>4.3078358114820015</v>
      </c>
      <c r="I21" s="4">
        <f t="shared" si="0"/>
        <v>4.0422626887280391</v>
      </c>
      <c r="J21" s="4">
        <f t="shared" si="0"/>
        <v>4.0444312942261522</v>
      </c>
      <c r="K21" s="4">
        <f t="shared" si="0"/>
        <v>4.0441166332371035</v>
      </c>
      <c r="L21" s="4">
        <f t="shared" si="0"/>
        <v>4.0415680558058682</v>
      </c>
      <c r="M21" s="4"/>
      <c r="N21" s="4"/>
      <c r="O21" s="4"/>
      <c r="P21" s="4"/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3.8778665547903466</v>
      </c>
      <c r="G22" s="4">
        <f t="shared" si="0"/>
        <v>3.9917253426332819</v>
      </c>
      <c r="H22" s="4">
        <f t="shared" si="0"/>
        <v>4.0977401797995903</v>
      </c>
      <c r="I22" s="4">
        <f t="shared" si="0"/>
        <v>3.8451192110794814</v>
      </c>
      <c r="J22" s="4">
        <f t="shared" si="0"/>
        <v>3.8471820524394205</v>
      </c>
      <c r="K22" s="4">
        <f t="shared" si="0"/>
        <v>3.8468827376478951</v>
      </c>
      <c r="L22" s="4">
        <f t="shared" si="0"/>
        <v>3.8444584558046855</v>
      </c>
      <c r="M22" s="4"/>
      <c r="N22" s="4"/>
      <c r="O22" s="4"/>
      <c r="P22" s="4"/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3.5726028802797654</v>
      </c>
      <c r="F23" s="4">
        <f t="shared" si="0"/>
        <v>3.6887407712037885</v>
      </c>
      <c r="G23" s="4">
        <f t="shared" si="0"/>
        <v>3.7970466004379726</v>
      </c>
      <c r="H23" s="4">
        <f t="shared" si="0"/>
        <v>3.8978910329842171</v>
      </c>
      <c r="I23" s="4">
        <f t="shared" si="0"/>
        <v>3.6575905342917752</v>
      </c>
      <c r="J23" s="4">
        <f t="shared" si="0"/>
        <v>3.6595527696914263</v>
      </c>
      <c r="K23" s="4">
        <f t="shared" si="0"/>
        <v>3.6592680526545389</v>
      </c>
      <c r="L23" s="4">
        <f t="shared" si="0"/>
        <v>3.6569620044319953</v>
      </c>
      <c r="M23" s="4"/>
      <c r="N23" s="4"/>
      <c r="O23" s="4"/>
      <c r="P23" s="4"/>
    </row>
    <row r="24" spans="1:17" x14ac:dyDescent="0.15">
      <c r="A24" s="12"/>
      <c r="B24" s="12">
        <v>1</v>
      </c>
      <c r="C24" s="4"/>
      <c r="D24" s="4">
        <f t="shared" si="0"/>
        <v>3.2801487038414603</v>
      </c>
      <c r="E24" s="4">
        <f t="shared" si="0"/>
        <v>3.3983649817781147</v>
      </c>
      <c r="F24" s="4">
        <f t="shared" si="0"/>
        <v>3.5088387609244998</v>
      </c>
      <c r="G24" s="4">
        <f t="shared" si="0"/>
        <v>3.6118624525370051</v>
      </c>
      <c r="H24" s="4">
        <f t="shared" si="0"/>
        <v>3.7077886440720706</v>
      </c>
      <c r="I24" s="4">
        <f t="shared" si="0"/>
        <v>3.4792077389936242</v>
      </c>
      <c r="J24" s="4">
        <f t="shared" si="0"/>
        <v>3.4810742750435693</v>
      </c>
      <c r="K24" s="4">
        <f t="shared" si="0"/>
        <v>3.4808034438204256</v>
      </c>
      <c r="L24" s="4">
        <f t="shared" si="0"/>
        <v>3.4786098628968243</v>
      </c>
      <c r="M24" s="4"/>
      <c r="N24" s="4"/>
      <c r="O24" s="4"/>
      <c r="P24" s="4"/>
    </row>
    <row r="25" spans="1:17" x14ac:dyDescent="0.15">
      <c r="A25" s="12"/>
      <c r="B25" s="12">
        <v>0</v>
      </c>
      <c r="C25" s="4">
        <f>IF( $B25 &lt;=C$11,(C$5+$B$6*$B25),"")</f>
        <v>2.99999810502305</v>
      </c>
      <c r="D25" s="2">
        <f t="shared" si="0"/>
        <v>3.1201739638318751</v>
      </c>
      <c r="E25" s="4">
        <f t="shared" si="0"/>
        <v>3.2326247658601752</v>
      </c>
      <c r="F25" s="4">
        <f t="shared" si="0"/>
        <v>3.3377106752200101</v>
      </c>
      <c r="G25" s="4">
        <f t="shared" si="0"/>
        <v>3.4357098421025127</v>
      </c>
      <c r="H25" s="4">
        <f t="shared" si="0"/>
        <v>3.5269576580709581</v>
      </c>
      <c r="I25" s="4">
        <f t="shared" si="0"/>
        <v>3.3095247752813353</v>
      </c>
      <c r="J25" s="4">
        <f t="shared" si="0"/>
        <v>3.3113002792939343</v>
      </c>
      <c r="K25" s="4">
        <f t="shared" si="0"/>
        <v>3.3110426566654065</v>
      </c>
      <c r="L25" s="4">
        <f t="shared" si="0"/>
        <v>3.3089560579458537</v>
      </c>
      <c r="M25" s="4"/>
      <c r="N25" s="4"/>
      <c r="O25" s="4"/>
      <c r="P25" s="4"/>
    </row>
    <row r="27" spans="1:17" ht="14" thickBot="1" x14ac:dyDescent="0.2"/>
    <row r="28" spans="1:17" ht="14" thickBot="1" x14ac:dyDescent="0.2">
      <c r="A28" s="131" t="s">
        <v>13</v>
      </c>
      <c r="B28" s="132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</row>
    <row r="30" spans="1:17" x14ac:dyDescent="0.15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/>
      <c r="O30" s="8"/>
      <c r="P30" s="8"/>
      <c r="Q30" s="8"/>
    </row>
    <row r="31" spans="1:17" x14ac:dyDescent="0.15">
      <c r="B31">
        <v>13</v>
      </c>
      <c r="C31" s="8"/>
      <c r="D31" s="8" t="str">
        <f t="shared" ref="D31:P31" si="2">IF($B31=0,$B$8*C31/(1+C12/100), IF($B31=D$29, $B$7*C32/(1 +C13/100 ), IF(AND(0 &lt; $B31, $B31 &lt; D$29), $B$7*C32/(1+C13/100) + $B$8*C31/(1+C12/100 ),"")))</f>
        <v/>
      </c>
      <c r="E31" s="8" t="str">
        <f t="shared" si="2"/>
        <v/>
      </c>
      <c r="F31" s="8" t="str">
        <f t="shared" si="2"/>
        <v/>
      </c>
      <c r="G31" s="8" t="str">
        <f t="shared" si="2"/>
        <v/>
      </c>
      <c r="H31" s="8" t="str">
        <f t="shared" si="2"/>
        <v/>
      </c>
      <c r="I31" s="8" t="str">
        <f t="shared" si="2"/>
        <v/>
      </c>
      <c r="J31" s="8" t="str">
        <f t="shared" si="2"/>
        <v/>
      </c>
      <c r="K31" s="8" t="str">
        <f t="shared" si="2"/>
        <v/>
      </c>
      <c r="L31" s="8" t="str">
        <f t="shared" si="2"/>
        <v/>
      </c>
      <c r="M31" s="8" t="str">
        <f t="shared" si="2"/>
        <v/>
      </c>
      <c r="N31" s="8"/>
      <c r="O31" s="8"/>
      <c r="P31" s="8"/>
      <c r="Q31" s="8"/>
    </row>
    <row r="32" spans="1:17" x14ac:dyDescent="0.15">
      <c r="B32">
        <v>12</v>
      </c>
      <c r="C32" s="8"/>
      <c r="D32" s="8" t="str">
        <f t="shared" ref="D32:P32" si="3">IF($B32=0,$B$8*C32/(1+C13/100), IF($B32=D$29, $B$7*C33/(1 +C14/100 ), IF(AND(0 &lt; $B32, $B32 &lt; D$29), $B$7*C33/(1+C14/100) + $B$8*C32/(1+C13/100 ),"")))</f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/>
      <c r="O32" s="8"/>
      <c r="P32" s="8"/>
      <c r="Q32" s="8"/>
    </row>
    <row r="33" spans="1:17" x14ac:dyDescent="0.15">
      <c r="B33">
        <v>11</v>
      </c>
      <c r="C33" s="8"/>
      <c r="D33" s="8" t="str">
        <f t="shared" ref="D33:P33" si="4">IF($B33=0,$B$8*C33/(1+C14/100), IF($B33=D$29, $B$7*C34/(1 +C15/100 ), IF(AND(0 &lt; $B33, $B33 &lt; D$29), $B$7*C34/(1+C15/100) + $B$8*C33/(1+C14/100 ),"")))</f>
        <v/>
      </c>
      <c r="E33" s="8" t="str">
        <f t="shared" si="4"/>
        <v/>
      </c>
      <c r="F33" s="8" t="str">
        <f t="shared" si="4"/>
        <v/>
      </c>
      <c r="G33" s="8" t="str">
        <f t="shared" si="4"/>
        <v/>
      </c>
      <c r="H33" s="8" t="str">
        <f t="shared" si="4"/>
        <v/>
      </c>
      <c r="I33" s="8" t="str">
        <f t="shared" si="4"/>
        <v/>
      </c>
      <c r="J33" s="8" t="str">
        <f t="shared" si="4"/>
        <v/>
      </c>
      <c r="K33" s="8" t="str">
        <f t="shared" si="4"/>
        <v/>
      </c>
      <c r="L33" s="8" t="str">
        <f t="shared" si="4"/>
        <v/>
      </c>
      <c r="M33" s="8" t="str">
        <f t="shared" si="4"/>
        <v/>
      </c>
      <c r="N33" s="8"/>
      <c r="O33" s="8"/>
      <c r="P33" s="8"/>
      <c r="Q33" s="8"/>
    </row>
    <row r="34" spans="1:17" x14ac:dyDescent="0.15">
      <c r="B34">
        <v>10</v>
      </c>
      <c r="C34" s="8"/>
      <c r="D34" s="8" t="str">
        <f t="shared" ref="D34:P34" si="5">IF($B34=0,$B$8*C34/(1+C15/100), IF($B34=D$29, $B$7*C35/(1 +C16/100 ), IF(AND(0 &lt; $B34, $B34 &lt; D$29), $B$7*C35/(1+C16/100) + $B$8*C34/(1+C15/100 ),"")))</f>
        <v/>
      </c>
      <c r="E34" s="8" t="str">
        <f t="shared" si="5"/>
        <v/>
      </c>
      <c r="F34" s="8" t="str">
        <f t="shared" si="5"/>
        <v/>
      </c>
      <c r="G34" s="8" t="str">
        <f t="shared" si="5"/>
        <v/>
      </c>
      <c r="H34" s="8" t="str">
        <f t="shared" si="5"/>
        <v/>
      </c>
      <c r="I34" s="8" t="str">
        <f t="shared" si="5"/>
        <v/>
      </c>
      <c r="J34" s="8" t="str">
        <f t="shared" si="5"/>
        <v/>
      </c>
      <c r="K34" s="8" t="str">
        <f t="shared" si="5"/>
        <v/>
      </c>
      <c r="L34" s="8" t="str">
        <f t="shared" si="5"/>
        <v/>
      </c>
      <c r="M34" s="8">
        <f t="shared" si="5"/>
        <v>6.4886667289813218E-4</v>
      </c>
      <c r="N34" s="8"/>
      <c r="O34" s="8"/>
      <c r="P34" s="8"/>
      <c r="Q34" s="8"/>
    </row>
    <row r="35" spans="1:17" x14ac:dyDescent="0.15">
      <c r="B35">
        <v>9</v>
      </c>
      <c r="C35" s="8"/>
      <c r="D35" s="8" t="str">
        <f t="shared" ref="D35:P35" si="6">IF($B35=0,$B$8*C35/(1+C16/100), IF($B35=D$29, $B$7*C36/(1 +C17/100 ), IF(AND(0 &lt; $B35, $B35 &lt; D$29), $B$7*C36/(1+C17/100) + $B$8*C35/(1+C16/100 ),"")))</f>
        <v/>
      </c>
      <c r="E35" s="8" t="str">
        <f t="shared" si="6"/>
        <v/>
      </c>
      <c r="F35" s="8" t="str">
        <f t="shared" si="6"/>
        <v/>
      </c>
      <c r="G35" s="8" t="str">
        <f t="shared" si="6"/>
        <v/>
      </c>
      <c r="H35" s="8" t="str">
        <f t="shared" si="6"/>
        <v/>
      </c>
      <c r="I35" s="8" t="str">
        <f t="shared" si="6"/>
        <v/>
      </c>
      <c r="J35" s="8" t="str">
        <f t="shared" si="6"/>
        <v/>
      </c>
      <c r="K35" s="8" t="str">
        <f t="shared" si="6"/>
        <v/>
      </c>
      <c r="L35" s="8">
        <f t="shared" si="6"/>
        <v>1.3650789077079986E-3</v>
      </c>
      <c r="M35" s="8">
        <f t="shared" si="6"/>
        <v>6.5518650798972638E-3</v>
      </c>
      <c r="N35" s="8"/>
      <c r="O35" s="8"/>
      <c r="P35" s="8"/>
      <c r="Q35" s="8"/>
    </row>
    <row r="36" spans="1:17" x14ac:dyDescent="0.15">
      <c r="B36">
        <v>8</v>
      </c>
      <c r="C36" s="8"/>
      <c r="D36" s="8" t="str">
        <f t="shared" ref="D36:P36" si="7">IF($B36=0,$B$8*C36/(1+C17/100), IF($B36=D$29, $B$7*C37/(1 +C18/100 ), IF(AND(0 &lt; $B36, $B36 &lt; D$29), $B$7*C37/(1+C18/100) + $B$8*C36/(1+C17/100 ),"")))</f>
        <v/>
      </c>
      <c r="E36" s="8" t="str">
        <f t="shared" si="7"/>
        <v/>
      </c>
      <c r="F36" s="8" t="str">
        <f t="shared" si="7"/>
        <v/>
      </c>
      <c r="G36" s="8" t="str">
        <f t="shared" si="7"/>
        <v/>
      </c>
      <c r="H36" s="8" t="str">
        <f t="shared" si="7"/>
        <v/>
      </c>
      <c r="I36" s="8" t="str">
        <f t="shared" si="7"/>
        <v/>
      </c>
      <c r="J36" s="8" t="str">
        <f t="shared" si="7"/>
        <v/>
      </c>
      <c r="K36" s="8">
        <f t="shared" si="7"/>
        <v>2.8650138299382033E-3</v>
      </c>
      <c r="L36" s="8">
        <f t="shared" si="7"/>
        <v>1.2388785959404368E-2</v>
      </c>
      <c r="M36" s="8">
        <f t="shared" si="7"/>
        <v>2.9762108124498213E-2</v>
      </c>
      <c r="N36" s="8"/>
      <c r="O36" s="8"/>
      <c r="P36" s="8"/>
      <c r="Q36" s="8"/>
    </row>
    <row r="37" spans="1:17" x14ac:dyDescent="0.15">
      <c r="B37">
        <v>7</v>
      </c>
      <c r="C37" s="8"/>
      <c r="D37" s="8" t="str">
        <f t="shared" ref="D37:P37" si="8">IF($B37=0,$B$8*C37/(1+C18/100), IF($B37=D$29, $B$7*C38/(1 +C19/100 ), IF(AND(0 &lt; $B37, $B37 &lt; D$29), $B$7*C38/(1+C19/100) + $B$8*C37/(1+C18/100 ),"")))</f>
        <v/>
      </c>
      <c r="E37" s="8" t="str">
        <f t="shared" si="8"/>
        <v/>
      </c>
      <c r="F37" s="8" t="str">
        <f t="shared" si="8"/>
        <v/>
      </c>
      <c r="G37" s="8" t="str">
        <f t="shared" si="8"/>
        <v/>
      </c>
      <c r="H37" s="8" t="str">
        <f t="shared" si="8"/>
        <v/>
      </c>
      <c r="I37" s="8" t="str">
        <f t="shared" si="8"/>
        <v/>
      </c>
      <c r="J37" s="8">
        <f t="shared" si="8"/>
        <v>5.9992792971232407E-3</v>
      </c>
      <c r="K37" s="8">
        <f t="shared" si="8"/>
        <v>2.3083332400162002E-2</v>
      </c>
      <c r="L37" s="8">
        <f t="shared" si="8"/>
        <v>4.9958891493707906E-2</v>
      </c>
      <c r="M37" s="8">
        <f t="shared" si="8"/>
        <v>8.0093876078269746E-2</v>
      </c>
      <c r="N37" s="8"/>
      <c r="O37" s="8"/>
      <c r="P37" s="8"/>
      <c r="Q37" s="8"/>
    </row>
    <row r="38" spans="1:17" x14ac:dyDescent="0.15">
      <c r="B38">
        <v>6</v>
      </c>
      <c r="C38" s="8"/>
      <c r="D38" s="8" t="str">
        <f t="shared" ref="D38:P38" si="9">IF($B38=0,$B$8*C38/(1+C19/100), IF($B38=D$29, $B$7*C39/(1 +C20/100 ), IF(AND(0 &lt; $B38, $B38 &lt; D$29), $B$7*C39/(1+C20/100) + $B$8*C38/(1+C19/100 ),"")))</f>
        <v/>
      </c>
      <c r="E38" s="8" t="str">
        <f t="shared" si="9"/>
        <v/>
      </c>
      <c r="F38" s="8" t="str">
        <f t="shared" si="9"/>
        <v/>
      </c>
      <c r="G38" s="8" t="str">
        <f t="shared" si="9"/>
        <v/>
      </c>
      <c r="H38" s="8" t="str">
        <f t="shared" si="9"/>
        <v/>
      </c>
      <c r="I38" s="8">
        <f t="shared" si="9"/>
        <v>1.2534581141029712E-2</v>
      </c>
      <c r="J38" s="8">
        <f t="shared" si="9"/>
        <v>4.2244069032898297E-2</v>
      </c>
      <c r="K38" s="8">
        <f t="shared" si="9"/>
        <v>8.1350738370993964E-2</v>
      </c>
      <c r="L38" s="8">
        <f t="shared" si="9"/>
        <v>0.11749312327646608</v>
      </c>
      <c r="M38" s="8">
        <f t="shared" si="9"/>
        <v>0.1414127871708093</v>
      </c>
      <c r="N38" s="8"/>
      <c r="O38" s="8"/>
      <c r="P38" s="8"/>
      <c r="Q38" s="8"/>
    </row>
    <row r="39" spans="1:17" x14ac:dyDescent="0.15">
      <c r="B39">
        <v>5</v>
      </c>
      <c r="C39" s="8"/>
      <c r="D39" s="8" t="str">
        <f t="shared" ref="D39:P39" si="10">IF($B39=0,$B$8*C39/(1+C20/100), IF($B39=D$29, $B$7*C40/(1 +C21/100 ), IF(AND(0 &lt; $B39, $B39 &lt; D$29), $B$7*C40/(1+C21/100) + $B$8*C39/(1+C20/100 ),"")))</f>
        <v/>
      </c>
      <c r="E39" s="8" t="str">
        <f t="shared" si="10"/>
        <v/>
      </c>
      <c r="F39" s="8" t="str">
        <f t="shared" si="10"/>
        <v/>
      </c>
      <c r="G39" s="8" t="str">
        <f t="shared" si="10"/>
        <v/>
      </c>
      <c r="H39" s="8">
        <f t="shared" si="10"/>
        <v>2.6204470255729327E-2</v>
      </c>
      <c r="I39" s="8">
        <f t="shared" si="10"/>
        <v>7.5570034247990997E-2</v>
      </c>
      <c r="J39" s="8">
        <f t="shared" si="10"/>
        <v>0.12746328837458543</v>
      </c>
      <c r="K39" s="8">
        <f t="shared" si="10"/>
        <v>0.16379560096026954</v>
      </c>
      <c r="L39" s="8">
        <f t="shared" si="10"/>
        <v>0.17759410131620815</v>
      </c>
      <c r="M39" s="8">
        <f t="shared" si="10"/>
        <v>0.17116278005893623</v>
      </c>
      <c r="N39" s="8"/>
      <c r="O39" s="8"/>
      <c r="P39" s="8"/>
      <c r="Q39" s="8"/>
    </row>
    <row r="40" spans="1:17" x14ac:dyDescent="0.15">
      <c r="B40">
        <v>4</v>
      </c>
      <c r="C40" s="8"/>
      <c r="D40" s="8" t="str">
        <f t="shared" ref="D40:P40" si="11">IF($B40=0,$B$8*C40/(1+C21/100), IF($B40=D$29, $B$7*C41/(1 +C22/100 ), IF(AND(0 &lt; $B40, $B40 &lt; D$29), $B$7*C41/(1+C22/100) + $B$8*C40/(1+C21/100 ),"")))</f>
        <v/>
      </c>
      <c r="E40" s="8" t="str">
        <f t="shared" si="11"/>
        <v/>
      </c>
      <c r="F40" s="8" t="str">
        <f t="shared" si="11"/>
        <v/>
      </c>
      <c r="G40" s="8">
        <f t="shared" si="11"/>
        <v>5.4608221679931304E-2</v>
      </c>
      <c r="H40" s="8">
        <f t="shared" si="11"/>
        <v>0.1315018338596658</v>
      </c>
      <c r="I40" s="8">
        <f t="shared" si="11"/>
        <v>0.18981157994900982</v>
      </c>
      <c r="J40" s="8">
        <f t="shared" si="11"/>
        <v>0.21363064597192449</v>
      </c>
      <c r="K40" s="8">
        <f t="shared" si="11"/>
        <v>0.20608260080319585</v>
      </c>
      <c r="L40" s="8">
        <f t="shared" si="11"/>
        <v>0.17891978362312527</v>
      </c>
      <c r="M40" s="8">
        <f t="shared" si="11"/>
        <v>0.14383318558158245</v>
      </c>
      <c r="N40" s="8"/>
      <c r="O40" s="8"/>
      <c r="P40" s="8"/>
      <c r="Q40" s="8"/>
    </row>
    <row r="41" spans="1:17" x14ac:dyDescent="0.15">
      <c r="B41">
        <v>3</v>
      </c>
      <c r="C41" s="8"/>
      <c r="D41" s="8" t="str">
        <f t="shared" ref="D41:P41" si="12">IF($B41=0,$B$8*C41/(1+C22/100), IF($B41=D$29, $B$7*C42/(1 +C23/100 ), IF(AND(0 &lt; $B41, $B41 &lt; D$29), $B$7*C42/(1+C23/100) + $B$8*C41/(1+C22/100 ),"")))</f>
        <v/>
      </c>
      <c r="E41" s="8" t="str">
        <f t="shared" si="12"/>
        <v/>
      </c>
      <c r="F41" s="8">
        <f t="shared" si="12"/>
        <v>0.11345171128924626</v>
      </c>
      <c r="G41" s="8">
        <f t="shared" si="12"/>
        <v>0.21900109030407905</v>
      </c>
      <c r="H41" s="8">
        <f t="shared" si="12"/>
        <v>0.26394216626009775</v>
      </c>
      <c r="I41" s="8">
        <f t="shared" si="12"/>
        <v>0.25423808065382925</v>
      </c>
      <c r="J41" s="8">
        <f t="shared" si="12"/>
        <v>0.21479630598993152</v>
      </c>
      <c r="K41" s="8">
        <f t="shared" si="12"/>
        <v>0.16591330074653426</v>
      </c>
      <c r="L41" s="8">
        <f t="shared" si="12"/>
        <v>0.12014477010076338</v>
      </c>
      <c r="M41" s="8">
        <f t="shared" si="12"/>
        <v>8.286041142157613E-2</v>
      </c>
      <c r="N41" s="8"/>
      <c r="O41" s="8"/>
      <c r="P41" s="8"/>
      <c r="Q41" s="8"/>
    </row>
    <row r="42" spans="1:17" x14ac:dyDescent="0.15">
      <c r="B42">
        <v>2</v>
      </c>
      <c r="C42" s="8"/>
      <c r="D42" s="8" t="str">
        <f t="shared" ref="D42:P42" si="13">IF($B42=0,$B$8*C42/(1+C23/100), IF($B42=D$29, $B$7*C43/(1 +C24/100 ), IF(AND(0 &lt; $B42, $B42 &lt; D$29), $B$7*C43/(1+C24/100) + $B$8*C42/(1+C23/100 ),"")))</f>
        <v/>
      </c>
      <c r="E42" s="8">
        <f t="shared" si="13"/>
        <v>0.2350097807889851</v>
      </c>
      <c r="F42" s="8">
        <f t="shared" si="13"/>
        <v>0.34091379078807627</v>
      </c>
      <c r="G42" s="8">
        <f t="shared" si="13"/>
        <v>0.32933723948437721</v>
      </c>
      <c r="H42" s="8">
        <f t="shared" si="13"/>
        <v>0.26486056375975309</v>
      </c>
      <c r="I42" s="8">
        <f t="shared" si="13"/>
        <v>0.19152638579806847</v>
      </c>
      <c r="J42" s="8">
        <f t="shared" si="13"/>
        <v>0.12956175531924877</v>
      </c>
      <c r="K42" s="8">
        <f t="shared" si="13"/>
        <v>8.3468824641788786E-2</v>
      </c>
      <c r="L42" s="8">
        <f t="shared" si="13"/>
        <v>5.1853327760292459E-2</v>
      </c>
      <c r="M42" s="8">
        <f t="shared" si="13"/>
        <v>3.1318626556025901E-2</v>
      </c>
      <c r="N42" s="8"/>
      <c r="O42" s="8"/>
      <c r="P42" s="8"/>
      <c r="Q42" s="8"/>
    </row>
    <row r="43" spans="1:17" x14ac:dyDescent="0.15">
      <c r="B43">
        <v>1</v>
      </c>
      <c r="C43" s="8"/>
      <c r="D43" s="8">
        <f>IF($B43=0,$B$8*C43/(1+C24/100), IF($B43=D$29, $B$7*C44/(1 +C25/100 ), IF(AND(0 &lt; $B43, $B43 &lt; D$29), $B$7*C44/(1+C25/100) + $B$8*C43/(1+C24/100 ),"")))</f>
        <v>0.48543690213487128</v>
      </c>
      <c r="E43" s="8">
        <f t="shared" ref="D43:P43" si="14">IF($B43=0,$B$8*D43/(1+D24/100), IF($B43=E$29, $B$7*D44/(1 +D25/100 ), IF(AND(0 &lt; $B43, $B43 &lt; E$29), $B$7*D44/(1+D25/100) + $B$8*D43/(1+D24/100 ),"")))</f>
        <v>0.47038414231068515</v>
      </c>
      <c r="F43" s="8">
        <f t="shared" si="14"/>
        <v>0.34146400575787256</v>
      </c>
      <c r="G43" s="8">
        <f t="shared" si="14"/>
        <v>0.2201042565951376</v>
      </c>
      <c r="H43" s="8">
        <f t="shared" si="14"/>
        <v>0.13287961144072929</v>
      </c>
      <c r="I43" s="8">
        <f t="shared" si="14"/>
        <v>7.6942164965365059E-2</v>
      </c>
      <c r="J43" s="8">
        <f t="shared" si="14"/>
        <v>4.341019380538063E-2</v>
      </c>
      <c r="K43" s="8">
        <f t="shared" si="14"/>
        <v>2.3991359519632629E-2</v>
      </c>
      <c r="L43" s="8">
        <f t="shared" si="14"/>
        <v>1.3052049838455811E-2</v>
      </c>
      <c r="M43" s="8">
        <f t="shared" si="14"/>
        <v>7.0131973618317994E-3</v>
      </c>
      <c r="N43" s="8"/>
      <c r="O43" s="8"/>
      <c r="P43" s="8"/>
      <c r="Q43" s="8"/>
    </row>
    <row r="44" spans="1:17" x14ac:dyDescent="0.15">
      <c r="B44">
        <v>0</v>
      </c>
      <c r="C44" s="8">
        <v>1</v>
      </c>
      <c r="D44" s="9">
        <f t="shared" ref="D44:P44" si="15">IF($B44=0,$B$8*C44/(1+C25/100), IF($B44=D$29, $B$7*C45/(1 +C26/100 ), IF(AND(0 &lt; $B44, $B44 &lt; D$29), $B$7*C45/(1+C26/100) + $B$8*C44/(1+C25/100 ),"")))</f>
        <v>0.48543690213487128</v>
      </c>
      <c r="E44" s="8">
        <f t="shared" si="15"/>
        <v>0.23537436152170002</v>
      </c>
      <c r="F44" s="8">
        <f t="shared" si="15"/>
        <v>0.11400192625904255</v>
      </c>
      <c r="G44" s="8">
        <f t="shared" si="15"/>
        <v>5.5159885734908085E-2</v>
      </c>
      <c r="H44" s="8">
        <f t="shared" si="15"/>
        <v>2.6663850337137526E-2</v>
      </c>
      <c r="I44" s="8">
        <f t="shared" si="15"/>
        <v>1.2877732979077267E-2</v>
      </c>
      <c r="J44" s="8">
        <f t="shared" si="15"/>
        <v>6.2325971429492517E-3</v>
      </c>
      <c r="K44" s="8">
        <f t="shared" si="15"/>
        <v>3.0164159806816476E-3</v>
      </c>
      <c r="L44" s="8">
        <f t="shared" si="15"/>
        <v>1.4598710375550716E-3</v>
      </c>
      <c r="M44" s="8">
        <f t="shared" si="15"/>
        <v>7.0655589469717994E-4</v>
      </c>
      <c r="N44" s="8"/>
      <c r="O44" s="8"/>
      <c r="P44" s="8"/>
      <c r="Q44" s="8"/>
    </row>
    <row r="46" spans="1:17" ht="14" thickBot="1" x14ac:dyDescent="0.2"/>
    <row r="47" spans="1:17" ht="14" thickBot="1" x14ac:dyDescent="0.2">
      <c r="A47" s="131" t="s">
        <v>41</v>
      </c>
      <c r="B47" s="133"/>
      <c r="C47" s="132"/>
      <c r="D47" s="92">
        <f>SUM(D30:D44)</f>
        <v>0.97087380426974257</v>
      </c>
      <c r="E47" s="93">
        <f>SUM(E30:E44)</f>
        <v>0.94076828462137019</v>
      </c>
      <c r="F47" s="93">
        <f t="shared" ref="F47:Q47" si="16">SUM(F30:F44)</f>
        <v>0.90983143409423772</v>
      </c>
      <c r="G47" s="93">
        <f t="shared" si="16"/>
        <v>0.87821069379843331</v>
      </c>
      <c r="H47" s="93">
        <f t="shared" si="16"/>
        <v>0.84605249591311282</v>
      </c>
      <c r="I47" s="93">
        <f t="shared" si="16"/>
        <v>0.81350055973437063</v>
      </c>
      <c r="J47" s="93">
        <f t="shared" si="16"/>
        <v>0.78333813493404147</v>
      </c>
      <c r="K47" s="93">
        <f t="shared" si="16"/>
        <v>0.75356718725319694</v>
      </c>
      <c r="L47" s="93">
        <f t="shared" si="16"/>
        <v>0.72422978331368659</v>
      </c>
      <c r="M47" s="93">
        <f t="shared" si="16"/>
        <v>0.69536426000102236</v>
      </c>
      <c r="N47" s="93"/>
      <c r="O47" s="93"/>
      <c r="P47" s="93"/>
      <c r="Q47" s="94"/>
    </row>
    <row r="48" spans="1:17" ht="14" thickBot="1" x14ac:dyDescent="0.2">
      <c r="A48" s="131" t="s">
        <v>42</v>
      </c>
      <c r="B48" s="133"/>
      <c r="C48" s="132"/>
      <c r="D48" s="89">
        <f>100*((1/D47)^(1/D29)-1)</f>
        <v>2.9999981050230495</v>
      </c>
      <c r="E48" s="90">
        <f t="shared" ref="E48:Q48" si="17">100*((1/E47)^(1/E29)-1)</f>
        <v>3.1000001758155982</v>
      </c>
      <c r="F48" s="90">
        <f t="shared" si="17"/>
        <v>3.1999976852497447</v>
      </c>
      <c r="G48" s="90">
        <f t="shared" si="17"/>
        <v>3.2999995720172093</v>
      </c>
      <c r="H48" s="90">
        <f t="shared" si="17"/>
        <v>3.3999997717572006</v>
      </c>
      <c r="I48" s="90">
        <f t="shared" si="17"/>
        <v>3.5000017933494387</v>
      </c>
      <c r="J48" s="90">
        <f t="shared" si="17"/>
        <v>3.550000264101083</v>
      </c>
      <c r="K48" s="90">
        <f t="shared" si="17"/>
        <v>3.5999993175387379</v>
      </c>
      <c r="L48" s="90">
        <f t="shared" si="17"/>
        <v>3.6499963220383957</v>
      </c>
      <c r="M48" s="90">
        <f t="shared" si="17"/>
        <v>3.7000016917038359</v>
      </c>
      <c r="N48" s="90"/>
      <c r="O48" s="90"/>
      <c r="P48" s="90"/>
      <c r="Q48" s="91"/>
    </row>
    <row r="49" spans="1:17" ht="14" thickBot="1" x14ac:dyDescent="0.2"/>
    <row r="50" spans="1:17" ht="14" thickBot="1" x14ac:dyDescent="0.2">
      <c r="A50" s="131" t="s">
        <v>20</v>
      </c>
      <c r="B50" s="133"/>
      <c r="C50" s="132"/>
      <c r="D50" s="87">
        <f>(D48-C4)^2</f>
        <v>3.5909376428021703E-12</v>
      </c>
      <c r="E50" s="87">
        <f t="shared" ref="D50:Q50" si="18">(E48-D4)^2</f>
        <v>3.0911124528305485E-14</v>
      </c>
      <c r="F50" s="87">
        <f t="shared" si="18"/>
        <v>5.358068745208245E-12</v>
      </c>
      <c r="G50" s="87">
        <f t="shared" si="18"/>
        <v>1.8316926899898919E-13</v>
      </c>
      <c r="H50" s="87">
        <f t="shared" si="18"/>
        <v>5.209477544471884E-14</v>
      </c>
      <c r="I50" s="87">
        <f t="shared" si="18"/>
        <v>3.2161022093856275E-12</v>
      </c>
      <c r="J50" s="87">
        <f t="shared" si="18"/>
        <v>6.9749382160588544E-14</v>
      </c>
      <c r="K50" s="87">
        <f t="shared" si="18"/>
        <v>4.6575337436157524E-13</v>
      </c>
      <c r="L50" s="87">
        <f t="shared" si="18"/>
        <v>1.3527401561711188E-11</v>
      </c>
      <c r="M50" s="87">
        <f t="shared" si="18"/>
        <v>2.8618618676621724E-12</v>
      </c>
      <c r="N50" s="87"/>
      <c r="O50" s="87"/>
      <c r="P50" s="87"/>
      <c r="Q50" s="88"/>
    </row>
    <row r="51" spans="1:17" ht="14" thickBot="1" x14ac:dyDescent="0.2">
      <c r="A51" s="131" t="s">
        <v>19</v>
      </c>
      <c r="B51" s="133"/>
      <c r="C51" s="132"/>
      <c r="D51" s="87">
        <f>SUM(D50:M50)</f>
        <v>2.9356049952263578E-11</v>
      </c>
    </row>
    <row r="55" spans="1:17" ht="14" thickBot="1" x14ac:dyDescent="0.2"/>
    <row r="56" spans="1:17" ht="14" thickBot="1" x14ac:dyDescent="0.2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>
        <v>10</v>
      </c>
      <c r="N57" s="12"/>
      <c r="O57" s="12"/>
      <c r="P57" s="12"/>
    </row>
    <row r="58" spans="1:17" x14ac:dyDescent="0.15">
      <c r="A58" s="12"/>
      <c r="B58" s="12">
        <v>10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7"/>
      <c r="N58" s="12"/>
      <c r="O58" s="12"/>
      <c r="P58" s="12"/>
    </row>
    <row r="59" spans="1:17" x14ac:dyDescent="0.15">
      <c r="A59" s="12"/>
      <c r="B59" s="12">
        <v>9</v>
      </c>
      <c r="C59" s="16" t="str">
        <f>IF($B59&lt;= C$57, ($B$7*D57+$B$8*D59)/(1+C16/100),"")</f>
        <v/>
      </c>
      <c r="D59" s="16" t="str">
        <f>IF($B59&lt;= D$57, ($B$7*E57+$B$8*E59)/(1+D16/100),"")</f>
        <v/>
      </c>
      <c r="E59" s="16" t="str">
        <f>IF($B59&lt;= E$57, MAX((E16/100-$C$71)/(1+E16/100) +($B$7*F57+$B$8*F59)/(1+E16/100) - $C$74,0),"")</f>
        <v/>
      </c>
      <c r="F59" s="17" t="str">
        <f>IF($B59&lt;= F$57, (F16/100-$C$71)/(1+F16/100) +($B$7*G57+$B$8*G59)/(1+F16/100),"")</f>
        <v/>
      </c>
      <c r="G59" s="17" t="str">
        <f>IF($B59&lt;= G$57, (G16/100-$C$71)/(1+G16/100) +($B$7*H57+$B$8*H59)/(1+G16/100),"")</f>
        <v/>
      </c>
      <c r="H59" s="17" t="str">
        <f>IF($B59&lt;= H$57, (H16/100-$C$71)/(1+H16/100) +($B$7*I57+$B$8*I59)/(1+H16/100),"")</f>
        <v/>
      </c>
      <c r="I59" s="17" t="str">
        <f>IF($B59&lt;= I$57, (I16/100-$C$71)/(1+I16/100) +($B$7*J57+$B$8*J59)/(1+I16/100),"")</f>
        <v/>
      </c>
      <c r="J59" s="17" t="str">
        <f>IF($B59&lt;= J$57, (J16/100-$C$71)/(1+J16/100) +($B$7*K57+$B$8*K59)/(1+J16/100),"")</f>
        <v/>
      </c>
      <c r="K59" s="17" t="str">
        <f>IF($B59&lt;= K$57, (K16/100-$C$71)/(1+K16/100) +($B$7*L57+$B$8*L59)/(1+K16/100),"")</f>
        <v/>
      </c>
      <c r="L59" s="17">
        <f>IF($B59&lt;= L$57, (L16/100-$C$71)/(1+L16/100),"")</f>
        <v>1.2258603756303608E-2</v>
      </c>
      <c r="M59" s="17"/>
      <c r="N59" s="4"/>
      <c r="O59" s="4"/>
      <c r="P59" s="4"/>
    </row>
    <row r="60" spans="1:17" x14ac:dyDescent="0.15">
      <c r="A60" s="12"/>
      <c r="B60" s="12">
        <v>8</v>
      </c>
      <c r="C60" s="16" t="str">
        <f>IF($B60&lt;= C$57, ($B$7*D59+$B$8*D60)/(1+C17/100),"")</f>
        <v/>
      </c>
      <c r="D60" s="16" t="str">
        <f>IF($B60&lt;= D$57, ($B$7*E59+$B$8*E60)/(1+D17/100),"")</f>
        <v/>
      </c>
      <c r="E60" s="16" t="str">
        <f>IF($B60&lt;= E$57, MAX((E17/100-$C$71)/(1+E17/100) +($B$7*F59+$B$8*F60)/(1+E17/100) - $C$74,0),"")</f>
        <v/>
      </c>
      <c r="F60" s="17" t="str">
        <f>IF($B60&lt;= F$57, (F17/100-$C$71)/(1+F17/100) +($B$7*G59+$B$8*G60)/(1+F17/100),"")</f>
        <v/>
      </c>
      <c r="G60" s="17" t="str">
        <f>IF($B60&lt;= G$57, (G17/100-$C$71)/(1+G17/100) +($B$7*H59+$B$8*H60)/(1+G17/100),"")</f>
        <v/>
      </c>
      <c r="H60" s="17" t="str">
        <f>IF($B60&lt;= H$57, (H17/100-$C$71)/(1+H17/100) +($B$7*I59+$B$8*I60)/(1+H17/100),"")</f>
        <v/>
      </c>
      <c r="I60" s="17" t="str">
        <f>IF($B60&lt;= I$57, (I17/100-$C$71)/(1+I17/100) +($B$7*J59+$B$8*J60)/(1+I17/100),"")</f>
        <v/>
      </c>
      <c r="J60" s="17" t="str">
        <f>IF($B60&lt;= J$57, (J17/100-$C$71)/(1+J17/100) +($B$7*K59+$B$8*K60)/(1+J17/100),"")</f>
        <v/>
      </c>
      <c r="K60" s="17">
        <f>IF($B60&lt;= K$57, (K17/100-$C$71)/(1+K17/100) +($B$7*L59+$B$8*L60)/(1+K17/100),"")</f>
        <v>2.0452166286338648E-2</v>
      </c>
      <c r="L60" s="17">
        <f>IF($B60&lt;= L$57, (L17/100-$C$71)/(1+L17/100),"")</f>
        <v>9.8762921614034913E-3</v>
      </c>
      <c r="M60" s="17"/>
      <c r="N60" s="4"/>
      <c r="O60" s="4"/>
      <c r="P60" s="4"/>
    </row>
    <row r="61" spans="1:17" x14ac:dyDescent="0.15">
      <c r="A61" s="12"/>
      <c r="B61" s="12">
        <v>7</v>
      </c>
      <c r="C61" s="16" t="str">
        <f>IF($B61&lt;= C$57, ($B$7*D60+$B$8*D61)/(1+C18/100),"")</f>
        <v/>
      </c>
      <c r="D61" s="16" t="str">
        <f>IF($B61&lt;= D$57, ($B$7*E60+$B$8*E61)/(1+D18/100),"")</f>
        <v/>
      </c>
      <c r="E61" s="16" t="str">
        <f>IF($B61&lt;= E$57, MAX((E18/100-$C$71)/(1+E18/100) +($B$7*F60+$B$8*F61)/(1+E18/100) - $C$74,0),"")</f>
        <v/>
      </c>
      <c r="F61" s="17" t="str">
        <f>IF($B61&lt;= F$57, (F18/100-$C$71)/(1+F18/100) +($B$7*G60+$B$8*G61)/(1+F18/100),"")</f>
        <v/>
      </c>
      <c r="G61" s="17" t="str">
        <f>IF($B61&lt;= G$57, (G18/100-$C$71)/(1+G18/100) +($B$7*H60+$B$8*H61)/(1+G18/100),"")</f>
        <v/>
      </c>
      <c r="H61" s="17" t="str">
        <f>IF($B61&lt;= H$57, (H18/100-$C$71)/(1+H18/100) +($B$7*I60+$B$8*I61)/(1+H18/100),"")</f>
        <v/>
      </c>
      <c r="I61" s="17" t="str">
        <f>IF($B61&lt;= I$57, (I18/100-$C$71)/(1+I18/100) +($B$7*J60+$B$8*J61)/(1+I18/100),"")</f>
        <v/>
      </c>
      <c r="J61" s="17">
        <f>IF($B61&lt;= J$57, (J18/100-$C$71)/(1+J18/100) +($B$7*K60+$B$8*K61)/(1+J18/100),"")</f>
        <v>2.5026341737373201E-2</v>
      </c>
      <c r="K61" s="17">
        <f>IF($B61&lt;= K$57, (K18/100-$C$71)/(1+K18/100) +($B$7*L60+$B$8*L61)/(1+K18/100),"")</f>
        <v>1.5973296748285359E-2</v>
      </c>
      <c r="L61" s="17">
        <f>IF($B61&lt;= L$57, (L18/100-$C$71)/(1+L18/100),"")</f>
        <v>7.5994780787446798E-3</v>
      </c>
      <c r="M61" s="17"/>
      <c r="N61" s="4"/>
      <c r="O61" s="4"/>
      <c r="P61" s="4"/>
    </row>
    <row r="62" spans="1:17" x14ac:dyDescent="0.15">
      <c r="A62" s="12"/>
      <c r="B62" s="12">
        <v>6</v>
      </c>
      <c r="C62" s="16" t="str">
        <f>IF($B62&lt;= C$57, ($B$7*D61+$B$8*D62)/(1+C19/100),"")</f>
        <v/>
      </c>
      <c r="D62" s="16" t="str">
        <f>IF($B62&lt;= D$57, ($B$7*E61+$B$8*E62)/(1+D19/100),"")</f>
        <v/>
      </c>
      <c r="E62" s="16" t="str">
        <f>IF($B62&lt;= E$57, MAX((E19/100-$C$71)/(1+E19/100) +($B$7*F61+$B$8*F62)/(1+E19/100) - $C$74,0),"")</f>
        <v/>
      </c>
      <c r="F62" s="17" t="str">
        <f>IF($B62&lt;= F$57, (F19/100-$C$71)/(1+F19/100) +($B$7*G61+$B$8*G62)/(1+F19/100),"")</f>
        <v/>
      </c>
      <c r="G62" s="17" t="str">
        <f>IF($B62&lt;= G$57, (G19/100-$C$71)/(1+G19/100) +($B$7*H61+$B$8*H62)/(1+G19/100),"")</f>
        <v/>
      </c>
      <c r="H62" s="17" t="str">
        <f>IF($B62&lt;= H$57, (H19/100-$C$71)/(1+H19/100) +($B$7*I61+$B$8*I62)/(1+H19/100),"")</f>
        <v/>
      </c>
      <c r="I62" s="17">
        <f>IF($B62&lt;= I$57, (I19/100-$C$71)/(1+I19/100) +($B$7*J61+$B$8*J62)/(1+I19/100),"")</f>
        <v>2.6355210191388853E-2</v>
      </c>
      <c r="J62" s="17">
        <f>IF($B62&lt;= J$57, (J19/100-$C$71)/(1+J19/100) +($B$7*K61+$B$8*K62)/(1+J19/100),"")</f>
        <v>1.8691035973480184E-2</v>
      </c>
      <c r="K62" s="17">
        <f>IF($B62&lt;= K$57, (K19/100-$C$71)/(1+K19/100) +($B$7*L61+$B$8*L62)/(1+K19/100),"")</f>
        <v>1.1683917576666848E-2</v>
      </c>
      <c r="L62" s="17">
        <f>IF($B62&lt;= L$57, (L19/100-$C$71)/(1+L19/100),"")</f>
        <v>5.423966620455683E-3</v>
      </c>
      <c r="M62" s="17"/>
      <c r="N62" s="4"/>
      <c r="O62" s="4"/>
      <c r="P62" s="4"/>
    </row>
    <row r="63" spans="1:17" x14ac:dyDescent="0.15">
      <c r="A63" s="12"/>
      <c r="B63" s="12">
        <v>5</v>
      </c>
      <c r="C63" s="16" t="str">
        <f>IF($B63&lt;= C$57, ($B$7*D62+$B$8*D63)/(1+C20/100),"")</f>
        <v/>
      </c>
      <c r="D63" s="16" t="str">
        <f>IF($B63&lt;= D$57, ($B$7*E62+$B$8*E63)/(1+D20/100),"")</f>
        <v/>
      </c>
      <c r="E63" s="16" t="str">
        <f>IF($B63&lt;= E$57, MAX((E20/100-$C$71)/(1+E20/100) +($B$7*F62+$B$8*F63)/(1+E20/100) - $C$74,0),"")</f>
        <v/>
      </c>
      <c r="F63" s="17" t="str">
        <f>IF($B63&lt;= F$57, (F20/100-$C$71)/(1+F20/100) +($B$7*G62+$B$8*G63)/(1+F20/100),"")</f>
        <v/>
      </c>
      <c r="G63" s="17" t="str">
        <f>IF($B63&lt;= G$57, (G20/100-$C$71)/(1+G20/100) +($B$7*H62+$B$8*H63)/(1+G20/100),"")</f>
        <v/>
      </c>
      <c r="H63" s="17">
        <f>IF($B63&lt;= H$57, (H20/100-$C$71)/(1+H20/100) +($B$7*I62+$B$8*I63)/(1+H20/100),"")</f>
        <v>2.7406636766945186E-2</v>
      </c>
      <c r="I63" s="17">
        <f>IF($B63&lt;= I$57, (I20/100-$C$71)/(1+I20/100) +($B$7*J62+$B$8*J63)/(1+I20/100),"")</f>
        <v>1.8366328326120503E-2</v>
      </c>
      <c r="J63" s="17">
        <f>IF($B63&lt;= J$57, (J20/100-$C$71)/(1+J20/100) +($B$7*K62+$B$8*K63)/(1+J20/100),"")</f>
        <v>1.2612301467169202E-2</v>
      </c>
      <c r="K63" s="17">
        <f>IF($B63&lt;= K$57, (K20/100-$C$71)/(1+K20/100) +($B$7*L62+$B$8*L63)/(1+K20/100),"")</f>
        <v>7.5773090233828139E-3</v>
      </c>
      <c r="L63" s="17">
        <f>IF($B63&lt;= L$57, (L20/100-$C$71)/(1+L20/100),"")</f>
        <v>3.3456858563671336E-3</v>
      </c>
      <c r="M63" s="17"/>
      <c r="N63" s="4"/>
      <c r="O63" s="4"/>
      <c r="P63" s="4"/>
    </row>
    <row r="64" spans="1:17" x14ac:dyDescent="0.15">
      <c r="A64" s="12"/>
      <c r="B64" s="12">
        <v>4</v>
      </c>
      <c r="C64" s="16" t="str">
        <f>IF($B64&lt;= C$57, ($B$7*D63+$B$8*D64)/(1+C21/100),"")</f>
        <v/>
      </c>
      <c r="D64" s="16" t="str">
        <f>IF($B64&lt;= D$57, ($B$7*E63+$B$8*E64)/(1+D21/100),"")</f>
        <v/>
      </c>
      <c r="E64" s="16" t="str">
        <f>IF($B64&lt;= E$57, MAX((E21/100-$C$71)/(1+E21/100) +($B$7*F63+$B$8*F64)/(1+E21/100) - $C$74,0),"")</f>
        <v/>
      </c>
      <c r="F64" s="17" t="str">
        <f>IF($B64&lt;= F$57, (F21/100-$C$71)/(1+F21/100) +($B$7*G63+$B$8*G64)/(1+F21/100),"")</f>
        <v/>
      </c>
      <c r="G64" s="17">
        <f>IF($B64&lt;= G$57, (G21/100-$C$71)/(1+G21/100) +($B$7*H63+$B$8*H64)/(1+G21/100),"")</f>
        <v>2.4555256276109667E-2</v>
      </c>
      <c r="H64" s="17">
        <f>IF($B64&lt;= H$57, (H21/100-$C$71)/(1+H21/100) +($B$7*I63+$B$8*I64)/(1+H21/100),"")</f>
        <v>1.7837032654242375E-2</v>
      </c>
      <c r="I64" s="17">
        <f>IF($B64&lt;= I$57, (I21/100-$C$71)/(1+I21/100) +($B$7*J63+$B$8*J64)/(1+I21/100),"")</f>
        <v>1.0687800913494609E-2</v>
      </c>
      <c r="J64" s="17">
        <f>IF($B64&lt;= J$57, (J21/100-$C$71)/(1+J21/100) +($B$7*K63+$B$8*K64)/(1+J21/100),"")</f>
        <v>6.782104562402691E-3</v>
      </c>
      <c r="K64" s="17">
        <f>IF($B64&lt;= K$57, (K21/100-$C$71)/(1+K21/100) +($B$7*L63+$B$8*L64)/(1+K21/100),"")</f>
        <v>3.646869335557433E-3</v>
      </c>
      <c r="L64" s="17">
        <f>IF($B64&lt;= L$57, (L21/100-$C$71)/(1+L21/100),"")</f>
        <v>1.3606874487890664E-3</v>
      </c>
      <c r="M64" s="17"/>
      <c r="N64" s="4"/>
      <c r="O64" s="4"/>
      <c r="P64" s="4"/>
    </row>
    <row r="65" spans="1:20" x14ac:dyDescent="0.15">
      <c r="A65" s="12"/>
      <c r="B65" s="12">
        <v>3</v>
      </c>
      <c r="C65" s="16" t="str">
        <f>IF($B65&lt;= C$57, ($B$7*D64+$B$8*D65)/(1+C22/100),"")</f>
        <v/>
      </c>
      <c r="D65" s="16" t="str">
        <f>IF($B65&lt;= D$57, ($B$7*E64+$B$8*E65)/(1+D22/100),"")</f>
        <v/>
      </c>
      <c r="E65" s="16" t="str">
        <f>IF($B65&lt;= E$57, MAX((E22/100-$C$71)/(1+E22/100) +($B$7*F64+$B$8*F65)/(1+E22/100) - $C$74,0),"")</f>
        <v/>
      </c>
      <c r="F65" s="17">
        <f>IF($B65&lt;= F$57, MAX((F22/100-$C$71)/(1+F22/100) +($B$7*G64+$B$8*G65)/(1+F22/100),0),"")</f>
        <v>1.8154520757854741E-2</v>
      </c>
      <c r="G65" s="17">
        <f>IF($B65&lt;= G$57, (G22/100-$C$71)/(1+G22/100) +($B$7*H64+$B$8*H65)/(1+G22/100),"")</f>
        <v>1.3604470321095533E-2</v>
      </c>
      <c r="H65" s="17">
        <f>IF($B65&lt;= H$57, (H22/100-$C$71)/(1+H22/100) +($B$7*I64+$B$8*I65)/(1+H22/100),"")</f>
        <v>8.6235073143594437E-3</v>
      </c>
      <c r="I65" s="17">
        <f>IF($B65&lt;= I$57, (I22/100-$C$71)/(1+I22/100) +($B$7*J64+$B$8*J65)/(1+I22/100),"")</f>
        <v>3.311147967489398E-3</v>
      </c>
      <c r="J65" s="17">
        <f>IF($B65&lt;= J$57, (J22/100-$C$71)/(1+J22/100) +($B$7*K64+$B$8*K65)/(1+J22/100),"")</f>
        <v>1.1924423241968843E-3</v>
      </c>
      <c r="K65" s="17">
        <f>IF($B65&lt;= K$57, (K22/100-$C$71)/(1+K22/100) +($B$7*L64+$B$8*L65)/(1+K22/100),"")</f>
        <v>-1.1387488178768809E-4</v>
      </c>
      <c r="L65" s="17">
        <f>IF($B65&lt;= L$57, (L22/100-$C$71)/(1+L22/100),"")</f>
        <v>-5.3485323166235625E-4</v>
      </c>
      <c r="M65" s="17"/>
      <c r="N65" s="4"/>
      <c r="O65" s="4"/>
      <c r="P65" s="4"/>
    </row>
    <row r="66" spans="1:20" x14ac:dyDescent="0.15">
      <c r="A66" s="12"/>
      <c r="B66" s="12">
        <v>2</v>
      </c>
      <c r="C66" s="16" t="str">
        <f>IF($B66&lt;= C$57, ($B$7*D65+$B$8*D66)/(1+C23/100),"")</f>
        <v/>
      </c>
      <c r="D66" s="16" t="str">
        <f>IF($B66&lt;= D$57, ($B$7*E65+$B$8*E66)/(1+D23/100),"")</f>
        <v/>
      </c>
      <c r="E66" s="17">
        <f>IF($B66&lt;= E$57, ($B$7*F65+$B$8*F66)/(1+E23/100),"")</f>
        <v>1.1656509959721348E-2</v>
      </c>
      <c r="F66" s="17">
        <f>IF($B66&lt;= F$57, MAX((F23/100-$C$71)/(1+F23/100) +($B$7*G65+$B$8*G66)/(1+F23/100),0),"")</f>
        <v>5.9913807827101633E-3</v>
      </c>
      <c r="G66" s="17">
        <f>IF($B66&lt;= G$57, (G23/100-$C$71)/(1+G23/100) +($B$7*H65+$B$8*H66)/(1+G23/100),"")</f>
        <v>3.0454888316288238E-3</v>
      </c>
      <c r="H66" s="17">
        <f>IF($B66&lt;= H$57, (H23/100-$C$71)/(1+H23/100) +($B$7*I65+$B$8*I66)/(1+H23/100),"")</f>
        <v>-2.4218439956509032E-4</v>
      </c>
      <c r="I66" s="17">
        <f>IF($B66&lt;= I$57, (I23/100-$C$71)/(1+I23/100) +($B$7*J65+$B$8*J66)/(1+I23/100),"")</f>
        <v>-3.7722175942917933E-3</v>
      </c>
      <c r="J66" s="17">
        <f>IF($B66&lt;= J$57, (J23/100-$C$71)/(1+J23/100) +($B$7*K65+$B$8*K66)/(1+J23/100),"")</f>
        <v>-4.1646327459393794E-3</v>
      </c>
      <c r="K66" s="17">
        <f>IF($B66&lt;= K$57, (K23/100-$C$71)/(1+K23/100) +($B$7*L65+$B$8*L66)/(1+K23/100),"")</f>
        <v>-3.711259869922602E-3</v>
      </c>
      <c r="L66" s="17">
        <f>IF($B66&lt;= L$57, (L23/100-$C$71)/(1+L23/100),"")</f>
        <v>-2.344637454815752E-3</v>
      </c>
      <c r="M66" s="17"/>
      <c r="N66" s="4"/>
      <c r="O66" s="4"/>
      <c r="P66" s="4"/>
    </row>
    <row r="67" spans="1:20" x14ac:dyDescent="0.15">
      <c r="A67" s="12"/>
      <c r="B67" s="12">
        <v>1</v>
      </c>
      <c r="C67" s="16" t="str">
        <f>IF($B67&lt;= C$57, ($B$7*D66+$B$8*D67)/(1+C24/100),"")</f>
        <v/>
      </c>
      <c r="D67" s="17">
        <f>IF($B67&lt;= D$57, ($B$7*E66+$B$8*E67)/(1+D24/100),"")</f>
        <v>7.0457595288879226E-3</v>
      </c>
      <c r="E67" s="17">
        <f t="shared" ref="E67:E68" si="19">IF($B67&lt;= E$57, ($B$7*F66+$B$8*F67)/(1+E24/100),"")</f>
        <v>2.8972318777797036E-3</v>
      </c>
      <c r="F67" s="17">
        <f>IF($B67&lt;= F$57, MAX((F24/100-$C$71)/(1+F24/100) +($B$7*G66+$B$8*G67)/(1+F24/100),0),"")</f>
        <v>0</v>
      </c>
      <c r="G67" s="17">
        <f>IF($B67&lt;= G$57, (G24/100-$C$71)/(1+G24/100) +($B$7*H66+$B$8*H67)/(1+G24/100),"")</f>
        <v>-7.1292570172358056E-3</v>
      </c>
      <c r="H67" s="17">
        <f>IF($B67&lt;= H$57, (H24/100-$C$71)/(1+H24/100) +($B$7*I66+$B$8*I67)/(1+H24/100),"")</f>
        <v>-8.768576600347416E-3</v>
      </c>
      <c r="I67" s="17">
        <f>IF($B67&lt;= I$57, (I24/100-$C$71)/(1+I24/100) +($B$7*J66+$B$8*J67)/(1+I24/100),"")</f>
        <v>-1.0570949062713338E-2</v>
      </c>
      <c r="J67" s="17">
        <f>IF($B67&lt;= J$57, (J24/100-$C$71)/(1+J24/100) +($B$7*K66+$B$8*K67)/(1+J24/100),"")</f>
        <v>-9.2969907151097715E-3</v>
      </c>
      <c r="K67" s="17">
        <f>IF($B67&lt;= K$57, (K24/100-$C$71)/(1+K24/100) +($B$7*L66+$B$8*L67)/(1+K24/100),"")</f>
        <v>-7.1514773654420714E-3</v>
      </c>
      <c r="L67" s="17">
        <f>IF($B67&lt;= L$57, (L24/100-$C$71)/(1+L24/100),"")</f>
        <v>-4.0722438933176001E-3</v>
      </c>
      <c r="M67" s="17"/>
      <c r="N67" s="4"/>
      <c r="O67" s="4"/>
      <c r="P67" s="4"/>
    </row>
    <row r="68" spans="1:20" x14ac:dyDescent="0.15">
      <c r="A68" s="12"/>
      <c r="B68" s="12">
        <v>0</v>
      </c>
      <c r="C68" s="103">
        <f>IF($B68&lt;= C$57, ($B$7*D67+$B$8*D68)/(1+C25/100),"")</f>
        <v>4.102205782303317E-3</v>
      </c>
      <c r="D68" s="16">
        <f>IF($B68&lt;= D$57, ($B$7*E67+$B$8*E68)/(1+D25/100),"")</f>
        <v>1.4047842271852021E-3</v>
      </c>
      <c r="E68" s="17">
        <f t="shared" si="19"/>
        <v>0</v>
      </c>
      <c r="F68" s="17">
        <f>IF($B68&lt;= F$57, MAX((F25/100-$C$71)/(1+F25/100) +($B$7*G67+$B$8*G68)/(1+F25/100),0),"")</f>
        <v>0</v>
      </c>
      <c r="G68" s="17">
        <f>IF($B68&lt;= G$57, (G25/100-$C$71)/(1+G25/100) +($B$7*H67+$B$8*H68)/(1+G25/100),"")</f>
        <v>-1.6927816206905852E-2</v>
      </c>
      <c r="H68" s="17">
        <f>IF($B68&lt;= H$57, (H25/100-$C$71)/(1+H25/100) +($B$7*I67+$B$8*I68)/(1+H25/100),"")</f>
        <v>-1.6964433950461918E-2</v>
      </c>
      <c r="I68" s="17">
        <f>IF($B68&lt;= I$57, (I25/100-$C$71)/(1+I25/100) +($B$7*J67+$B$8*J68)/(1+I25/100),"")</f>
        <v>-1.7093728804358072E-2</v>
      </c>
      <c r="J68" s="17">
        <f>IF($B68&lt;= J$57, (J25/100-$C$71)/(1+J25/100) +($B$7*K67+$B$8*K68)/(1+J25/100),"")</f>
        <v>-1.4212404778832344E-2</v>
      </c>
      <c r="K68" s="16">
        <f>IF($B68&lt;= K$57, (K25/100-$C$71)/(1+K25/100) +($B$7*L67+$B$8*L68)/(1+K25/100),"")</f>
        <v>-1.0440568576373023E-2</v>
      </c>
      <c r="L68" s="16">
        <f>IF($B68&lt;= L$57, (L25/100-$C$71)/(1+L25/100),"")</f>
        <v>-5.721129751060797E-3</v>
      </c>
      <c r="M68" s="17"/>
      <c r="N68" s="4"/>
      <c r="O68" s="4"/>
      <c r="P68" s="4"/>
      <c r="S68" s="143">
        <v>1000000</v>
      </c>
      <c r="T68" s="144">
        <f>S68*C68</f>
        <v>4102.2057823033174</v>
      </c>
    </row>
    <row r="71" spans="1:20" x14ac:dyDescent="0.15">
      <c r="A71" s="13" t="s">
        <v>22</v>
      </c>
      <c r="B71" s="11"/>
      <c r="C71" s="18">
        <v>3.9E-2</v>
      </c>
      <c r="D71" s="1" t="s">
        <v>30</v>
      </c>
    </row>
    <row r="72" spans="1:20" x14ac:dyDescent="0.15">
      <c r="A72" s="13" t="s">
        <v>23</v>
      </c>
      <c r="C72" s="19">
        <v>3</v>
      </c>
      <c r="D72" s="13" t="s">
        <v>26</v>
      </c>
    </row>
    <row r="73" spans="1:20" x14ac:dyDescent="0.15">
      <c r="A73" s="13" t="s">
        <v>24</v>
      </c>
      <c r="C73" s="14">
        <v>10</v>
      </c>
      <c r="D73" s="13" t="s">
        <v>27</v>
      </c>
    </row>
    <row r="74" spans="1:20" x14ac:dyDescent="0.15">
      <c r="A74" s="13" t="s">
        <v>25</v>
      </c>
      <c r="C74" s="15">
        <v>0</v>
      </c>
      <c r="D74" s="13" t="s">
        <v>31</v>
      </c>
    </row>
    <row r="75" spans="1:20" x14ac:dyDescent="0.15">
      <c r="A75" s="13" t="s">
        <v>29</v>
      </c>
      <c r="C75" s="14">
        <v>1</v>
      </c>
    </row>
    <row r="79" spans="1:20" ht="14" thickBot="1" x14ac:dyDescent="0.2"/>
    <row r="80" spans="1:20" ht="14" thickBot="1" x14ac:dyDescent="0.2">
      <c r="A80" s="140"/>
      <c r="B80" s="141"/>
      <c r="C80" s="14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9" x14ac:dyDescent="0.1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9" x14ac:dyDescent="0.15">
      <c r="A82" s="12"/>
      <c r="B82" s="12"/>
      <c r="C82" s="16"/>
      <c r="D82" s="16"/>
      <c r="E82" s="16"/>
      <c r="F82" s="17"/>
      <c r="G82" s="17"/>
      <c r="H82" s="17"/>
      <c r="I82" s="17"/>
      <c r="J82" s="17"/>
      <c r="K82" s="17"/>
      <c r="L82" s="17"/>
      <c r="M82" s="4"/>
    </row>
    <row r="83" spans="1:19" x14ac:dyDescent="0.15">
      <c r="A83" s="12"/>
      <c r="B83" s="12"/>
      <c r="C83" s="16"/>
      <c r="D83" s="16"/>
      <c r="E83" s="16"/>
      <c r="F83" s="17"/>
      <c r="G83" s="17"/>
      <c r="H83" s="17"/>
      <c r="I83" s="17"/>
      <c r="J83" s="17"/>
      <c r="K83" s="17"/>
      <c r="L83" s="17"/>
      <c r="M83" s="4"/>
    </row>
    <row r="84" spans="1:19" x14ac:dyDescent="0.15">
      <c r="A84" s="12"/>
      <c r="B84" s="12"/>
      <c r="C84" s="16"/>
      <c r="D84" s="16"/>
      <c r="E84" s="16"/>
      <c r="F84" s="17"/>
      <c r="G84" s="17"/>
      <c r="H84" s="17"/>
      <c r="I84" s="17"/>
      <c r="J84" s="17"/>
      <c r="K84" s="17"/>
      <c r="L84" s="17"/>
      <c r="M84" s="4"/>
    </row>
    <row r="85" spans="1:19" x14ac:dyDescent="0.15">
      <c r="A85" s="12"/>
      <c r="B85" s="12"/>
      <c r="C85" s="16"/>
      <c r="D85" s="16"/>
      <c r="E85" s="16"/>
      <c r="F85" s="17"/>
      <c r="G85" s="17"/>
      <c r="H85" s="17"/>
      <c r="I85" s="17"/>
      <c r="J85" s="17"/>
      <c r="K85" s="17"/>
      <c r="L85" s="17"/>
      <c r="M85" s="4"/>
    </row>
    <row r="86" spans="1:19" x14ac:dyDescent="0.15">
      <c r="A86" s="12"/>
      <c r="B86" s="12"/>
      <c r="C86" s="16"/>
      <c r="D86" s="16"/>
      <c r="E86" s="16"/>
      <c r="F86" s="17"/>
      <c r="G86" s="17"/>
      <c r="H86" s="17"/>
      <c r="I86" s="17"/>
      <c r="J86" s="17"/>
      <c r="K86" s="17"/>
      <c r="L86" s="17"/>
      <c r="M86" s="4"/>
      <c r="O86" t="s">
        <v>7</v>
      </c>
    </row>
    <row r="87" spans="1:19" x14ac:dyDescent="0.15">
      <c r="A87" s="12"/>
      <c r="B87" s="12"/>
      <c r="C87" s="16"/>
      <c r="D87" s="16"/>
      <c r="E87" s="16"/>
      <c r="F87" s="17"/>
      <c r="G87" s="17"/>
      <c r="H87" s="17"/>
      <c r="I87" s="17"/>
      <c r="J87" s="17"/>
      <c r="K87" s="17"/>
      <c r="L87" s="17"/>
      <c r="M87" s="4"/>
    </row>
    <row r="88" spans="1:19" x14ac:dyDescent="0.15">
      <c r="A88" s="12"/>
      <c r="B88" s="12"/>
      <c r="C88" s="16"/>
      <c r="D88" s="16"/>
      <c r="E88" s="16"/>
      <c r="F88" s="17"/>
      <c r="G88" s="17"/>
      <c r="H88" s="17"/>
      <c r="I88" s="17"/>
      <c r="J88" s="17"/>
      <c r="K88" s="17"/>
      <c r="L88" s="17"/>
      <c r="M88" s="4"/>
      <c r="S88" t="s">
        <v>7</v>
      </c>
    </row>
    <row r="89" spans="1:19" x14ac:dyDescent="0.15">
      <c r="A89" s="12"/>
      <c r="B89" s="12"/>
      <c r="C89" s="16"/>
      <c r="D89" s="16"/>
      <c r="E89" s="17"/>
      <c r="F89" s="17"/>
      <c r="G89" s="17"/>
      <c r="H89" s="17"/>
      <c r="I89" s="17"/>
      <c r="J89" s="17"/>
      <c r="K89" s="17"/>
      <c r="L89" s="17"/>
      <c r="M89" s="4"/>
    </row>
    <row r="90" spans="1:19" x14ac:dyDescent="0.15">
      <c r="A90" s="12"/>
      <c r="B90" s="12"/>
      <c r="C90" s="16"/>
      <c r="D90" s="17"/>
      <c r="E90" s="17"/>
      <c r="F90" s="17"/>
      <c r="G90" s="17"/>
      <c r="H90" s="17"/>
      <c r="I90" s="17"/>
      <c r="J90" s="17"/>
      <c r="K90" s="17"/>
      <c r="L90" s="17"/>
      <c r="M90" s="4"/>
    </row>
    <row r="91" spans="1:19" x14ac:dyDescent="0.15">
      <c r="A91" s="12"/>
      <c r="B91" s="12"/>
      <c r="C91" s="103"/>
      <c r="D91" s="16"/>
      <c r="E91" s="16"/>
      <c r="F91" s="17"/>
      <c r="G91" s="17"/>
      <c r="H91" s="17"/>
      <c r="I91" s="17"/>
      <c r="J91" s="17"/>
      <c r="K91" s="16"/>
      <c r="L91" s="16"/>
      <c r="M91" s="4"/>
    </row>
    <row r="116" spans="9:9" x14ac:dyDescent="0.15">
      <c r="I116" t="s">
        <v>7</v>
      </c>
    </row>
  </sheetData>
  <mergeCells count="12">
    <mergeCell ref="A80:C80"/>
    <mergeCell ref="A56:C56"/>
    <mergeCell ref="A50:C50"/>
    <mergeCell ref="A51:C51"/>
    <mergeCell ref="A47:C47"/>
    <mergeCell ref="A48:C48"/>
    <mergeCell ref="A28:B28"/>
    <mergeCell ref="A1:H1"/>
    <mergeCell ref="A3:B3"/>
    <mergeCell ref="A4:B4"/>
    <mergeCell ref="A5:B5"/>
    <mergeCell ref="A10:B10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CA1C-2197-D64B-939C-3770CECA2EB7}">
  <sheetPr>
    <pageSetUpPr fitToPage="1"/>
  </sheetPr>
  <dimension ref="A1:T116"/>
  <sheetViews>
    <sheetView showGridLines="0" tabSelected="1" topLeftCell="A45" zoomScaleNormal="100" zoomScalePageLayoutView="130" workbookViewId="0">
      <selection activeCell="Q78" sqref="Q78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1" customWidth="1"/>
    <col min="19" max="19" width="14.3984375" bestFit="1" customWidth="1"/>
    <col min="20" max="20" width="9.796875" bestFit="1" customWidth="1"/>
  </cols>
  <sheetData>
    <row r="1" spans="1:16" ht="14" thickBot="1" x14ac:dyDescent="0.2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4" thickBot="1" x14ac:dyDescent="0.2"/>
    <row r="3" spans="1:16" x14ac:dyDescent="0.15">
      <c r="A3" s="134" t="s">
        <v>15</v>
      </c>
      <c r="B3" s="135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/>
      <c r="N3" s="95"/>
      <c r="O3" s="95"/>
      <c r="P3" s="96"/>
    </row>
    <row r="4" spans="1:16" ht="14" thickBot="1" x14ac:dyDescent="0.2">
      <c r="A4" s="136" t="s">
        <v>43</v>
      </c>
      <c r="B4" s="137"/>
      <c r="C4" s="97">
        <v>3</v>
      </c>
      <c r="D4" s="97">
        <v>3.1</v>
      </c>
      <c r="E4" s="97">
        <v>3.2</v>
      </c>
      <c r="F4" s="97">
        <v>3.3</v>
      </c>
      <c r="G4" s="97">
        <v>3.4</v>
      </c>
      <c r="H4" s="97">
        <v>3.5</v>
      </c>
      <c r="I4" s="97">
        <v>3.55</v>
      </c>
      <c r="J4" s="97">
        <v>3.6</v>
      </c>
      <c r="K4" s="98">
        <v>3.65</v>
      </c>
      <c r="L4" s="97">
        <v>3.7</v>
      </c>
      <c r="M4" s="97"/>
      <c r="N4" s="97"/>
      <c r="O4" s="97"/>
      <c r="P4" s="99"/>
    </row>
    <row r="5" spans="1:16" ht="14" thickBot="1" x14ac:dyDescent="0.2">
      <c r="A5" s="138" t="s">
        <v>16</v>
      </c>
      <c r="B5" s="139"/>
      <c r="C5" s="100">
        <v>2.9999980547335436</v>
      </c>
      <c r="D5" s="100">
        <v>3.0404610007338904</v>
      </c>
      <c r="E5" s="100">
        <v>3.069772188339627</v>
      </c>
      <c r="F5" s="100">
        <v>3.0890097190289643</v>
      </c>
      <c r="G5" s="100">
        <v>3.0991488304307664</v>
      </c>
      <c r="H5" s="100">
        <v>3.1011088310805208</v>
      </c>
      <c r="I5" s="100">
        <v>2.8366357733561505</v>
      </c>
      <c r="J5" s="100">
        <v>2.7668990656813985</v>
      </c>
      <c r="K5" s="100">
        <v>2.6973794426555586</v>
      </c>
      <c r="L5" s="100">
        <v>2.6284695729754941</v>
      </c>
      <c r="M5" s="101"/>
      <c r="N5" s="101"/>
      <c r="O5" s="101"/>
      <c r="P5" s="102"/>
    </row>
    <row r="6" spans="1:16" x14ac:dyDescent="0.15">
      <c r="A6" s="81" t="s">
        <v>18</v>
      </c>
      <c r="B6" s="31">
        <v>0.1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/>
      <c r="O11" s="12"/>
      <c r="P11" s="12"/>
    </row>
    <row r="12" spans="1:16" x14ac:dyDescent="0.15">
      <c r="A12" s="12"/>
      <c r="B12" s="12">
        <v>13</v>
      </c>
      <c r="C12" s="4"/>
      <c r="D12" s="4" t="str">
        <f t="shared" ref="D12:M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/>
      <c r="N12" s="4"/>
      <c r="O12" s="4"/>
      <c r="P12" s="4"/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/>
      <c r="N13" s="4"/>
      <c r="O13" s="4"/>
      <c r="P13" s="4"/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/>
      <c r="N14" s="4"/>
      <c r="O14" s="4"/>
      <c r="P14" s="4"/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/>
      <c r="N15" s="4"/>
      <c r="O15" s="4"/>
      <c r="P15" s="4"/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6.4649919392719051</v>
      </c>
      <c r="M16" s="4"/>
      <c r="N16" s="4"/>
      <c r="O16" s="4"/>
      <c r="P16" s="4"/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6.0031283493041476</v>
      </c>
      <c r="L17" s="4">
        <f t="shared" si="0"/>
        <v>5.849766613954082</v>
      </c>
      <c r="M17" s="4"/>
      <c r="N17" s="4"/>
      <c r="O17" s="4"/>
      <c r="P17" s="4"/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5.5718504848134485</v>
      </c>
      <c r="K18" s="4">
        <f t="shared" si="0"/>
        <v>5.4318551557228361</v>
      </c>
      <c r="L18" s="4">
        <f t="shared" si="0"/>
        <v>5.2930877190831689</v>
      </c>
      <c r="M18" s="4"/>
      <c r="N18" s="4"/>
      <c r="O18" s="4"/>
      <c r="P18" s="4"/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5.1686873724925126</v>
      </c>
      <c r="J19" s="4">
        <f t="shared" si="0"/>
        <v>5.0416188063610106</v>
      </c>
      <c r="K19" s="4">
        <f t="shared" si="0"/>
        <v>4.9149457942495669</v>
      </c>
      <c r="L19" s="4">
        <f t="shared" si="0"/>
        <v>4.7893838251730614</v>
      </c>
      <c r="M19" s="4"/>
      <c r="N19" s="4"/>
      <c r="O19" s="4"/>
      <c r="P19" s="4"/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5.1128640925584659</v>
      </c>
      <c r="I20" s="4">
        <f t="shared" si="0"/>
        <v>4.6768217367611928</v>
      </c>
      <c r="J20" s="4">
        <f t="shared" si="0"/>
        <v>4.5618453434692325</v>
      </c>
      <c r="K20" s="4">
        <f t="shared" si="0"/>
        <v>4.4472268622554765</v>
      </c>
      <c r="L20" s="4">
        <f t="shared" si="0"/>
        <v>4.3336136943527803</v>
      </c>
      <c r="M20" s="4"/>
      <c r="N20" s="4"/>
      <c r="O20" s="4"/>
      <c r="P20" s="4"/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4.6233867669026747</v>
      </c>
      <c r="H21" s="4">
        <f t="shared" si="0"/>
        <v>4.6263107442793716</v>
      </c>
      <c r="I21" s="4">
        <f t="shared" si="0"/>
        <v>4.2317633049054502</v>
      </c>
      <c r="J21" s="4">
        <f t="shared" si="0"/>
        <v>4.1277283620640661</v>
      </c>
      <c r="K21" s="4">
        <f t="shared" si="0"/>
        <v>4.024017271463407</v>
      </c>
      <c r="L21" s="4">
        <f t="shared" si="0"/>
        <v>3.9212158259634453</v>
      </c>
      <c r="M21" s="4"/>
      <c r="N21" s="4"/>
      <c r="O21" s="4"/>
      <c r="P21" s="4"/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4.1697269759191222</v>
      </c>
      <c r="G22" s="4">
        <f t="shared" si="0"/>
        <v>4.1834133447458388</v>
      </c>
      <c r="H22" s="4">
        <f t="shared" si="0"/>
        <v>4.1860590688857648</v>
      </c>
      <c r="I22" s="4">
        <f t="shared" si="0"/>
        <v>3.8290577825499668</v>
      </c>
      <c r="J22" s="4">
        <f t="shared" si="0"/>
        <v>3.7349230734838499</v>
      </c>
      <c r="K22" s="4">
        <f t="shared" si="0"/>
        <v>3.6410813980430565</v>
      </c>
      <c r="L22" s="4">
        <f t="shared" si="0"/>
        <v>3.5480628035265069</v>
      </c>
      <c r="M22" s="4"/>
      <c r="N22" s="4"/>
      <c r="O22" s="4"/>
      <c r="P22" s="4"/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3.7494282177614009</v>
      </c>
      <c r="F23" s="4">
        <f t="shared" si="0"/>
        <v>3.7729249908055484</v>
      </c>
      <c r="G23" s="4">
        <f t="shared" si="0"/>
        <v>3.7853089294370026</v>
      </c>
      <c r="H23" s="4">
        <f t="shared" si="0"/>
        <v>3.7877028796366083</v>
      </c>
      <c r="I23" s="4">
        <f t="shared" si="0"/>
        <v>3.4646747574730088</v>
      </c>
      <c r="J23" s="4">
        <f t="shared" si="0"/>
        <v>3.3794981503740571</v>
      </c>
      <c r="K23" s="4">
        <f t="shared" si="0"/>
        <v>3.2945866910640409</v>
      </c>
      <c r="L23" s="4">
        <f t="shared" si="0"/>
        <v>3.2104199861723521</v>
      </c>
      <c r="M23" s="4"/>
      <c r="N23" s="4"/>
      <c r="O23" s="4"/>
      <c r="P23" s="4"/>
    </row>
    <row r="24" spans="1:17" x14ac:dyDescent="0.15">
      <c r="A24" s="12"/>
      <c r="B24" s="12">
        <v>1</v>
      </c>
      <c r="C24" s="4"/>
      <c r="D24" s="4">
        <f t="shared" si="0"/>
        <v>3.3602290755542761</v>
      </c>
      <c r="E24" s="4">
        <f t="shared" si="0"/>
        <v>3.3926229476703957</v>
      </c>
      <c r="F24" s="4">
        <f t="shared" si="0"/>
        <v>3.4138837071238388</v>
      </c>
      <c r="G24" s="4">
        <f t="shared" si="0"/>
        <v>3.4250891581802398</v>
      </c>
      <c r="H24" s="4">
        <f t="shared" si="0"/>
        <v>3.4272552938977578</v>
      </c>
      <c r="I24" s="4">
        <f t="shared" si="0"/>
        <v>3.1349673618862419</v>
      </c>
      <c r="J24" s="4">
        <f t="shared" si="0"/>
        <v>3.0578963806417629</v>
      </c>
      <c r="K24" s="4">
        <f t="shared" si="0"/>
        <v>2.9810653150380229</v>
      </c>
      <c r="L24" s="4">
        <f t="shared" si="0"/>
        <v>2.9049081310992326</v>
      </c>
      <c r="M24" s="4"/>
      <c r="N24" s="4"/>
      <c r="O24" s="4"/>
      <c r="P24" s="4"/>
    </row>
    <row r="25" spans="1:17" x14ac:dyDescent="0.15">
      <c r="A25" s="12"/>
      <c r="B25" s="12">
        <v>0</v>
      </c>
      <c r="C25" s="4">
        <f>IF( $B25 &lt;=C$11,(C$5+$B$6*$B25),"")</f>
        <v>2.9999980547335436</v>
      </c>
      <c r="D25" s="2">
        <f t="shared" si="0"/>
        <v>3.0404610007338904</v>
      </c>
      <c r="E25" s="4">
        <f t="shared" si="0"/>
        <v>3.069772188339627</v>
      </c>
      <c r="F25" s="4">
        <f t="shared" si="0"/>
        <v>3.0890097190289643</v>
      </c>
      <c r="G25" s="4">
        <f t="shared" si="0"/>
        <v>3.0991488304307664</v>
      </c>
      <c r="H25" s="4">
        <f t="shared" si="0"/>
        <v>3.1011088310805208</v>
      </c>
      <c r="I25" s="4">
        <f t="shared" si="0"/>
        <v>2.8366357733561505</v>
      </c>
      <c r="J25" s="4">
        <f t="shared" si="0"/>
        <v>2.7668990656813985</v>
      </c>
      <c r="K25" s="4">
        <f t="shared" si="0"/>
        <v>2.6973794426555586</v>
      </c>
      <c r="L25" s="4">
        <f t="shared" si="0"/>
        <v>2.6284695729754941</v>
      </c>
      <c r="M25" s="4"/>
      <c r="N25" s="4"/>
      <c r="O25" s="4"/>
      <c r="P25" s="4"/>
    </row>
    <row r="27" spans="1:17" ht="14" thickBot="1" x14ac:dyDescent="0.2"/>
    <row r="28" spans="1:17" ht="14" thickBot="1" x14ac:dyDescent="0.2">
      <c r="A28" s="131" t="s">
        <v>13</v>
      </c>
      <c r="B28" s="132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</row>
    <row r="30" spans="1:17" x14ac:dyDescent="0.15">
      <c r="B30">
        <v>14</v>
      </c>
      <c r="C30" s="8"/>
      <c r="D30" s="8" t="str">
        <f t="shared" ref="D30:M43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/>
      <c r="O30" s="8"/>
      <c r="P30" s="8"/>
      <c r="Q30" s="8"/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/>
      <c r="O31" s="8"/>
      <c r="P31" s="8"/>
      <c r="Q31" s="8"/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/>
      <c r="O32" s="8"/>
      <c r="P32" s="8"/>
      <c r="Q32" s="8"/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/>
      <c r="O33" s="8"/>
      <c r="P33" s="8"/>
      <c r="Q33" s="8"/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6.159385499425016E-4</v>
      </c>
      <c r="N34" s="8"/>
      <c r="O34" s="8"/>
      <c r="P34" s="8"/>
      <c r="Q34" s="8"/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1.3115178550943052E-3</v>
      </c>
      <c r="M35" s="8">
        <f t="shared" si="1"/>
        <v>6.2970763111767428E-3</v>
      </c>
      <c r="N35" s="8"/>
      <c r="O35" s="8"/>
      <c r="P35" s="8"/>
      <c r="Q35" s="8"/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2.7804999105193141E-3</v>
      </c>
      <c r="L36" s="8">
        <f t="shared" si="1"/>
        <v>1.202694212256732E-2</v>
      </c>
      <c r="M36" s="8">
        <f t="shared" si="1"/>
        <v>2.8933054720976778E-2</v>
      </c>
      <c r="N36" s="8"/>
      <c r="O36" s="8"/>
      <c r="P36" s="8"/>
      <c r="Q36" s="8"/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5.8708504165276443E-3</v>
      </c>
      <c r="K37" s="8">
        <f t="shared" si="1"/>
        <v>2.2594941186006651E-2</v>
      </c>
      <c r="L37" s="8">
        <f t="shared" si="1"/>
        <v>4.896532264158017E-2</v>
      </c>
      <c r="M37" s="8">
        <f t="shared" si="1"/>
        <v>7.8683216545040388E-2</v>
      </c>
      <c r="N37" s="8"/>
      <c r="O37" s="8"/>
      <c r="P37" s="8"/>
      <c r="Q37" s="8"/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1.2348592641329266E-2</v>
      </c>
      <c r="J38" s="8">
        <f t="shared" si="1"/>
        <v>4.1626819746415328E-2</v>
      </c>
      <c r="K38" s="8">
        <f t="shared" si="1"/>
        <v>8.0259720291100123E-2</v>
      </c>
      <c r="L38" s="8">
        <f t="shared" si="1"/>
        <v>0.11617223456343867</v>
      </c>
      <c r="M38" s="8">
        <f t="shared" si="1"/>
        <v>0.14026464181390541</v>
      </c>
      <c r="N38" s="8"/>
      <c r="O38" s="8"/>
      <c r="P38" s="8"/>
      <c r="Q38" s="8"/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2.5959918800848213E-2</v>
      </c>
      <c r="I39" s="8">
        <f t="shared" si="1"/>
        <v>7.4856424551395073E-2</v>
      </c>
      <c r="J39" s="8">
        <f t="shared" si="1"/>
        <v>0.12640539832346701</v>
      </c>
      <c r="K39" s="8">
        <f t="shared" si="1"/>
        <v>0.16277543851208098</v>
      </c>
      <c r="L39" s="8">
        <f t="shared" si="1"/>
        <v>0.17701938312960735</v>
      </c>
      <c r="M39" s="8">
        <f t="shared" si="1"/>
        <v>0.17127620369049038</v>
      </c>
      <c r="N39" s="8"/>
      <c r="O39" s="8"/>
      <c r="P39" s="8"/>
      <c r="Q39" s="8"/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5.4320292502770623E-2</v>
      </c>
      <c r="H40" s="8">
        <f t="shared" si="1"/>
        <v>0.13079927690747456</v>
      </c>
      <c r="I40" s="8">
        <f t="shared" si="1"/>
        <v>0.18897099653167185</v>
      </c>
      <c r="J40" s="8">
        <f t="shared" si="1"/>
        <v>0.21310814102589865</v>
      </c>
      <c r="K40" s="8">
        <f t="shared" si="1"/>
        <v>0.20616945844932544</v>
      </c>
      <c r="L40" s="8">
        <f t="shared" si="1"/>
        <v>0.17966494525188365</v>
      </c>
      <c r="M40" s="8">
        <f t="shared" si="1"/>
        <v>0.14509466381860689</v>
      </c>
      <c r="N40" s="8"/>
      <c r="O40" s="8"/>
      <c r="P40" s="8"/>
      <c r="Q40" s="8"/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0.11317060078531366</v>
      </c>
      <c r="G41" s="8">
        <f t="shared" si="1"/>
        <v>0.21845044360840965</v>
      </c>
      <c r="H41" s="8">
        <f t="shared" si="1"/>
        <v>0.26351397478609739</v>
      </c>
      <c r="I41" s="8">
        <f t="shared" si="1"/>
        <v>0.25429545375160661</v>
      </c>
      <c r="J41" s="8">
        <f t="shared" si="1"/>
        <v>0.21543523377758275</v>
      </c>
      <c r="K41" s="8">
        <f t="shared" si="1"/>
        <v>0.16700288213965206</v>
      </c>
      <c r="L41" s="8">
        <f t="shared" si="1"/>
        <v>0.1214656102794818</v>
      </c>
      <c r="M41" s="8">
        <f t="shared" si="1"/>
        <v>8.420615576358334E-2</v>
      </c>
      <c r="N41" s="8"/>
      <c r="O41" s="8"/>
      <c r="P41" s="8"/>
      <c r="Q41" s="8"/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0.23482770245073664</v>
      </c>
      <c r="F42" s="8">
        <f t="shared" si="1"/>
        <v>0.34064531718830116</v>
      </c>
      <c r="G42" s="8">
        <f t="shared" si="1"/>
        <v>0.32936188222677798</v>
      </c>
      <c r="H42" s="8">
        <f t="shared" si="1"/>
        <v>0.26534839285296602</v>
      </c>
      <c r="I42" s="8">
        <f t="shared" si="1"/>
        <v>0.19239571164909591</v>
      </c>
      <c r="J42" s="8">
        <f t="shared" si="1"/>
        <v>0.13059639062460504</v>
      </c>
      <c r="K42" s="8">
        <f t="shared" si="1"/>
        <v>8.4490245086634524E-2</v>
      </c>
      <c r="L42" s="8">
        <f t="shared" si="1"/>
        <v>5.2749510951940345E-2</v>
      </c>
      <c r="M42" s="8">
        <f t="shared" si="1"/>
        <v>3.204242178028912E-2</v>
      </c>
      <c r="N42" s="8"/>
      <c r="O42" s="8"/>
      <c r="P42" s="8"/>
      <c r="Q42" s="8"/>
    </row>
    <row r="43" spans="1:17" x14ac:dyDescent="0.15">
      <c r="B43">
        <v>1</v>
      </c>
      <c r="C43" s="8"/>
      <c r="D43" s="8">
        <f>IF($B43=0,$B$8*C43/(1+C24/100), IF($B43=D$29, $B$7*C44/(1 +C25/100 ), IF(AND(0 &lt; $B43, $B43 &lt; D$29), $B$7*C44/(1+C25/100) + $B$8*C43/(1+C24/100 ),"")))</f>
        <v>0.48543690237188469</v>
      </c>
      <c r="E43" s="8">
        <f t="shared" si="1"/>
        <v>0.47038415166364689</v>
      </c>
      <c r="F43" s="8">
        <f t="shared" si="1"/>
        <v>0.34174510053776441</v>
      </c>
      <c r="G43" s="8">
        <f t="shared" si="1"/>
        <v>0.22065489623166967</v>
      </c>
      <c r="H43" s="8">
        <f t="shared" si="1"/>
        <v>0.1335523516706052</v>
      </c>
      <c r="I43" s="8">
        <f t="shared" si="1"/>
        <v>7.7598478980586791E-2</v>
      </c>
      <c r="J43" s="8">
        <f t="shared" si="1"/>
        <v>4.3957618244373234E-2</v>
      </c>
      <c r="K43" s="8">
        <f t="shared" si="1"/>
        <v>2.4410217705576803E-2</v>
      </c>
      <c r="L43" s="8">
        <f t="shared" si="1"/>
        <v>1.3353081598321825E-2</v>
      </c>
      <c r="M43" s="8">
        <f t="shared" si="1"/>
        <v>7.2194846268837662E-3</v>
      </c>
      <c r="N43" s="8"/>
      <c r="O43" s="8"/>
      <c r="P43" s="8"/>
      <c r="Q43" s="8"/>
    </row>
    <row r="44" spans="1:17" x14ac:dyDescent="0.15">
      <c r="B44">
        <v>0</v>
      </c>
      <c r="C44" s="8">
        <v>1</v>
      </c>
      <c r="D44" s="9">
        <f t="shared" ref="D44:M44" si="2">IF($B44=0,$B$8*C44/(1+C25/100), IF($B44=D$29, $B$7*C45/(1 +C26/100 ), IF(AND(0 &lt; $B44, $B44 &lt; D$29), $B$7*C45/(1+C26/100) + $B$8*C44/(1+C25/100 ),"")))</f>
        <v>0.48543690237188469</v>
      </c>
      <c r="E44" s="8">
        <f t="shared" si="2"/>
        <v>0.23555644921291027</v>
      </c>
      <c r="F44" s="8">
        <f t="shared" si="2"/>
        <v>0.11427038413477689</v>
      </c>
      <c r="G44" s="8">
        <f t="shared" si="2"/>
        <v>5.5423165110530678E-2</v>
      </c>
      <c r="H44" s="8">
        <f t="shared" si="2"/>
        <v>2.6878575497110199E-2</v>
      </c>
      <c r="I44" s="8">
        <f t="shared" si="2"/>
        <v>1.3035056461491456E-2</v>
      </c>
      <c r="J44" s="8">
        <f t="shared" si="2"/>
        <v>6.3377493650315893E-3</v>
      </c>
      <c r="K44" s="8">
        <f t="shared" si="2"/>
        <v>3.0835558057370907E-3</v>
      </c>
      <c r="L44" s="8">
        <f t="shared" si="2"/>
        <v>1.5012826142554567E-3</v>
      </c>
      <c r="M44" s="8">
        <f t="shared" si="2"/>
        <v>7.3141625345389538E-4</v>
      </c>
      <c r="N44" s="8"/>
      <c r="O44" s="8"/>
      <c r="P44" s="8"/>
      <c r="Q44" s="8"/>
    </row>
    <row r="46" spans="1:17" ht="14" thickBot="1" x14ac:dyDescent="0.2"/>
    <row r="47" spans="1:17" ht="14" thickBot="1" x14ac:dyDescent="0.2">
      <c r="A47" s="131" t="s">
        <v>41</v>
      </c>
      <c r="B47" s="133"/>
      <c r="C47" s="132"/>
      <c r="D47" s="92">
        <f>SUM(D30:D44)</f>
        <v>0.97087380474376939</v>
      </c>
      <c r="E47" s="93">
        <f>SUM(E30:E44)</f>
        <v>0.94076830332729378</v>
      </c>
      <c r="F47" s="93">
        <f t="shared" ref="F47:Q47" si="3">SUM(F30:F44)</f>
        <v>0.90983140264615614</v>
      </c>
      <c r="G47" s="93">
        <f t="shared" si="3"/>
        <v>0.87821067968015865</v>
      </c>
      <c r="H47" s="93">
        <f t="shared" si="3"/>
        <v>0.84605249051510145</v>
      </c>
      <c r="I47" s="93">
        <f t="shared" si="3"/>
        <v>0.81350071456717699</v>
      </c>
      <c r="J47" s="93">
        <f t="shared" si="3"/>
        <v>0.78333820152390132</v>
      </c>
      <c r="K47" s="93">
        <f t="shared" si="3"/>
        <v>0.75356695908663296</v>
      </c>
      <c r="L47" s="93">
        <f t="shared" si="3"/>
        <v>0.72422983100817084</v>
      </c>
      <c r="M47" s="93">
        <f t="shared" si="3"/>
        <v>0.69536427387434929</v>
      </c>
      <c r="N47" s="93"/>
      <c r="O47" s="93"/>
      <c r="P47" s="93"/>
      <c r="Q47" s="94"/>
    </row>
    <row r="48" spans="1:17" ht="14" thickBot="1" x14ac:dyDescent="0.2">
      <c r="A48" s="131" t="s">
        <v>42</v>
      </c>
      <c r="B48" s="133"/>
      <c r="C48" s="132"/>
      <c r="D48" s="89">
        <f>100*((1/D47)^(1/D29)-1)</f>
        <v>2.9999980547335436</v>
      </c>
      <c r="E48" s="90">
        <f t="shared" ref="E48:Q48" si="4">100*((1/E47)^(1/E29)-1)</f>
        <v>3.0999991508125602</v>
      </c>
      <c r="F48" s="90">
        <f t="shared" si="4"/>
        <v>3.1999988742765995</v>
      </c>
      <c r="G48" s="90">
        <f t="shared" si="4"/>
        <v>3.2999999871845986</v>
      </c>
      <c r="H48" s="90">
        <f t="shared" si="4"/>
        <v>3.3999999037003903</v>
      </c>
      <c r="I48" s="90">
        <f t="shared" si="4"/>
        <v>3.4999985101732634</v>
      </c>
      <c r="J48" s="90">
        <f t="shared" si="4"/>
        <v>3.5499990065927411</v>
      </c>
      <c r="K48" s="90">
        <f t="shared" si="4"/>
        <v>3.6000032385659964</v>
      </c>
      <c r="L48" s="90">
        <f t="shared" si="4"/>
        <v>3.6499955636030812</v>
      </c>
      <c r="M48" s="90">
        <f t="shared" si="4"/>
        <v>3.7000014848102669</v>
      </c>
      <c r="N48" s="90"/>
      <c r="O48" s="90"/>
      <c r="P48" s="90"/>
      <c r="Q48" s="91"/>
    </row>
    <row r="49" spans="1:17" ht="14" thickBot="1" x14ac:dyDescent="0.2"/>
    <row r="50" spans="1:17" ht="14" thickBot="1" x14ac:dyDescent="0.2">
      <c r="A50" s="131" t="s">
        <v>20</v>
      </c>
      <c r="B50" s="133"/>
      <c r="C50" s="132"/>
      <c r="D50" s="87">
        <f>(D48-C4)^2</f>
        <v>3.7840615862400646E-12</v>
      </c>
      <c r="E50" s="87">
        <f t="shared" ref="E50:M50" si="5">(E48-D4)^2</f>
        <v>7.2111930812112017E-13</v>
      </c>
      <c r="F50" s="87">
        <f t="shared" si="5"/>
        <v>1.2672531749261823E-12</v>
      </c>
      <c r="G50" s="87">
        <f t="shared" si="5"/>
        <v>1.6423450752470583E-16</v>
      </c>
      <c r="H50" s="87">
        <f t="shared" si="5"/>
        <v>9.2736148129406087E-15</v>
      </c>
      <c r="I50" s="87">
        <f t="shared" si="5"/>
        <v>2.2195837052216126E-12</v>
      </c>
      <c r="J50" s="87">
        <f t="shared" si="5"/>
        <v>9.8685798158999783E-13</v>
      </c>
      <c r="K50" s="87">
        <f t="shared" si="5"/>
        <v>1.048830971217281E-11</v>
      </c>
      <c r="L50" s="87">
        <f t="shared" si="5"/>
        <v>1.9681617620398743E-11</v>
      </c>
      <c r="M50" s="87">
        <f t="shared" si="5"/>
        <v>2.2046615282124541E-12</v>
      </c>
      <c r="N50" s="87"/>
      <c r="O50" s="87"/>
      <c r="P50" s="87"/>
      <c r="Q50" s="88"/>
    </row>
    <row r="51" spans="1:17" ht="14" thickBot="1" x14ac:dyDescent="0.2">
      <c r="A51" s="131" t="s">
        <v>19</v>
      </c>
      <c r="B51" s="133"/>
      <c r="C51" s="132"/>
      <c r="D51" s="87">
        <f>SUM(D50:M50)</f>
        <v>4.1362902466203447E-11</v>
      </c>
    </row>
    <row r="55" spans="1:17" ht="14" thickBot="1" x14ac:dyDescent="0.2"/>
    <row r="56" spans="1:17" ht="14" thickBot="1" x14ac:dyDescent="0.2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>
        <v>10</v>
      </c>
      <c r="N57" s="12"/>
      <c r="O57" s="12"/>
      <c r="P57" s="12"/>
    </row>
    <row r="58" spans="1:17" x14ac:dyDescent="0.15">
      <c r="A58" s="12"/>
      <c r="B58" s="12">
        <v>10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7"/>
      <c r="N58" s="12"/>
      <c r="O58" s="12"/>
      <c r="P58" s="12"/>
    </row>
    <row r="59" spans="1:17" x14ac:dyDescent="0.15">
      <c r="A59" s="12"/>
      <c r="B59" s="12">
        <v>9</v>
      </c>
      <c r="C59" s="16" t="str">
        <f>IF($B59&lt;= C$57, ($B$7*D57+$B$8*D59)/(1+C16/100),"")</f>
        <v/>
      </c>
      <c r="D59" s="16" t="str">
        <f>IF($B59&lt;= D$57, ($B$7*E57+$B$8*E59)/(1+D16/100),"")</f>
        <v/>
      </c>
      <c r="E59" s="16" t="str">
        <f>IF($B59&lt;= E$57, MAX((E16/100-$C$71)/(1+E16/100) +($B$7*F57+$B$8*F59)/(1+E16/100) - $C$74,0),"")</f>
        <v/>
      </c>
      <c r="F59" s="17" t="str">
        <f>IF($B59&lt;= F$57, (F16/100-$C$71)/(1+F16/100) +($B$7*G57+$B$8*G59)/(1+F16/100),"")</f>
        <v/>
      </c>
      <c r="G59" s="17" t="str">
        <f>IF($B59&lt;= G$57, (G16/100-$C$71)/(1+G16/100) +($B$7*H57+$B$8*H59)/(1+G16/100),"")</f>
        <v/>
      </c>
      <c r="H59" s="17" t="str">
        <f>IF($B59&lt;= H$57, (H16/100-$C$71)/(1+H16/100) +($B$7*I57+$B$8*I59)/(1+H16/100),"")</f>
        <v/>
      </c>
      <c r="I59" s="17" t="str">
        <f>IF($B59&lt;= I$57, (I16/100-$C$71)/(1+I16/100) +($B$7*J57+$B$8*J59)/(1+I16/100),"")</f>
        <v/>
      </c>
      <c r="J59" s="17" t="str">
        <f>IF($B59&lt;= J$57, (J16/100-$C$71)/(1+J16/100) +($B$7*K57+$B$8*K59)/(1+J16/100),"")</f>
        <v/>
      </c>
      <c r="K59" s="17" t="str">
        <f>IF($B59&lt;= K$57, (K16/100-$C$71)/(1+K16/100) +($B$7*L57+$B$8*L59)/(1+K16/100),"")</f>
        <v/>
      </c>
      <c r="L59" s="17">
        <f>IF($B59&lt;= L$57, (L16/100-$C$71)/(1+L16/100),"")</f>
        <v>2.4092350852146664E-2</v>
      </c>
      <c r="M59" s="17"/>
      <c r="N59" s="4"/>
      <c r="O59" s="4"/>
      <c r="P59" s="4"/>
    </row>
    <row r="60" spans="1:17" x14ac:dyDescent="0.15">
      <c r="A60" s="12"/>
      <c r="B60" s="12">
        <v>8</v>
      </c>
      <c r="C60" s="16" t="str">
        <f>IF($B60&lt;= C$57, ($B$7*D59+$B$8*D60)/(1+C17/100),"")</f>
        <v/>
      </c>
      <c r="D60" s="16" t="str">
        <f>IF($B60&lt;= D$57, ($B$7*E59+$B$8*E60)/(1+D17/100),"")</f>
        <v/>
      </c>
      <c r="E60" s="16" t="str">
        <f>IF($B60&lt;= E$57, MAX((E17/100-$C$71)/(1+E17/100) +($B$7*F59+$B$8*F60)/(1+E17/100) - $C$74,0),"")</f>
        <v/>
      </c>
      <c r="F60" s="17" t="str">
        <f>IF($B60&lt;= F$57, (F17/100-$C$71)/(1+F17/100) +($B$7*G59+$B$8*G60)/(1+F17/100),"")</f>
        <v/>
      </c>
      <c r="G60" s="17" t="str">
        <f>IF($B60&lt;= G$57, (G17/100-$C$71)/(1+G17/100) +($B$7*H59+$B$8*H60)/(1+G17/100),"")</f>
        <v/>
      </c>
      <c r="H60" s="17" t="str">
        <f>IF($B60&lt;= H$57, (H17/100-$C$71)/(1+H17/100) +($B$7*I59+$B$8*I60)/(1+H17/100),"")</f>
        <v/>
      </c>
      <c r="I60" s="17" t="str">
        <f>IF($B60&lt;= I$57, (I17/100-$C$71)/(1+I17/100) +($B$7*J59+$B$8*J60)/(1+I17/100),"")</f>
        <v/>
      </c>
      <c r="J60" s="17" t="str">
        <f>IF($B60&lt;= J$57, (J17/100-$C$71)/(1+J17/100) +($B$7*K59+$B$8*K60)/(1+J17/100),"")</f>
        <v/>
      </c>
      <c r="K60" s="17">
        <f>IF($B60&lt;= K$57, (K17/100-$C$71)/(1+K17/100) +($B$7*L59+$B$8*L60)/(1+K17/100),"")</f>
        <v>3.9892713826254034E-2</v>
      </c>
      <c r="L60" s="17">
        <f>IF($B60&lt;= L$57, (L17/100-$C$71)/(1+L17/100),"")</f>
        <v>1.8420131440299709E-2</v>
      </c>
      <c r="M60" s="17"/>
      <c r="N60" s="4"/>
      <c r="O60" s="4"/>
      <c r="P60" s="4"/>
    </row>
    <row r="61" spans="1:17" x14ac:dyDescent="0.15">
      <c r="A61" s="12"/>
      <c r="B61" s="12">
        <v>7</v>
      </c>
      <c r="C61" s="16" t="str">
        <f>IF($B61&lt;= C$57, ($B$7*D60+$B$8*D61)/(1+C18/100),"")</f>
        <v/>
      </c>
      <c r="D61" s="16" t="str">
        <f>IF($B61&lt;= D$57, ($B$7*E60+$B$8*E61)/(1+D18/100),"")</f>
        <v/>
      </c>
      <c r="E61" s="16" t="str">
        <f>IF($B61&lt;= E$57, MAX((E18/100-$C$71)/(1+E18/100) +($B$7*F60+$B$8*F61)/(1+E18/100) - $C$74,0),"")</f>
        <v/>
      </c>
      <c r="F61" s="17" t="str">
        <f>IF($B61&lt;= F$57, (F18/100-$C$71)/(1+F18/100) +($B$7*G60+$B$8*G61)/(1+F18/100),"")</f>
        <v/>
      </c>
      <c r="G61" s="17" t="str">
        <f>IF($B61&lt;= G$57, (G18/100-$C$71)/(1+G18/100) +($B$7*H60+$B$8*H61)/(1+G18/100),"")</f>
        <v/>
      </c>
      <c r="H61" s="17" t="str">
        <f>IF($B61&lt;= H$57, (H18/100-$C$71)/(1+H18/100) +($B$7*I60+$B$8*I61)/(1+H18/100),"")</f>
        <v/>
      </c>
      <c r="I61" s="17" t="str">
        <f>IF($B61&lt;= I$57, (I18/100-$C$71)/(1+I18/100) +($B$7*J60+$B$8*J61)/(1+I18/100),"")</f>
        <v/>
      </c>
      <c r="J61" s="17">
        <f>IF($B61&lt;= J$57, (J18/100-$C$71)/(1+J18/100) +($B$7*K60+$B$8*K61)/(1+J18/100),"")</f>
        <v>4.8719943052352804E-2</v>
      </c>
      <c r="K61" s="17">
        <f>IF($B61&lt;= K$57, (K18/100-$C$71)/(1+K18/100) +($B$7*L60+$B$8*L61)/(1+K18/100),"")</f>
        <v>2.9539367348509316E-2</v>
      </c>
      <c r="L61" s="17">
        <f>IF($B61&lt;= L$57, (L18/100-$C$71)/(1+L18/100),"")</f>
        <v>1.3230571438838032E-2</v>
      </c>
      <c r="M61" s="17"/>
      <c r="N61" s="4"/>
      <c r="O61" s="4"/>
      <c r="P61" s="4"/>
    </row>
    <row r="62" spans="1:17" x14ac:dyDescent="0.15">
      <c r="A62" s="12"/>
      <c r="B62" s="12">
        <v>6</v>
      </c>
      <c r="C62" s="16" t="str">
        <f>IF($B62&lt;= C$57, ($B$7*D61+$B$8*D62)/(1+C19/100),"")</f>
        <v/>
      </c>
      <c r="D62" s="16" t="str">
        <f>IF($B62&lt;= D$57, ($B$7*E61+$B$8*E62)/(1+D19/100),"")</f>
        <v/>
      </c>
      <c r="E62" s="16" t="str">
        <f>IF($B62&lt;= E$57, MAX((E19/100-$C$71)/(1+E19/100) +($B$7*F61+$B$8*F62)/(1+E19/100) - $C$74,0),"")</f>
        <v/>
      </c>
      <c r="F62" s="17" t="str">
        <f>IF($B62&lt;= F$57, (F19/100-$C$71)/(1+F19/100) +($B$7*G61+$B$8*G62)/(1+F19/100),"")</f>
        <v/>
      </c>
      <c r="G62" s="17" t="str">
        <f>IF($B62&lt;= G$57, (G19/100-$C$71)/(1+G19/100) +($B$7*H61+$B$8*H62)/(1+G19/100),"")</f>
        <v/>
      </c>
      <c r="H62" s="17" t="str">
        <f>IF($B62&lt;= H$57, (H19/100-$C$71)/(1+H19/100) +($B$7*I61+$B$8*I62)/(1+H19/100),"")</f>
        <v/>
      </c>
      <c r="I62" s="17">
        <f>IF($B62&lt;= I$57, (I19/100-$C$71)/(1+I19/100) +($B$7*J61+$B$8*J62)/(1+I19/100),"")</f>
        <v>5.1609614184919585E-2</v>
      </c>
      <c r="J62" s="17">
        <f>IF($B62&lt;= J$57, (J19/100-$C$71)/(1+J19/100) +($B$7*K61+$B$8*K62)/(1+J19/100),"")</f>
        <v>3.4460617090372195E-2</v>
      </c>
      <c r="K62" s="17">
        <f>IF($B62&lt;= K$57, (K19/100-$C$71)/(1+K19/100) +($B$7*L61+$B$8*L62)/(1+K19/100),"")</f>
        <v>2.0024236609047383E-2</v>
      </c>
      <c r="L62" s="17">
        <f>IF($B62&lt;= L$57, (L19/100-$C$71)/(1+L19/100),"")</f>
        <v>8.4873466443593035E-3</v>
      </c>
      <c r="M62" s="17"/>
      <c r="N62" s="4"/>
      <c r="O62" s="4"/>
      <c r="P62" s="4"/>
    </row>
    <row r="63" spans="1:17" x14ac:dyDescent="0.15">
      <c r="A63" s="12"/>
      <c r="B63" s="12">
        <v>5</v>
      </c>
      <c r="C63" s="16" t="str">
        <f>IF($B63&lt;= C$57, ($B$7*D62+$B$8*D63)/(1+C20/100),"")</f>
        <v/>
      </c>
      <c r="D63" s="16" t="str">
        <f>IF($B63&lt;= D$57, ($B$7*E62+$B$8*E63)/(1+D20/100),"")</f>
        <v/>
      </c>
      <c r="E63" s="16" t="str">
        <f>IF($B63&lt;= E$57, MAX((E20/100-$C$71)/(1+E20/100) +($B$7*F62+$B$8*F63)/(1+E20/100) - $C$74,0),"")</f>
        <v/>
      </c>
      <c r="F63" s="17" t="str">
        <f>IF($B63&lt;= F$57, (F20/100-$C$71)/(1+F20/100) +($B$7*G62+$B$8*G63)/(1+F20/100),"")</f>
        <v/>
      </c>
      <c r="G63" s="17" t="str">
        <f>IF($B63&lt;= G$57, (G20/100-$C$71)/(1+G20/100) +($B$7*H62+$B$8*H63)/(1+G20/100),"")</f>
        <v/>
      </c>
      <c r="H63" s="17">
        <f>IF($B63&lt;= H$57, (H20/100-$C$71)/(1+H20/100) +($B$7*I62+$B$8*I63)/(1+H20/100),"")</f>
        <v>5.228897666582101E-2</v>
      </c>
      <c r="I63" s="17">
        <f>IF($B63&lt;= I$57, (I20/100-$C$71)/(1+I20/100) +($B$7*J62+$B$8*J63)/(1+I20/100),"")</f>
        <v>3.4057985920179196E-2</v>
      </c>
      <c r="J63" s="17">
        <f>IF($B63&lt;= J$57, (J20/100-$C$71)/(1+J20/100) +($B$7*K62+$B$8*K63)/(1+J20/100),"")</f>
        <v>2.1304582591998359E-2</v>
      </c>
      <c r="K63" s="17">
        <f>IF($B63&lt;= K$57, (K20/100-$C$71)/(1+K20/100) +($B$7*L62+$B$8*L63)/(1+K20/100),"")</f>
        <v>1.1291785923401954E-2</v>
      </c>
      <c r="L63" s="17">
        <f>IF($B63&lt;= L$57, (L20/100-$C$71)/(1+L20/100),"")</f>
        <v>4.1560306309628972E-3</v>
      </c>
      <c r="M63" s="17"/>
      <c r="N63" s="4"/>
      <c r="O63" s="4"/>
      <c r="P63" s="4"/>
    </row>
    <row r="64" spans="1:17" x14ac:dyDescent="0.15">
      <c r="A64" s="12"/>
      <c r="B64" s="12">
        <v>4</v>
      </c>
      <c r="C64" s="16" t="str">
        <f>IF($B64&lt;= C$57, ($B$7*D63+$B$8*D64)/(1+C21/100),"")</f>
        <v/>
      </c>
      <c r="D64" s="16" t="str">
        <f>IF($B64&lt;= D$57, ($B$7*E63+$B$8*E64)/(1+D21/100),"")</f>
        <v/>
      </c>
      <c r="E64" s="16" t="str">
        <f>IF($B64&lt;= E$57, MAX((E21/100-$C$71)/(1+E21/100) +($B$7*F63+$B$8*F64)/(1+E21/100) - $C$74,0),"")</f>
        <v/>
      </c>
      <c r="F64" s="17" t="str">
        <f>IF($B64&lt;= F$57, (F21/100-$C$71)/(1+F21/100) +($B$7*G63+$B$8*G64)/(1+F21/100),"")</f>
        <v/>
      </c>
      <c r="G64" s="17">
        <f>IF($B64&lt;= G$57, (G21/100-$C$71)/(1+G21/100) +($B$7*H63+$B$8*H64)/(1+G21/100),"")</f>
        <v>4.706692014736634E-2</v>
      </c>
      <c r="H64" s="17">
        <f>IF($B64&lt;= H$57, (H21/100-$C$71)/(1+H21/100) +($B$7*I63+$B$8*I64)/(1+H21/100),"")</f>
        <v>3.172929980622214E-2</v>
      </c>
      <c r="I64" s="17">
        <f>IF($B64&lt;= I$57, (I21/100-$C$71)/(1+I21/100) +($B$7*J63+$B$8*J64)/(1+I21/100),"")</f>
        <v>1.7810190818717382E-2</v>
      </c>
      <c r="J64" s="17">
        <f>IF($B64&lt;= J$57, (J21/100-$C$71)/(1+J21/100) +($B$7*K63+$B$8*K64)/(1+J21/100),"")</f>
        <v>9.1879031865276378E-3</v>
      </c>
      <c r="K64" s="17">
        <f>IF($B64&lt;= K$57, (K21/100-$C$71)/(1+K21/100) +($B$7*L63+$B$8*L64)/(1+K21/100),"")</f>
        <v>3.28795657979058E-3</v>
      </c>
      <c r="L64" s="17">
        <f>IF($B64&lt;= L$57, (L21/100-$C$71)/(1+L21/100),"")</f>
        <v>2.0415298064810041E-4</v>
      </c>
      <c r="M64" s="17"/>
      <c r="N64" s="4"/>
      <c r="O64" s="4"/>
      <c r="P64" s="4"/>
    </row>
    <row r="65" spans="1:20" x14ac:dyDescent="0.15">
      <c r="A65" s="12"/>
      <c r="B65" s="12">
        <v>3</v>
      </c>
      <c r="C65" s="16" t="str">
        <f>IF($B65&lt;= C$57, ($B$7*D64+$B$8*D65)/(1+C22/100),"")</f>
        <v/>
      </c>
      <c r="D65" s="16" t="str">
        <f>IF($B65&lt;= D$57, ($B$7*E64+$B$8*E65)/(1+D22/100),"")</f>
        <v/>
      </c>
      <c r="E65" s="16" t="str">
        <f>IF($B65&lt;= E$57, MAX((E22/100-$C$71)/(1+E22/100) +($B$7*F64+$B$8*F65)/(1+E22/100) - $C$74,0),"")</f>
        <v/>
      </c>
      <c r="F65" s="17">
        <f>IF($B65&lt;= F$57, MAX((F22/100-$C$71)/(1+F22/100) +($B$7*G64+$B$8*G65)/(1+F22/100),0),"")</f>
        <v>3.6706523869496466E-2</v>
      </c>
      <c r="G65" s="17">
        <f>IF($B65&lt;= G$57, (G22/100-$C$71)/(1+G22/100) +($B$7*H64+$B$8*H65)/(1+G22/100),"")</f>
        <v>2.4012711728661325E-2</v>
      </c>
      <c r="H65" s="17">
        <f>IF($B65&lt;= H$57, (H22/100-$C$71)/(1+H22/100) +($B$7*I64+$B$8*I65)/(1+H22/100),"")</f>
        <v>1.2636958729968069E-2</v>
      </c>
      <c r="I65" s="17">
        <f>IF($B65&lt;= I$57, (I22/100-$C$71)/(1+I22/100) +($B$7*J64+$B$8*J65)/(1+I22/100),"")</f>
        <v>2.8005263773978194E-3</v>
      </c>
      <c r="J65" s="17">
        <f>IF($B65&lt;= J$57, (J22/100-$C$71)/(1+J22/100) +($B$7*K64+$B$8*K65)/(1+J22/100),"")</f>
        <v>-1.9535385363191032E-3</v>
      </c>
      <c r="K65" s="17">
        <f>IF($B65&lt;= K$57, (K22/100-$C$71)/(1+K22/100) +($B$7*L64+$B$8*L65)/(1+K22/100),"")</f>
        <v>-4.0394214451905473E-3</v>
      </c>
      <c r="L65" s="17">
        <f>IF($B65&lt;= L$57, (L22/100-$C$71)/(1+L22/100),"")</f>
        <v>-3.3987810775491134E-3</v>
      </c>
      <c r="M65" s="17"/>
      <c r="N65" s="4"/>
      <c r="O65" s="4"/>
      <c r="P65" s="4"/>
    </row>
    <row r="66" spans="1:20" x14ac:dyDescent="0.15">
      <c r="A66" s="12"/>
      <c r="B66" s="12">
        <v>2</v>
      </c>
      <c r="C66" s="16" t="str">
        <f>IF($B66&lt;= C$57, ($B$7*D65+$B$8*D66)/(1+C23/100),"")</f>
        <v/>
      </c>
      <c r="D66" s="16" t="str">
        <f>IF($B66&lt;= D$57, ($B$7*E65+$B$8*E66)/(1+D23/100),"")</f>
        <v/>
      </c>
      <c r="E66" s="17">
        <f>IF($B66&lt;= E$57, ($B$7*F65+$B$8*F66)/(1+E23/100),"")</f>
        <v>2.3267719274429097E-2</v>
      </c>
      <c r="F66" s="17">
        <f>IF($B66&lt;= F$57, MAX((F23/100-$C$71)/(1+F23/100) +($B$7*G65+$B$8*G66)/(1+F23/100),0),"")</f>
        <v>1.157372754357164E-2</v>
      </c>
      <c r="G66" s="17">
        <f>IF($B66&lt;= G$57, (G23/100-$C$71)/(1+G23/100) +($B$7*H65+$B$8*H66)/(1+G23/100),"")</f>
        <v>2.5495796600893076E-3</v>
      </c>
      <c r="H66" s="17">
        <f>IF($B66&lt;= H$57, (H23/100-$C$71)/(1+H23/100) +($B$7*I65+$B$8*I66)/(1+H23/100),"")</f>
        <v>-5.0509590654565697E-3</v>
      </c>
      <c r="I66" s="17">
        <f>IF($B66&lt;= I$57, (I23/100-$C$71)/(1+I23/100) +($B$7*J65+$B$8*J66)/(1+I23/100),"")</f>
        <v>-1.1039132744986257E-2</v>
      </c>
      <c r="J66" s="17">
        <f>IF($B66&lt;= J$57, (J23/100-$C$71)/(1+J23/100) +($B$7*K65+$B$8*K66)/(1+J23/100),"")</f>
        <v>-1.218316219443254E-2</v>
      </c>
      <c r="K66" s="17">
        <f>IF($B66&lt;= K$57, (K23/100-$C$71)/(1+K23/100) +($B$7*L65+$B$8*L66)/(1+K23/100),"")</f>
        <v>-1.0740325433191516E-2</v>
      </c>
      <c r="L66" s="17">
        <f>IF($B66&lt;= L$57, (L23/100-$C$71)/(1+L23/100),"")</f>
        <v>-6.6813022747125219E-3</v>
      </c>
      <c r="M66" s="17"/>
      <c r="N66" s="4"/>
      <c r="O66" s="4"/>
      <c r="P66" s="4"/>
    </row>
    <row r="67" spans="1:20" x14ac:dyDescent="0.15">
      <c r="A67" s="12"/>
      <c r="B67" s="12">
        <v>1</v>
      </c>
      <c r="C67" s="16" t="str">
        <f>IF($B67&lt;= C$57, ($B$7*D66+$B$8*D67)/(1+C24/100),"")</f>
        <v/>
      </c>
      <c r="D67" s="17">
        <f>IF($B67&lt;= D$57, ($B$7*E66+$B$8*E67)/(1+D24/100),"")</f>
        <v>1.3963155315177625E-2</v>
      </c>
      <c r="E67" s="17">
        <f t="shared" ref="E67:E68" si="6">IF($B67&lt;= E$57, ($B$7*F66+$B$8*F67)/(1+E24/100),"")</f>
        <v>5.5969793654569505E-3</v>
      </c>
      <c r="F67" s="17">
        <f>IF($B67&lt;= F$57, MAX((F24/100-$C$71)/(1+F24/100) +($B$7*G66+$B$8*G67)/(1+F24/100),0),"")</f>
        <v>0</v>
      </c>
      <c r="G67" s="17">
        <f>IF($B67&lt;= G$57, (G24/100-$C$71)/(1+G24/100) +($B$7*H66+$B$8*H67)/(1+G24/100),"")</f>
        <v>-1.738052978303839E-2</v>
      </c>
      <c r="H67" s="17">
        <f>IF($B67&lt;= H$57, (H24/100-$C$71)/(1+H24/100) +($B$7*I66+$B$8*I67)/(1+H24/100),"")</f>
        <v>-2.1402480946691279E-2</v>
      </c>
      <c r="I67" s="17">
        <f>IF($B67&lt;= I$57, (I24/100-$C$71)/(1+I24/100) +($B$7*J66+$B$8*J67)/(1+I24/100),"")</f>
        <v>-2.3777970348893333E-2</v>
      </c>
      <c r="J67" s="17">
        <f>IF($B67&lt;= J$57, (J24/100-$C$71)/(1+J24/100) +($B$7*K66+$B$8*K67)/(1+J24/100),"")</f>
        <v>-2.1562988960592548E-2</v>
      </c>
      <c r="K67" s="17">
        <f>IF($B67&lt;= K$57, (K24/100-$C$71)/(1+K24/100) +($B$7*L66+$B$8*L67)/(1+K24/100),"")</f>
        <v>-1.6862327818797124E-2</v>
      </c>
      <c r="L67" s="17">
        <f>IF($B67&lt;= L$57, (L24/100-$C$71)/(1+L24/100),"")</f>
        <v>-9.6700136754705231E-3</v>
      </c>
      <c r="M67" s="17"/>
      <c r="N67" s="4"/>
      <c r="O67" s="4"/>
      <c r="P67" s="4"/>
    </row>
    <row r="68" spans="1:20" x14ac:dyDescent="0.15">
      <c r="A68" s="12"/>
      <c r="B68" s="12">
        <v>0</v>
      </c>
      <c r="C68" s="103">
        <f>IF($B68&lt;= C$57, ($B$7*D67+$B$8*D68)/(1+C25/100),"")</f>
        <v>8.0966354491823107E-3</v>
      </c>
      <c r="D68" s="16">
        <f>IF($B68&lt;= D$57, ($B$7*E67+$B$8*E68)/(1+D25/100),"")</f>
        <v>2.7159133951356676E-3</v>
      </c>
      <c r="E68" s="17">
        <f t="shared" si="6"/>
        <v>0</v>
      </c>
      <c r="F68" s="17">
        <f>IF($B68&lt;= F$57, MAX((F25/100-$C$71)/(1+F25/100) +($B$7*G67+$B$8*G68)/(1+F25/100),0),"")</f>
        <v>0</v>
      </c>
      <c r="G68" s="17">
        <f>IF($B68&lt;= G$57, (G25/100-$C$71)/(1+G25/100) +($B$7*H67+$B$8*H68)/(1+G25/100),"")</f>
        <v>-3.5843357225261219E-2</v>
      </c>
      <c r="H68" s="17">
        <f>IF($B68&lt;= H$57, (H25/100-$C$71)/(1+H25/100) +($B$7*I67+$B$8*I68)/(1+H25/100),"")</f>
        <v>-3.6488888084914087E-2</v>
      </c>
      <c r="I68" s="17">
        <f>IF($B68&lt;= I$57, (I25/100-$C$71)/(1+I25/100) +($B$7*J67+$B$8*J68)/(1+I25/100),"")</f>
        <v>-3.548510270407397E-2</v>
      </c>
      <c r="J68" s="17">
        <f>IF($B68&lt;= J$57, (J25/100-$C$71)/(1+J25/100) +($B$7*K67+$B$8*K68)/(1+J25/100),"")</f>
        <v>-3.0153098149710275E-2</v>
      </c>
      <c r="K68" s="16">
        <f>IF($B68&lt;= K$57, (K25/100-$C$71)/(1+K25/100) +($B$7*L67+$B$8*L68)/(1+K25/100),"")</f>
        <v>-2.2450461376208059E-2</v>
      </c>
      <c r="L68" s="16">
        <f>IF($B68&lt;= L$57, (L25/100-$C$71)/(1+L25/100),"")</f>
        <v>-1.2389646189943088E-2</v>
      </c>
      <c r="M68" s="17"/>
      <c r="N68" s="4"/>
      <c r="O68" s="4"/>
      <c r="P68" s="4"/>
      <c r="S68" s="143">
        <v>1000000</v>
      </c>
      <c r="T68" s="144">
        <f>S68*C68</f>
        <v>8096.6354491823104</v>
      </c>
    </row>
    <row r="71" spans="1:20" x14ac:dyDescent="0.15">
      <c r="A71" s="13" t="s">
        <v>22</v>
      </c>
      <c r="B71" s="11"/>
      <c r="C71" s="18">
        <v>3.9E-2</v>
      </c>
      <c r="D71" s="1" t="s">
        <v>30</v>
      </c>
    </row>
    <row r="72" spans="1:20" x14ac:dyDescent="0.15">
      <c r="A72" s="13" t="s">
        <v>23</v>
      </c>
      <c r="C72" s="19">
        <v>3</v>
      </c>
      <c r="D72" s="13" t="s">
        <v>26</v>
      </c>
    </row>
    <row r="73" spans="1:20" x14ac:dyDescent="0.15">
      <c r="A73" s="13" t="s">
        <v>24</v>
      </c>
      <c r="C73" s="14">
        <v>10</v>
      </c>
      <c r="D73" s="13" t="s">
        <v>27</v>
      </c>
    </row>
    <row r="74" spans="1:20" x14ac:dyDescent="0.15">
      <c r="A74" s="13" t="s">
        <v>25</v>
      </c>
      <c r="C74" s="15">
        <v>0</v>
      </c>
      <c r="D74" s="13" t="s">
        <v>31</v>
      </c>
    </row>
    <row r="75" spans="1:20" x14ac:dyDescent="0.15">
      <c r="A75" s="13" t="s">
        <v>29</v>
      </c>
      <c r="C75" s="14">
        <v>1</v>
      </c>
    </row>
    <row r="79" spans="1:20" ht="14" thickBot="1" x14ac:dyDescent="0.2"/>
    <row r="80" spans="1:20" ht="14" thickBot="1" x14ac:dyDescent="0.2">
      <c r="A80" s="140"/>
      <c r="B80" s="141"/>
      <c r="C80" s="14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9" x14ac:dyDescent="0.1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9" x14ac:dyDescent="0.15">
      <c r="A82" s="12"/>
      <c r="B82" s="12"/>
      <c r="C82" s="16"/>
      <c r="D82" s="16"/>
      <c r="E82" s="16"/>
      <c r="F82" s="17"/>
      <c r="G82" s="17"/>
      <c r="H82" s="17"/>
      <c r="I82" s="17"/>
      <c r="J82" s="17"/>
      <c r="K82" s="17"/>
      <c r="L82" s="17"/>
      <c r="M82" s="4"/>
    </row>
    <row r="83" spans="1:19" x14ac:dyDescent="0.15">
      <c r="A83" s="12"/>
      <c r="B83" s="12"/>
      <c r="C83" s="16"/>
      <c r="D83" s="16"/>
      <c r="E83" s="16"/>
      <c r="F83" s="17"/>
      <c r="G83" s="17"/>
      <c r="H83" s="17"/>
      <c r="I83" s="17"/>
      <c r="J83" s="17"/>
      <c r="K83" s="17"/>
      <c r="L83" s="17"/>
      <c r="M83" s="4"/>
    </row>
    <row r="84" spans="1:19" x14ac:dyDescent="0.15">
      <c r="A84" s="12"/>
      <c r="B84" s="12"/>
      <c r="C84" s="16"/>
      <c r="D84" s="16"/>
      <c r="E84" s="16"/>
      <c r="F84" s="17"/>
      <c r="G84" s="17"/>
      <c r="H84" s="17"/>
      <c r="I84" s="17"/>
      <c r="J84" s="17"/>
      <c r="K84" s="17"/>
      <c r="L84" s="17"/>
      <c r="M84" s="4"/>
    </row>
    <row r="85" spans="1:19" x14ac:dyDescent="0.15">
      <c r="A85" s="12"/>
      <c r="B85" s="12"/>
      <c r="C85" s="16"/>
      <c r="D85" s="16"/>
      <c r="E85" s="16"/>
      <c r="F85" s="17"/>
      <c r="G85" s="17"/>
      <c r="H85" s="17"/>
      <c r="I85" s="17"/>
      <c r="J85" s="17"/>
      <c r="K85" s="17"/>
      <c r="L85" s="17"/>
      <c r="M85" s="4"/>
    </row>
    <row r="86" spans="1:19" x14ac:dyDescent="0.15">
      <c r="A86" s="12"/>
      <c r="B86" s="12"/>
      <c r="C86" s="16"/>
      <c r="D86" s="16"/>
      <c r="E86" s="16"/>
      <c r="F86" s="17"/>
      <c r="G86" s="17"/>
      <c r="H86" s="17"/>
      <c r="I86" s="17"/>
      <c r="J86" s="17"/>
      <c r="K86" s="17"/>
      <c r="L86" s="17"/>
      <c r="M86" s="4"/>
      <c r="O86" t="s">
        <v>7</v>
      </c>
    </row>
    <row r="87" spans="1:19" x14ac:dyDescent="0.15">
      <c r="A87" s="12"/>
      <c r="B87" s="12"/>
      <c r="C87" s="16"/>
      <c r="D87" s="16"/>
      <c r="E87" s="16"/>
      <c r="F87" s="17"/>
      <c r="G87" s="17"/>
      <c r="H87" s="17"/>
      <c r="I87" s="17"/>
      <c r="J87" s="17"/>
      <c r="K87" s="17"/>
      <c r="L87" s="17"/>
      <c r="M87" s="4"/>
    </row>
    <row r="88" spans="1:19" x14ac:dyDescent="0.15">
      <c r="A88" s="12"/>
      <c r="B88" s="12"/>
      <c r="C88" s="16"/>
      <c r="D88" s="16"/>
      <c r="E88" s="16"/>
      <c r="F88" s="17"/>
      <c r="G88" s="17"/>
      <c r="H88" s="17"/>
      <c r="I88" s="17"/>
      <c r="J88" s="17"/>
      <c r="K88" s="17"/>
      <c r="L88" s="17"/>
      <c r="M88" s="4"/>
      <c r="S88" t="s">
        <v>7</v>
      </c>
    </row>
    <row r="89" spans="1:19" x14ac:dyDescent="0.15">
      <c r="A89" s="12"/>
      <c r="B89" s="12"/>
      <c r="C89" s="16"/>
      <c r="D89" s="16"/>
      <c r="E89" s="17"/>
      <c r="F89" s="17"/>
      <c r="G89" s="17"/>
      <c r="H89" s="17"/>
      <c r="I89" s="17"/>
      <c r="J89" s="17"/>
      <c r="K89" s="17"/>
      <c r="L89" s="17"/>
      <c r="M89" s="4"/>
    </row>
    <row r="90" spans="1:19" x14ac:dyDescent="0.15">
      <c r="A90" s="12"/>
      <c r="B90" s="12"/>
      <c r="C90" s="16"/>
      <c r="D90" s="17"/>
      <c r="E90" s="17"/>
      <c r="F90" s="17"/>
      <c r="G90" s="17"/>
      <c r="H90" s="17"/>
      <c r="I90" s="17"/>
      <c r="J90" s="17"/>
      <c r="K90" s="17"/>
      <c r="L90" s="17"/>
      <c r="M90" s="4"/>
    </row>
    <row r="91" spans="1:19" x14ac:dyDescent="0.15">
      <c r="A91" s="12"/>
      <c r="B91" s="12"/>
      <c r="C91" s="103"/>
      <c r="D91" s="16"/>
      <c r="E91" s="16"/>
      <c r="F91" s="17"/>
      <c r="G91" s="17"/>
      <c r="H91" s="17"/>
      <c r="I91" s="17"/>
      <c r="J91" s="17"/>
      <c r="K91" s="16"/>
      <c r="L91" s="16"/>
      <c r="M91" s="4"/>
    </row>
    <row r="116" spans="9:9" x14ac:dyDescent="0.15">
      <c r="I116" t="s">
        <v>7</v>
      </c>
    </row>
  </sheetData>
  <mergeCells count="12">
    <mergeCell ref="A47:C47"/>
    <mergeCell ref="A48:C48"/>
    <mergeCell ref="A50:C50"/>
    <mergeCell ref="A51:C51"/>
    <mergeCell ref="A56:C56"/>
    <mergeCell ref="A80:C80"/>
    <mergeCell ref="A1:H1"/>
    <mergeCell ref="A3:B3"/>
    <mergeCell ref="A4:B4"/>
    <mergeCell ref="A5:B5"/>
    <mergeCell ref="A10:B10"/>
    <mergeCell ref="A28:B28"/>
  </mergeCells>
  <pageMargins left="0.53" right="0.38" top="0.63" bottom="5.31" header="0.5" footer="0.5"/>
  <pageSetup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15"/>
  <sheetViews>
    <sheetView showGridLines="0" topLeftCell="A46" workbookViewId="0">
      <selection activeCell="D66" sqref="D66"/>
    </sheetView>
  </sheetViews>
  <sheetFormatPr baseColWidth="10" defaultColWidth="8.796875" defaultRowHeight="13" x14ac:dyDescent="0.15"/>
  <cols>
    <col min="1" max="1" width="10.59765625" customWidth="1"/>
    <col min="3" max="3" width="10.59765625" bestFit="1" customWidth="1"/>
    <col min="4" max="4" width="12.3984375" bestFit="1" customWidth="1"/>
    <col min="5" max="5" width="9.59765625" bestFit="1" customWidth="1"/>
  </cols>
  <sheetData>
    <row r="1" spans="1:16" ht="14" thickBot="1" x14ac:dyDescent="0.2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4" thickBot="1" x14ac:dyDescent="0.2"/>
    <row r="3" spans="1:16" x14ac:dyDescent="0.15">
      <c r="A3" s="134" t="s">
        <v>15</v>
      </c>
      <c r="B3" s="135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/>
      <c r="O3" s="95"/>
      <c r="P3" s="96"/>
    </row>
    <row r="4" spans="1:16" ht="14" thickBot="1" x14ac:dyDescent="0.2">
      <c r="A4" s="136" t="s">
        <v>43</v>
      </c>
      <c r="B4" s="137"/>
      <c r="C4" s="97">
        <v>3</v>
      </c>
      <c r="D4" s="97">
        <v>3</v>
      </c>
      <c r="E4" s="97">
        <v>3.1</v>
      </c>
      <c r="F4" s="97">
        <v>3.2</v>
      </c>
      <c r="G4" s="97">
        <v>3.3</v>
      </c>
      <c r="H4" s="97">
        <v>3.4</v>
      </c>
      <c r="I4" s="97">
        <v>3.5</v>
      </c>
      <c r="J4" s="97">
        <v>3.55</v>
      </c>
      <c r="K4" s="98">
        <v>3.6</v>
      </c>
      <c r="L4" s="97">
        <v>3.65</v>
      </c>
      <c r="M4" s="97">
        <v>3.7</v>
      </c>
      <c r="N4" s="97"/>
      <c r="O4" s="97"/>
      <c r="P4" s="99"/>
    </row>
    <row r="5" spans="1:16" ht="14" thickBot="1" x14ac:dyDescent="0.2">
      <c r="A5" s="138" t="s">
        <v>16</v>
      </c>
      <c r="B5" s="139"/>
      <c r="C5" s="100">
        <v>2.9999979509690475</v>
      </c>
      <c r="D5" s="101">
        <v>2.9250689396088796</v>
      </c>
      <c r="E5" s="101">
        <v>3.1375549045869811</v>
      </c>
      <c r="F5" s="101">
        <v>3.2449964312347439</v>
      </c>
      <c r="G5" s="101">
        <v>3.3452926782452082</v>
      </c>
      <c r="H5" s="101">
        <v>3.4387805483147509</v>
      </c>
      <c r="I5" s="101">
        <v>3.5257186996570322</v>
      </c>
      <c r="J5" s="101">
        <v>3.2693861034629532</v>
      </c>
      <c r="K5" s="101">
        <v>3.2701770651841953</v>
      </c>
      <c r="L5" s="101">
        <v>3.2690427324642886</v>
      </c>
      <c r="M5" s="101">
        <v>3.2660579284596571</v>
      </c>
      <c r="N5" s="101"/>
      <c r="O5" s="101"/>
      <c r="P5" s="102"/>
    </row>
    <row r="6" spans="1:16" x14ac:dyDescent="0.15">
      <c r="A6" s="81" t="s">
        <v>18</v>
      </c>
      <c r="B6" s="109">
        <v>0.05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/>
      <c r="O11" s="12"/>
      <c r="P11" s="12"/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/>
      <c r="O12" s="4"/>
      <c r="P12" s="4"/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/>
      <c r="O13" s="4"/>
      <c r="P13" s="4"/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/>
      <c r="O14" s="4"/>
      <c r="P14" s="4"/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5.3848191779902344</v>
      </c>
      <c r="N15" s="4"/>
      <c r="O15" s="4"/>
      <c r="P15" s="4"/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5.1268795522118218</v>
      </c>
      <c r="M16" s="4">
        <f t="shared" si="0"/>
        <v>5.1221984477200584</v>
      </c>
      <c r="N16" s="4"/>
      <c r="O16" s="4"/>
      <c r="P16" s="4"/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4.8785309115018292</v>
      </c>
      <c r="L17" s="4">
        <f t="shared" si="0"/>
        <v>4.8768386859349295</v>
      </c>
      <c r="M17" s="4">
        <f t="shared" si="0"/>
        <v>4.8723858816032015</v>
      </c>
      <c r="N17" s="4"/>
      <c r="O17" s="4"/>
      <c r="P17" s="4"/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4.6394797232460343</v>
      </c>
      <c r="K18" s="4">
        <f t="shared" si="0"/>
        <v>4.6406021513568287</v>
      </c>
      <c r="L18" s="4">
        <f t="shared" si="0"/>
        <v>4.6389924566047016</v>
      </c>
      <c r="M18" s="4">
        <f t="shared" si="0"/>
        <v>4.6347568181028178</v>
      </c>
      <c r="N18" s="4"/>
      <c r="O18" s="4"/>
      <c r="P18" s="4"/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4.7592224397674583</v>
      </c>
      <c r="J19" s="4">
        <f t="shared" si="0"/>
        <v>4.413209627126057</v>
      </c>
      <c r="K19" s="4">
        <f t="shared" si="0"/>
        <v>4.4142773137719313</v>
      </c>
      <c r="L19" s="4">
        <f t="shared" si="0"/>
        <v>4.4127461247592441</v>
      </c>
      <c r="M19" s="4">
        <f t="shared" si="0"/>
        <v>4.4087170607847037</v>
      </c>
      <c r="N19" s="4"/>
      <c r="O19" s="4"/>
      <c r="P19" s="4"/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4.4154816264475478</v>
      </c>
      <c r="I20" s="4">
        <f t="shared" si="0"/>
        <v>4.527112422450883</v>
      </c>
      <c r="J20" s="4">
        <f t="shared" si="0"/>
        <v>4.1979748538121298</v>
      </c>
      <c r="K20" s="4">
        <f t="shared" si="0"/>
        <v>4.1989904687658317</v>
      </c>
      <c r="L20" s="4">
        <f t="shared" si="0"/>
        <v>4.1975339567224905</v>
      </c>
      <c r="M20" s="4">
        <f t="shared" si="0"/>
        <v>4.1937013925167124</v>
      </c>
      <c r="N20" s="4"/>
      <c r="O20" s="4"/>
      <c r="P20" s="4"/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4.0859497040617185</v>
      </c>
      <c r="H21" s="4">
        <f t="shared" si="0"/>
        <v>4.2001360464191784</v>
      </c>
      <c r="I21" s="4">
        <f t="shared" si="0"/>
        <v>4.3063225442579869</v>
      </c>
      <c r="J21" s="4">
        <f t="shared" si="0"/>
        <v>3.9932372042601814</v>
      </c>
      <c r="K21" s="4">
        <f t="shared" si="0"/>
        <v>3.9942032870881055</v>
      </c>
      <c r="L21" s="4">
        <f t="shared" si="0"/>
        <v>3.9928178099753402</v>
      </c>
      <c r="M21" s="4">
        <f t="shared" si="0"/>
        <v>3.9891721621315162</v>
      </c>
      <c r="N21" s="4"/>
      <c r="O21" s="4"/>
      <c r="P21" s="4"/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3.7701479713395996</v>
      </c>
      <c r="G22" s="4">
        <f t="shared" si="0"/>
        <v>3.8866755855334914</v>
      </c>
      <c r="H22" s="4">
        <f t="shared" si="0"/>
        <v>3.9952929942600184</v>
      </c>
      <c r="I22" s="4">
        <f t="shared" si="0"/>
        <v>4.096300715488975</v>
      </c>
      <c r="J22" s="4">
        <f t="shared" si="0"/>
        <v>3.7984847277032525</v>
      </c>
      <c r="K22" s="4">
        <f t="shared" si="0"/>
        <v>3.7994036941156786</v>
      </c>
      <c r="L22" s="4">
        <f t="shared" si="0"/>
        <v>3.7980857875190441</v>
      </c>
      <c r="M22" s="4">
        <f t="shared" si="0"/>
        <v>3.7946179400186306</v>
      </c>
      <c r="N22" s="4"/>
      <c r="O22" s="4"/>
      <c r="P22" s="4"/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3.4675344344151453</v>
      </c>
      <c r="F23" s="4">
        <f t="shared" si="0"/>
        <v>3.5862756850599022</v>
      </c>
      <c r="G23" s="4">
        <f t="shared" si="0"/>
        <v>3.6971201804479992</v>
      </c>
      <c r="H23" s="4">
        <f t="shared" si="0"/>
        <v>3.8004402556416923</v>
      </c>
      <c r="I23" s="4">
        <f t="shared" si="0"/>
        <v>3.8965217721764414</v>
      </c>
      <c r="J23" s="4">
        <f t="shared" si="0"/>
        <v>3.6132304415079166</v>
      </c>
      <c r="K23" s="4">
        <f t="shared" si="0"/>
        <v>3.6141045893995445</v>
      </c>
      <c r="L23" s="4">
        <f t="shared" si="0"/>
        <v>3.6128509578660819</v>
      </c>
      <c r="M23" s="4">
        <f t="shared" si="0"/>
        <v>3.6095522392840076</v>
      </c>
      <c r="N23" s="4"/>
      <c r="O23" s="4"/>
      <c r="P23" s="4"/>
    </row>
    <row r="24" spans="1:17" x14ac:dyDescent="0.15">
      <c r="A24" s="12"/>
      <c r="B24" s="12">
        <v>1</v>
      </c>
      <c r="C24" s="4"/>
      <c r="D24" s="4">
        <f t="shared" si="0"/>
        <v>3.0750404311180812</v>
      </c>
      <c r="E24" s="4">
        <f t="shared" si="0"/>
        <v>3.2984207844851272</v>
      </c>
      <c r="F24" s="4">
        <f t="shared" si="0"/>
        <v>3.4113709560004346</v>
      </c>
      <c r="G24" s="4">
        <f t="shared" si="0"/>
        <v>3.516809501557526</v>
      </c>
      <c r="H24" s="4">
        <f t="shared" si="0"/>
        <v>3.6150905972233933</v>
      </c>
      <c r="I24" s="4">
        <f t="shared" si="0"/>
        <v>3.7064861629018981</v>
      </c>
      <c r="J24" s="4">
        <f t="shared" si="0"/>
        <v>3.4370111134640364</v>
      </c>
      <c r="K24" s="4">
        <f t="shared" si="0"/>
        <v>3.4378426286599177</v>
      </c>
      <c r="L24" s="4">
        <f t="shared" si="0"/>
        <v>3.4366501374578062</v>
      </c>
      <c r="M24" s="4">
        <f t="shared" si="0"/>
        <v>3.4335122992793901</v>
      </c>
      <c r="N24" s="4"/>
      <c r="O24" s="4"/>
      <c r="P24" s="4"/>
    </row>
    <row r="25" spans="1:17" x14ac:dyDescent="0.15">
      <c r="A25" s="12"/>
      <c r="B25" s="12">
        <v>0</v>
      </c>
      <c r="C25" s="4">
        <f>IF( $B25 &lt;=C$11,(C$5+$B$6*$B25),"")</f>
        <v>2.9999979509690475</v>
      </c>
      <c r="D25" s="2">
        <f t="shared" si="0"/>
        <v>2.9250689396088796</v>
      </c>
      <c r="E25" s="4">
        <f t="shared" si="0"/>
        <v>3.1375549045869811</v>
      </c>
      <c r="F25" s="4">
        <f t="shared" si="0"/>
        <v>3.2449964312347439</v>
      </c>
      <c r="G25" s="4">
        <f t="shared" si="0"/>
        <v>3.3452926782452082</v>
      </c>
      <c r="H25" s="4">
        <f t="shared" si="0"/>
        <v>3.4387805483147509</v>
      </c>
      <c r="I25" s="4">
        <f t="shared" si="0"/>
        <v>3.5257186996570322</v>
      </c>
      <c r="J25" s="4">
        <f t="shared" si="0"/>
        <v>3.2693861034629532</v>
      </c>
      <c r="K25" s="4">
        <f t="shared" si="0"/>
        <v>3.2701770651841953</v>
      </c>
      <c r="L25" s="4">
        <f t="shared" si="0"/>
        <v>3.2690427324642886</v>
      </c>
      <c r="M25" s="4">
        <f t="shared" si="0"/>
        <v>3.2660579284596571</v>
      </c>
      <c r="N25" s="4"/>
      <c r="O25" s="4"/>
      <c r="P25" s="4"/>
    </row>
    <row r="27" spans="1:17" ht="14" thickBot="1" x14ac:dyDescent="0.2"/>
    <row r="28" spans="1:17" ht="14" thickBot="1" x14ac:dyDescent="0.2">
      <c r="A28" s="131" t="s">
        <v>13</v>
      </c>
      <c r="B28" s="132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/>
      <c r="P30" s="8"/>
      <c r="Q30" s="8"/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/>
      <c r="P31" s="8"/>
      <c r="Q31" s="8"/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/>
      <c r="P32" s="8"/>
      <c r="Q32" s="8"/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3.0944218200928942E-4</v>
      </c>
      <c r="O33" s="8"/>
      <c r="P33" s="8"/>
      <c r="Q33" s="8"/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6.5221016794183412E-4</v>
      </c>
      <c r="N34" s="8">
        <f t="shared" si="1"/>
        <v>3.441601808973121E-3</v>
      </c>
      <c r="O34" s="8"/>
      <c r="P34" s="8"/>
      <c r="Q34" s="8"/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1.3712963953589809E-3</v>
      </c>
      <c r="M35" s="8">
        <f t="shared" si="1"/>
        <v>6.5851901175125746E-3</v>
      </c>
      <c r="N35" s="8">
        <f t="shared" si="1"/>
        <v>1.7393088461312021E-2</v>
      </c>
      <c r="O35" s="8"/>
      <c r="P35" s="8"/>
      <c r="Q35" s="8"/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2.8763910277897586E-3</v>
      </c>
      <c r="L36" s="8">
        <f t="shared" si="1"/>
        <v>1.2444643621960339E-2</v>
      </c>
      <c r="M36" s="8">
        <f t="shared" si="1"/>
        <v>2.9911552634916898E-2</v>
      </c>
      <c r="N36" s="8">
        <f t="shared" si="1"/>
        <v>5.2723747302670654E-2</v>
      </c>
      <c r="O36" s="8"/>
      <c r="P36" s="8"/>
      <c r="Q36" s="8"/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6.0196812125706649E-3</v>
      </c>
      <c r="K37" s="8">
        <f t="shared" si="1"/>
        <v>2.3174434432452463E-2</v>
      </c>
      <c r="L37" s="8">
        <f t="shared" si="1"/>
        <v>5.0181873726841686E-2</v>
      </c>
      <c r="M37" s="8">
        <f t="shared" si="1"/>
        <v>8.0490953139435106E-2</v>
      </c>
      <c r="N37" s="8">
        <f t="shared" si="1"/>
        <v>0.10651511011417483</v>
      </c>
      <c r="O37" s="8"/>
      <c r="P37" s="8"/>
      <c r="Q37" s="8"/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1.2612342463283587E-2</v>
      </c>
      <c r="J38" s="8">
        <f t="shared" si="1"/>
        <v>4.2387677220631012E-2</v>
      </c>
      <c r="K38" s="8">
        <f t="shared" si="1"/>
        <v>8.1669770626581831E-2</v>
      </c>
      <c r="L38" s="8">
        <f t="shared" si="1"/>
        <v>0.11801225666517193</v>
      </c>
      <c r="M38" s="8">
        <f t="shared" si="1"/>
        <v>0.14210504927579604</v>
      </c>
      <c r="N38" s="8">
        <f t="shared" si="1"/>
        <v>0.1505861831921759</v>
      </c>
      <c r="O38" s="8"/>
      <c r="P38" s="8"/>
      <c r="Q38" s="8"/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2.6338476254829029E-2</v>
      </c>
      <c r="I39" s="8">
        <f t="shared" si="1"/>
        <v>7.6028832146275357E-2</v>
      </c>
      <c r="J39" s="8">
        <f t="shared" si="1"/>
        <v>0.12789619379609093</v>
      </c>
      <c r="K39" s="8">
        <f t="shared" si="1"/>
        <v>0.16443378054811558</v>
      </c>
      <c r="L39" s="8">
        <f t="shared" si="1"/>
        <v>0.17837090031992653</v>
      </c>
      <c r="M39" s="8">
        <f t="shared" si="1"/>
        <v>0.17199023301079985</v>
      </c>
      <c r="N39" s="8">
        <f t="shared" si="1"/>
        <v>0.15202185743405577</v>
      </c>
      <c r="O39" s="8"/>
      <c r="P39" s="8"/>
      <c r="Q39" s="8"/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5.4829306294835158E-2</v>
      </c>
      <c r="H40" s="8">
        <f t="shared" si="1"/>
        <v>0.13216013705108159</v>
      </c>
      <c r="I40" s="8">
        <f t="shared" si="1"/>
        <v>0.19093939440745916</v>
      </c>
      <c r="J40" s="8">
        <f t="shared" si="1"/>
        <v>0.21435513116618521</v>
      </c>
      <c r="K40" s="8">
        <f t="shared" si="1"/>
        <v>0.20688018226979854</v>
      </c>
      <c r="L40" s="8">
        <f t="shared" si="1"/>
        <v>0.17969452303883943</v>
      </c>
      <c r="M40" s="8">
        <f t="shared" si="1"/>
        <v>0.14451992095791419</v>
      </c>
      <c r="N40" s="8">
        <f t="shared" si="1"/>
        <v>0.10959176840102888</v>
      </c>
      <c r="O40" s="8"/>
      <c r="P40" s="8"/>
      <c r="Q40" s="8"/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0.11379290454761894</v>
      </c>
      <c r="G41" s="8">
        <f t="shared" si="1"/>
        <v>0.21986921090125316</v>
      </c>
      <c r="H41" s="8">
        <f t="shared" si="1"/>
        <v>0.26523563680600187</v>
      </c>
      <c r="I41" s="8">
        <f t="shared" si="1"/>
        <v>0.25571658785787421</v>
      </c>
      <c r="J41" s="8">
        <f t="shared" si="1"/>
        <v>0.21552328943222415</v>
      </c>
      <c r="K41" s="8">
        <f t="shared" si="1"/>
        <v>0.166551027786009</v>
      </c>
      <c r="L41" s="8">
        <f t="shared" si="1"/>
        <v>0.1206597874812583</v>
      </c>
      <c r="M41" s="8">
        <f t="shared" si="1"/>
        <v>8.3251177196191684E-2</v>
      </c>
      <c r="N41" s="8">
        <f t="shared" si="1"/>
        <v>5.5287984355423231E-2</v>
      </c>
      <c r="O41" s="8"/>
      <c r="P41" s="8"/>
      <c r="Q41" s="8"/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0.23547742539345756</v>
      </c>
      <c r="F42" s="8">
        <f t="shared" si="1"/>
        <v>0.34191738115192805</v>
      </c>
      <c r="G42" s="8">
        <f t="shared" si="1"/>
        <v>0.3306154045745206</v>
      </c>
      <c r="H42" s="8">
        <f t="shared" si="1"/>
        <v>0.26613121494479708</v>
      </c>
      <c r="I42" s="8">
        <f t="shared" si="1"/>
        <v>0.19261657949946109</v>
      </c>
      <c r="J42" s="8">
        <f t="shared" si="1"/>
        <v>0.12999916608044226</v>
      </c>
      <c r="K42" s="8">
        <f t="shared" si="1"/>
        <v>8.3787410143609825E-2</v>
      </c>
      <c r="L42" s="8">
        <f t="shared" si="1"/>
        <v>5.2073374513761886E-2</v>
      </c>
      <c r="M42" s="8">
        <f t="shared" si="1"/>
        <v>3.1464525635652052E-2</v>
      </c>
      <c r="N42" s="8">
        <f t="shared" si="1"/>
        <v>1.8589980254865524E-2</v>
      </c>
      <c r="O42" s="8"/>
      <c r="P42" s="8"/>
      <c r="Q42" s="8"/>
    </row>
    <row r="43" spans="1:17" x14ac:dyDescent="0.15">
      <c r="B43">
        <v>1</v>
      </c>
      <c r="C43" s="8"/>
      <c r="D43" s="8">
        <f t="shared" si="1"/>
        <v>0.48543690286092461</v>
      </c>
      <c r="E43" s="8">
        <f t="shared" si="1"/>
        <v>0.47129796351024711</v>
      </c>
      <c r="F43" s="8">
        <f t="shared" si="1"/>
        <v>0.34244778896853389</v>
      </c>
      <c r="G43" s="8">
        <f t="shared" si="1"/>
        <v>0.22094056186743083</v>
      </c>
      <c r="H43" s="8">
        <f t="shared" si="1"/>
        <v>0.13350368487008502</v>
      </c>
      <c r="I43" s="8">
        <f t="shared" si="1"/>
        <v>7.7370867036747615E-2</v>
      </c>
      <c r="J43" s="8">
        <f t="shared" si="1"/>
        <v>4.3556314389021598E-2</v>
      </c>
      <c r="K43" s="8">
        <f t="shared" si="1"/>
        <v>2.4082274222337958E-2</v>
      </c>
      <c r="L43" s="8">
        <f t="shared" si="1"/>
        <v>1.3106882460062278E-2</v>
      </c>
      <c r="M43" s="8">
        <f t="shared" si="1"/>
        <v>7.0454738402579752E-3</v>
      </c>
      <c r="N43" s="8">
        <f t="shared" si="1"/>
        <v>3.749458588315639E-3</v>
      </c>
      <c r="O43" s="8"/>
      <c r="P43" s="8"/>
      <c r="Q43" s="8"/>
    </row>
    <row r="44" spans="1:17" x14ac:dyDescent="0.15">
      <c r="B44">
        <v>0</v>
      </c>
      <c r="C44" s="8">
        <v>1</v>
      </c>
      <c r="D44" s="9">
        <f t="shared" si="1"/>
        <v>0.48543690286092461</v>
      </c>
      <c r="E44" s="8">
        <f t="shared" si="1"/>
        <v>0.23582053811678955</v>
      </c>
      <c r="F44" s="8">
        <f t="shared" si="1"/>
        <v>0.11432331236422474</v>
      </c>
      <c r="G44" s="8">
        <f t="shared" si="1"/>
        <v>5.5365061899328258E-2</v>
      </c>
      <c r="H44" s="8">
        <f t="shared" si="1"/>
        <v>2.6786445935037217E-2</v>
      </c>
      <c r="I44" s="8">
        <f t="shared" si="1"/>
        <v>1.2947970670693308E-2</v>
      </c>
      <c r="J44" s="8">
        <f t="shared" si="1"/>
        <v>6.2535043626488745E-3</v>
      </c>
      <c r="K44" s="8">
        <f t="shared" si="1"/>
        <v>3.0277629211350444E-3</v>
      </c>
      <c r="L44" s="8">
        <f t="shared" si="1"/>
        <v>1.4659425437142024E-3</v>
      </c>
      <c r="M44" s="8">
        <f t="shared" si="1"/>
        <v>7.0976863197617294E-4</v>
      </c>
      <c r="N44" s="8">
        <f t="shared" si="1"/>
        <v>3.4366017557670511E-4</v>
      </c>
      <c r="O44" s="8"/>
      <c r="P44" s="8"/>
      <c r="Q44" s="8"/>
    </row>
    <row r="46" spans="1:17" ht="14" thickBot="1" x14ac:dyDescent="0.2"/>
    <row r="47" spans="1:17" ht="14" thickBot="1" x14ac:dyDescent="0.2">
      <c r="A47" s="131" t="s">
        <v>41</v>
      </c>
      <c r="B47" s="133"/>
      <c r="C47" s="132"/>
      <c r="D47" s="92">
        <f>SUM(D30:D44)</f>
        <v>0.97087380572184923</v>
      </c>
      <c r="E47" s="93">
        <f>SUM(E30:E44)</f>
        <v>0.94259592702049422</v>
      </c>
      <c r="F47" s="93">
        <f t="shared" ref="F47:Q47" si="2">SUM(F30:F44)</f>
        <v>0.91248138703230564</v>
      </c>
      <c r="G47" s="93">
        <f t="shared" si="2"/>
        <v>0.88161954553736799</v>
      </c>
      <c r="H47" s="93">
        <f t="shared" si="2"/>
        <v>0.85015559586183176</v>
      </c>
      <c r="I47" s="93">
        <f t="shared" si="2"/>
        <v>0.81823257408179428</v>
      </c>
      <c r="J47" s="93">
        <f t="shared" si="2"/>
        <v>0.78599095765981475</v>
      </c>
      <c r="K47" s="93">
        <f t="shared" si="2"/>
        <v>0.75648303397783001</v>
      </c>
      <c r="L47" s="93">
        <f t="shared" si="2"/>
        <v>0.72738148076689568</v>
      </c>
      <c r="M47" s="93">
        <f t="shared" si="2"/>
        <v>0.69872605460839432</v>
      </c>
      <c r="N47" s="93">
        <f t="shared" si="2"/>
        <v>0.67055388227058166</v>
      </c>
      <c r="O47" s="93"/>
      <c r="P47" s="93"/>
      <c r="Q47" s="94"/>
    </row>
    <row r="48" spans="1:17" ht="14" thickBot="1" x14ac:dyDescent="0.2">
      <c r="A48" s="131" t="s">
        <v>42</v>
      </c>
      <c r="B48" s="133"/>
      <c r="C48" s="132"/>
      <c r="D48" s="89">
        <f>100*((1/D47)^(1/D29)-1)</f>
        <v>2.9999979509690577</v>
      </c>
      <c r="E48" s="90">
        <f t="shared" ref="E48:Q48" si="3">100*((1/E47)^(1/E29)-1)</f>
        <v>2.9999990227338458</v>
      </c>
      <c r="F48" s="90">
        <f t="shared" si="3"/>
        <v>3.0999991890111156</v>
      </c>
      <c r="G48" s="90">
        <f t="shared" si="3"/>
        <v>3.200000053248564</v>
      </c>
      <c r="H48" s="90">
        <f t="shared" si="3"/>
        <v>3.2999987936110031</v>
      </c>
      <c r="I48" s="90">
        <f t="shared" si="3"/>
        <v>3.4000001013312575</v>
      </c>
      <c r="J48" s="90">
        <f t="shared" si="3"/>
        <v>3.5000000568862211</v>
      </c>
      <c r="K48" s="90">
        <f t="shared" si="3"/>
        <v>3.5499994585991734</v>
      </c>
      <c r="L48" s="90">
        <f t="shared" si="3"/>
        <v>3.5999989836590585</v>
      </c>
      <c r="M48" s="90">
        <f t="shared" si="3"/>
        <v>3.6499999487948243</v>
      </c>
      <c r="N48" s="90">
        <f t="shared" si="3"/>
        <v>3.6999999664358407</v>
      </c>
      <c r="O48" s="90"/>
      <c r="P48" s="90"/>
      <c r="Q48" s="91"/>
    </row>
    <row r="49" spans="1:17" ht="14" thickBot="1" x14ac:dyDescent="0.2"/>
    <row r="50" spans="1:17" ht="14" thickBot="1" x14ac:dyDescent="0.2">
      <c r="A50" s="131" t="s">
        <v>20</v>
      </c>
      <c r="B50" s="133"/>
      <c r="C50" s="132"/>
      <c r="D50" s="86">
        <f t="shared" ref="D50:Q50" si="4">(D48-C4)^2</f>
        <v>4.1985278023091004E-12</v>
      </c>
      <c r="E50" s="87">
        <f t="shared" si="4"/>
        <v>9.5504913618959522E-13</v>
      </c>
      <c r="F50" s="87">
        <f t="shared" si="4"/>
        <v>6.5770297076965579E-13</v>
      </c>
      <c r="G50" s="87">
        <f t="shared" si="4"/>
        <v>2.8354095446889586E-15</v>
      </c>
      <c r="H50" s="87">
        <f t="shared" si="4"/>
        <v>1.4553744113577684E-12</v>
      </c>
      <c r="I50" s="87">
        <f t="shared" si="4"/>
        <v>1.0268023768222093E-14</v>
      </c>
      <c r="J50" s="87">
        <f t="shared" si="4"/>
        <v>3.2360421472872107E-15</v>
      </c>
      <c r="K50" s="87">
        <f t="shared" si="4"/>
        <v>2.9311485481864021E-13</v>
      </c>
      <c r="L50" s="87">
        <f t="shared" si="4"/>
        <v>1.0329489096305354E-12</v>
      </c>
      <c r="M50" s="87">
        <f t="shared" si="4"/>
        <v>2.6219700138753497E-15</v>
      </c>
      <c r="N50" s="87">
        <f t="shared" si="4"/>
        <v>1.1265527997039117E-15</v>
      </c>
      <c r="O50" s="87"/>
      <c r="P50" s="87"/>
      <c r="Q50" s="88"/>
    </row>
    <row r="51" spans="1:17" ht="14" thickBot="1" x14ac:dyDescent="0.2">
      <c r="A51" s="131" t="s">
        <v>19</v>
      </c>
      <c r="B51" s="133"/>
      <c r="C51" s="132"/>
      <c r="D51" s="85">
        <f>SUM(D50:Q50)</f>
        <v>8.6128060833490733E-12</v>
      </c>
    </row>
    <row r="55" spans="1:17" ht="14" thickBot="1" x14ac:dyDescent="0.2"/>
    <row r="56" spans="1:17" ht="14" thickBot="1" x14ac:dyDescent="0.2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1.1670464846266888E-2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1.933438306011568E-2</v>
      </c>
      <c r="L59" s="110">
        <f t="shared" si="8"/>
        <v>9.3141507521997211E-3</v>
      </c>
      <c r="M59" s="4"/>
      <c r="N59" s="4"/>
      <c r="O59" s="4"/>
      <c r="P59" s="4"/>
    </row>
    <row r="60" spans="1:17" x14ac:dyDescent="0.15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2.342646057633839E-2</v>
      </c>
      <c r="K60" s="110">
        <f t="shared" si="7"/>
        <v>1.4902675404267294E-2</v>
      </c>
      <c r="L60" s="110">
        <f t="shared" si="8"/>
        <v>7.0623047800385903E-3</v>
      </c>
      <c r="M60" s="4"/>
      <c r="N60" s="4"/>
      <c r="O60" s="4"/>
      <c r="P60" s="4"/>
    </row>
    <row r="61" spans="1:17" x14ac:dyDescent="0.15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2.7571140326591866E-2</v>
      </c>
      <c r="J61" s="110">
        <f t="shared" si="7"/>
        <v>1.7155715076142046E-2</v>
      </c>
      <c r="K61" s="110">
        <f t="shared" si="7"/>
        <v>1.0658797544180889E-2</v>
      </c>
      <c r="L61" s="110">
        <f t="shared" si="8"/>
        <v>4.9107617967118792E-3</v>
      </c>
      <c r="M61" s="4"/>
      <c r="N61" s="4"/>
      <c r="O61" s="4"/>
      <c r="P61" s="4"/>
    </row>
    <row r="62" spans="1:17" x14ac:dyDescent="0.15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2.7493614756363312E-2</v>
      </c>
      <c r="I62" s="110">
        <f t="shared" si="7"/>
        <v>1.9534407673210793E-2</v>
      </c>
      <c r="J62" s="110">
        <f t="shared" si="7"/>
        <v>1.1139541014114121E-2</v>
      </c>
      <c r="K62" s="110">
        <f t="shared" si="7"/>
        <v>6.5960576690099618E-3</v>
      </c>
      <c r="L62" s="110">
        <f t="shared" si="8"/>
        <v>2.85547983166347E-3</v>
      </c>
      <c r="M62" s="4"/>
      <c r="N62" s="4"/>
      <c r="O62" s="4"/>
      <c r="P62" s="4"/>
    </row>
    <row r="63" spans="1:17" x14ac:dyDescent="0.15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2.360221756740867E-2</v>
      </c>
      <c r="H63" s="110">
        <f t="shared" si="7"/>
        <v>1.7920575774914731E-2</v>
      </c>
      <c r="I63" s="110">
        <f t="shared" si="7"/>
        <v>1.1809400073931215E-2</v>
      </c>
      <c r="J63" s="110">
        <f t="shared" si="7"/>
        <v>5.3699099640392052E-3</v>
      </c>
      <c r="K63" s="110">
        <f t="shared" si="7"/>
        <v>2.7078846589034047E-3</v>
      </c>
      <c r="L63" s="110">
        <f t="shared" si="8"/>
        <v>8.9254058049417317E-4</v>
      </c>
      <c r="M63" s="4"/>
      <c r="N63" s="4"/>
      <c r="O63" s="4"/>
      <c r="P63" s="4"/>
    </row>
    <row r="64" spans="1:17" x14ac:dyDescent="0.15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>IF($B64&lt;= F$57, MAX((F22/100-$C$70)/(1+F22/100) +($B$7*G63+$B$8*G64)/(1+F22/100),0),"")</f>
        <v>1.6233483779068438E-2</v>
      </c>
      <c r="G64" s="110">
        <f t="shared" si="7"/>
        <v>1.2685843282684803E-2</v>
      </c>
      <c r="H64" s="110">
        <f t="shared" si="7"/>
        <v>8.7037142271593412E-3</v>
      </c>
      <c r="I64" s="110">
        <f t="shared" si="7"/>
        <v>4.3876462647033238E-3</v>
      </c>
      <c r="J64" s="110">
        <f t="shared" si="7"/>
        <v>-1.6116937374372354E-4</v>
      </c>
      <c r="K64" s="110">
        <f t="shared" si="7"/>
        <v>-1.0121619485506808E-3</v>
      </c>
      <c r="L64" s="110">
        <f t="shared" si="8"/>
        <v>-9.8185059683644337E-4</v>
      </c>
      <c r="M64" s="4"/>
      <c r="N64" s="4"/>
      <c r="O64" s="4"/>
      <c r="P64" s="4"/>
    </row>
    <row r="65" spans="1:16" x14ac:dyDescent="0.15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>IF($B65&lt;= E$57,( F64*$B$7+$B$8*F65)/(1+E23/100),"")</f>
        <v>9.8441814408805773E-3</v>
      </c>
      <c r="F65" s="110">
        <f>IF($B65&lt;= F$57, MAX((F23/100-$C$70)/(1+F23/100) +($B$7*G64+$B$8*G65)/(1+F23/100),0),"")</f>
        <v>4.1375798651903939E-3</v>
      </c>
      <c r="G65" s="110">
        <f t="shared" si="7"/>
        <v>2.1605727878084512E-3</v>
      </c>
      <c r="H65" s="110">
        <f t="shared" si="7"/>
        <v>-1.6521431539975374E-4</v>
      </c>
      <c r="I65" s="110">
        <f t="shared" si="7"/>
        <v>-2.7394377510377536E-3</v>
      </c>
      <c r="J65" s="110">
        <f t="shared" si="7"/>
        <v>-5.4616271486694276E-3</v>
      </c>
      <c r="K65" s="110">
        <f t="shared" si="7"/>
        <v>-4.5703835284212841E-3</v>
      </c>
      <c r="L65" s="110">
        <f t="shared" si="8"/>
        <v>-2.771365129704681E-3</v>
      </c>
      <c r="M65" s="4"/>
      <c r="N65" s="4"/>
      <c r="O65" s="4"/>
      <c r="P65" s="4"/>
    </row>
    <row r="66" spans="1:16" x14ac:dyDescent="0.15">
      <c r="A66" s="12"/>
      <c r="B66" s="12">
        <v>1</v>
      </c>
      <c r="C66" s="3" t="str">
        <f t="shared" si="5"/>
        <v/>
      </c>
      <c r="D66" s="110">
        <f>IF($B66&lt;= D$57, ($B$7*E65+$B$8*E66)/(1+D24/100),"")</f>
        <v>5.7467417982127568E-3</v>
      </c>
      <c r="E66" s="110">
        <f t="shared" ref="E66:E67" si="9">IF($B66&lt;= E$57,( F65*$B$7+$B$8*F66)/(1+E24/100),"")</f>
        <v>2.0027314230789462E-3</v>
      </c>
      <c r="F66" s="110">
        <f>IF($B66&lt;= F$57, MAX((F24/100-$C$70)/(1+F24/100) +($B$7*G65+$B$8*G66)/(1+F24/100),0),"")</f>
        <v>0</v>
      </c>
      <c r="G66" s="110">
        <f t="shared" si="7"/>
        <v>-7.9812003693732498E-3</v>
      </c>
      <c r="H66" s="110">
        <f t="shared" si="7"/>
        <v>-8.694743680354191E-3</v>
      </c>
      <c r="I66" s="110">
        <f t="shared" si="7"/>
        <v>-9.580507276620822E-3</v>
      </c>
      <c r="J66" s="110">
        <f t="shared" si="7"/>
        <v>-1.0539311015697699E-2</v>
      </c>
      <c r="K66" s="110">
        <f t="shared" si="7"/>
        <v>-7.9729353540389791E-3</v>
      </c>
      <c r="L66" s="110">
        <f t="shared" si="8"/>
        <v>-4.4795520922849327E-3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11">
        <f t="shared" si="5"/>
        <v>3.2619657419597024E-3</v>
      </c>
      <c r="D67" s="3">
        <f t="shared" si="5"/>
        <v>9.729074965468547E-4</v>
      </c>
      <c r="E67" s="110">
        <f t="shared" si="9"/>
        <v>0</v>
      </c>
      <c r="F67" s="110">
        <f>IF($B67&lt;= F$57, MAX((F25/100-$C$70)/(1+F25/100) +($B$7*G66+$B$8*G67)/(1+F25/100),0),"")</f>
        <v>0</v>
      </c>
      <c r="G67" s="110">
        <f t="shared" si="7"/>
        <v>-1.7747556661431393E-2</v>
      </c>
      <c r="H67" s="110">
        <f t="shared" si="7"/>
        <v>-1.6893638634537328E-2</v>
      </c>
      <c r="I67" s="110">
        <f t="shared" si="7"/>
        <v>-1.6144251277282962E-2</v>
      </c>
      <c r="J67" s="110">
        <f t="shared" si="7"/>
        <v>-1.5401967304414441E-2</v>
      </c>
      <c r="K67" s="3">
        <f t="shared" si="7"/>
        <v>-1.1225820881469832E-2</v>
      </c>
      <c r="L67" s="3">
        <f t="shared" si="8"/>
        <v>-6.1098394140276088E-3</v>
      </c>
      <c r="M67" s="4"/>
      <c r="N67" s="4"/>
      <c r="O67" s="4"/>
      <c r="P67" s="4"/>
    </row>
    <row r="69" spans="1:16" x14ac:dyDescent="0.15">
      <c r="C69" s="3">
        <f>C67*1000000</f>
        <v>3261.9657419597024</v>
      </c>
    </row>
    <row r="70" spans="1:16" x14ac:dyDescent="0.15">
      <c r="A70" s="1" t="s">
        <v>22</v>
      </c>
      <c r="B70" s="11"/>
      <c r="C70" s="18">
        <v>3.9E-2</v>
      </c>
      <c r="D70" s="1" t="s">
        <v>30</v>
      </c>
    </row>
    <row r="71" spans="1:16" x14ac:dyDescent="0.15">
      <c r="A71" s="1" t="s">
        <v>23</v>
      </c>
      <c r="C71" s="19">
        <v>3</v>
      </c>
      <c r="D71" s="1" t="s">
        <v>26</v>
      </c>
    </row>
    <row r="72" spans="1:16" x14ac:dyDescent="0.15">
      <c r="A72" s="1" t="s">
        <v>24</v>
      </c>
      <c r="C72" s="14">
        <v>10</v>
      </c>
      <c r="D72" s="1" t="s">
        <v>27</v>
      </c>
    </row>
    <row r="73" spans="1:16" x14ac:dyDescent="0.15">
      <c r="A73" s="1" t="s">
        <v>25</v>
      </c>
      <c r="C73" s="15">
        <v>0</v>
      </c>
      <c r="D73" s="1" t="s">
        <v>31</v>
      </c>
    </row>
    <row r="74" spans="1:16" x14ac:dyDescent="0.15">
      <c r="A74" s="1" t="s">
        <v>29</v>
      </c>
      <c r="C74" s="14">
        <v>1</v>
      </c>
    </row>
    <row r="87" spans="19:19" x14ac:dyDescent="0.15">
      <c r="S87" t="s">
        <v>7</v>
      </c>
    </row>
    <row r="115" spans="9:9" x14ac:dyDescent="0.15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115"/>
  <sheetViews>
    <sheetView showGridLines="0" topLeftCell="A18" workbookViewId="0">
      <selection activeCell="D51" sqref="D51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4" thickBot="1" x14ac:dyDescent="0.2"/>
    <row r="3" spans="1:16" x14ac:dyDescent="0.15">
      <c r="A3" s="134" t="s">
        <v>15</v>
      </c>
      <c r="B3" s="135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4" thickBot="1" x14ac:dyDescent="0.2">
      <c r="A4" s="136" t="s">
        <v>43</v>
      </c>
      <c r="B4" s="137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4" thickBot="1" x14ac:dyDescent="0.2">
      <c r="A5" s="138" t="s">
        <v>16</v>
      </c>
      <c r="B5" s="139"/>
      <c r="C5" s="100">
        <v>7.2999975272283564</v>
      </c>
      <c r="D5" s="101">
        <v>7.9012646992223168</v>
      </c>
      <c r="E5" s="101">
        <v>8.9760501223067521</v>
      </c>
      <c r="F5" s="101">
        <v>9.3650269905201782</v>
      </c>
      <c r="G5" s="101">
        <v>12.00938375100705</v>
      </c>
      <c r="H5" s="101">
        <v>11.573127223859411</v>
      </c>
      <c r="I5" s="101">
        <v>12.659448901993134</v>
      </c>
      <c r="J5" s="101">
        <v>12.346632768955727</v>
      </c>
      <c r="K5" s="101">
        <v>12.663744757704864</v>
      </c>
      <c r="L5" s="101">
        <v>14.857249546813584</v>
      </c>
      <c r="M5" s="101">
        <v>14.176474554745401</v>
      </c>
      <c r="N5" s="101">
        <v>15.214771236747589</v>
      </c>
      <c r="O5" s="101">
        <v>14.705630840924183</v>
      </c>
      <c r="P5" s="102">
        <v>13.019523143714936</v>
      </c>
    </row>
    <row r="6" spans="1:16" x14ac:dyDescent="0.15">
      <c r="A6" s="81" t="s">
        <v>18</v>
      </c>
      <c r="B6" s="109">
        <v>0.01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 x14ac:dyDescent="0.15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 x14ac:dyDescent="0.15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4" thickBot="1" x14ac:dyDescent="0.2"/>
    <row r="28" spans="1:17" ht="14" thickBot="1" x14ac:dyDescent="0.2">
      <c r="A28" s="131" t="s">
        <v>13</v>
      </c>
      <c r="B28" s="132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 x14ac:dyDescent="0.15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 x14ac:dyDescent="0.15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4" thickBot="1" x14ac:dyDescent="0.2"/>
    <row r="47" spans="1:17" ht="14" thickBot="1" x14ac:dyDescent="0.2">
      <c r="A47" s="131" t="s">
        <v>41</v>
      </c>
      <c r="B47" s="133"/>
      <c r="C47" s="132"/>
      <c r="D47" s="92">
        <f>SUM(D30:D44)</f>
        <v>0.93196647068537053</v>
      </c>
      <c r="E47" s="93">
        <f>SUM(E30:E44)</f>
        <v>0.86340395455577812</v>
      </c>
      <c r="F47" s="93">
        <f t="shared" ref="F47:Q47" si="2">SUM(F30:F44)</f>
        <v>0.79163123705277705</v>
      </c>
      <c r="G47" s="93">
        <f t="shared" si="2"/>
        <v>0.72290601621303097</v>
      </c>
      <c r="H47" s="93">
        <f t="shared" si="2"/>
        <v>0.64400098652766469</v>
      </c>
      <c r="I47" s="93">
        <f t="shared" si="2"/>
        <v>0.57568754912362052</v>
      </c>
      <c r="J47" s="93">
        <f t="shared" si="2"/>
        <v>0.50925403349925114</v>
      </c>
      <c r="K47" s="93">
        <f t="shared" si="2"/>
        <v>0.45152001582262863</v>
      </c>
      <c r="L47" s="93">
        <f t="shared" si="2"/>
        <v>0.39893764149165722</v>
      </c>
      <c r="M47" s="93">
        <f t="shared" si="2"/>
        <v>0.34527839093322032</v>
      </c>
      <c r="N47" s="93">
        <f t="shared" si="2"/>
        <v>0.300496065882568</v>
      </c>
      <c r="O47" s="93">
        <f t="shared" si="2"/>
        <v>0.25888306502169645</v>
      </c>
      <c r="P47" s="93">
        <f t="shared" si="2"/>
        <v>0.22392095257767805</v>
      </c>
      <c r="Q47" s="94">
        <f t="shared" si="2"/>
        <v>0.1966076371992718</v>
      </c>
    </row>
    <row r="48" spans="1:17" ht="14" thickBot="1" x14ac:dyDescent="0.2">
      <c r="A48" s="131" t="s">
        <v>42</v>
      </c>
      <c r="B48" s="133"/>
      <c r="C48" s="132"/>
      <c r="D48" s="89">
        <f>100*((1/D47)^(1/D29)-1)</f>
        <v>7.2999975272283635</v>
      </c>
      <c r="E48" s="90">
        <f t="shared" ref="E48:Q48" si="3">100*((1/E47)^(1/E29)-1)</f>
        <v>7.6199988975423683</v>
      </c>
      <c r="F48" s="90">
        <f t="shared" si="3"/>
        <v>8.0999996183435119</v>
      </c>
      <c r="G48" s="90">
        <f t="shared" si="3"/>
        <v>8.4499959748896014</v>
      </c>
      <c r="H48" s="90">
        <f t="shared" si="3"/>
        <v>9.2000138550814228</v>
      </c>
      <c r="I48" s="90">
        <f t="shared" si="3"/>
        <v>9.6399580119879591</v>
      </c>
      <c r="J48" s="90">
        <f t="shared" si="3"/>
        <v>10.120076194139905</v>
      </c>
      <c r="K48" s="90">
        <f t="shared" si="3"/>
        <v>10.449911974841886</v>
      </c>
      <c r="L48" s="90">
        <f t="shared" si="3"/>
        <v>10.750038822315533</v>
      </c>
      <c r="M48" s="90">
        <f t="shared" si="3"/>
        <v>11.220043369018097</v>
      </c>
      <c r="N48" s="90">
        <f t="shared" si="3"/>
        <v>11.549903998109045</v>
      </c>
      <c r="O48" s="90">
        <f t="shared" si="3"/>
        <v>11.920084622803472</v>
      </c>
      <c r="P48" s="90">
        <f t="shared" si="3"/>
        <v>12.199962778771155</v>
      </c>
      <c r="Q48" s="91">
        <f t="shared" si="3"/>
        <v>12.320005339909024</v>
      </c>
    </row>
    <row r="49" spans="1:17" ht="14" thickBot="1" x14ac:dyDescent="0.2"/>
    <row r="50" spans="1:17" ht="14" thickBot="1" x14ac:dyDescent="0.2">
      <c r="A50" s="131" t="s">
        <v>20</v>
      </c>
      <c r="B50" s="133"/>
      <c r="C50" s="132"/>
      <c r="D50" s="86">
        <f t="shared" ref="D50:Q50" si="4">(D48-C4)^2</f>
        <v>6.1145995654951176E-12</v>
      </c>
      <c r="E50" s="87">
        <f t="shared" si="4"/>
        <v>1.2154128300285111E-12</v>
      </c>
      <c r="F50" s="87">
        <f t="shared" si="4"/>
        <v>1.4566167463921977E-13</v>
      </c>
      <c r="G50" s="87">
        <f t="shared" si="4"/>
        <v>1.6201513715090451E-11</v>
      </c>
      <c r="H50" s="87">
        <f t="shared" si="4"/>
        <v>1.9196328125143034E-10</v>
      </c>
      <c r="I50" s="87">
        <f t="shared" si="4"/>
        <v>1.7629931551947754E-9</v>
      </c>
      <c r="J50" s="87">
        <f t="shared" si="4"/>
        <v>5.8055469559989598E-9</v>
      </c>
      <c r="K50" s="87">
        <f t="shared" si="4"/>
        <v>7.7484284609384323E-9</v>
      </c>
      <c r="L50" s="87">
        <f t="shared" si="4"/>
        <v>1.5071721833424576E-9</v>
      </c>
      <c r="M50" s="87">
        <f t="shared" si="4"/>
        <v>1.8808717306001993E-9</v>
      </c>
      <c r="N50" s="87">
        <f t="shared" si="4"/>
        <v>9.2163630671147295E-9</v>
      </c>
      <c r="O50" s="87">
        <f t="shared" si="4"/>
        <v>7.1610188674778E-9</v>
      </c>
      <c r="P50" s="87">
        <f t="shared" si="4"/>
        <v>1.3854198766555934E-9</v>
      </c>
      <c r="Q50" s="88">
        <f t="shared" si="4"/>
        <v>2.8514628378244258E-11</v>
      </c>
    </row>
    <row r="51" spans="1:17" ht="14" thickBot="1" x14ac:dyDescent="0.2">
      <c r="A51" s="131" t="s">
        <v>19</v>
      </c>
      <c r="B51" s="133"/>
      <c r="C51" s="132"/>
      <c r="D51" s="85">
        <f>SUM(D50:Q50)</f>
        <v>3.6711969394737879E-8</v>
      </c>
    </row>
    <row r="55" spans="1:17" ht="14" thickBot="1" x14ac:dyDescent="0.2"/>
    <row r="56" spans="1:17" ht="14" thickBot="1" x14ac:dyDescent="0.2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5.2444073357238545E-2</v>
      </c>
      <c r="L59" s="110">
        <f t="shared" si="8"/>
        <v>3.8284844921108931E-2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5.9347681308968905E-2</v>
      </c>
      <c r="K60" s="110">
        <f t="shared" si="7"/>
        <v>5.0131475418166996E-2</v>
      </c>
      <c r="L60" s="110">
        <f t="shared" si="8"/>
        <v>3.6956392517437597E-2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6.673293438821068E-2</v>
      </c>
      <c r="J61" s="110">
        <f t="shared" si="7"/>
        <v>5.6213713839414703E-2</v>
      </c>
      <c r="K61" s="110">
        <f t="shared" si="7"/>
        <v>4.7833189073926044E-2</v>
      </c>
      <c r="L61" s="110">
        <f t="shared" si="8"/>
        <v>3.563753799991691E-2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6.2378447030170064E-2</v>
      </c>
      <c r="I62" s="110">
        <f t="shared" si="7"/>
        <v>6.2872616981103746E-2</v>
      </c>
      <c r="J62" s="110">
        <f t="shared" si="7"/>
        <v>5.3096086053598661E-2</v>
      </c>
      <c r="K62" s="110">
        <f t="shared" si="7"/>
        <v>4.5549200622060824E-2</v>
      </c>
      <c r="L62" s="110">
        <f t="shared" si="8"/>
        <v>3.4328242957488188E-2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6.1020615992404964E-2</v>
      </c>
      <c r="H63" s="110">
        <f t="shared" si="7"/>
        <v>5.7927403875089128E-2</v>
      </c>
      <c r="I63" s="110">
        <f t="shared" si="7"/>
        <v>5.9028696803023507E-2</v>
      </c>
      <c r="J63" s="110">
        <f t="shared" si="7"/>
        <v>4.9994840694240983E-2</v>
      </c>
      <c r="K63" s="110">
        <f t="shared" si="7"/>
        <v>4.327949496478764E-2</v>
      </c>
      <c r="L63" s="110">
        <f t="shared" si="8"/>
        <v>3.3028468584894992E-2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3.5135634181923295E-2</v>
      </c>
      <c r="G64" s="110">
        <f t="shared" si="7"/>
        <v>5.6027304111252917E-2</v>
      </c>
      <c r="H64" s="110">
        <f t="shared" si="7"/>
        <v>5.3491622266931466E-2</v>
      </c>
      <c r="I64" s="110">
        <f t="shared" si="7"/>
        <v>5.5201293266382928E-2</v>
      </c>
      <c r="J64" s="110">
        <f t="shared" si="7"/>
        <v>4.6910017999468083E-2</v>
      </c>
      <c r="K64" s="110">
        <f t="shared" si="7"/>
        <v>4.1024055631766247E-2</v>
      </c>
      <c r="L64" s="110">
        <f t="shared" si="8"/>
        <v>3.1738175694045412E-2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6.880561435719211E-3</v>
      </c>
      <c r="F65" s="110">
        <f t="shared" si="7"/>
        <v>2.9738079519346261E-2</v>
      </c>
      <c r="G65" s="110">
        <f t="shared" si="7"/>
        <v>5.1047072194530023E-2</v>
      </c>
      <c r="H65" s="110">
        <f t="shared" si="7"/>
        <v>4.9071297952820461E-2</v>
      </c>
      <c r="I65" s="110">
        <f t="shared" si="7"/>
        <v>5.1390522286030582E-2</v>
      </c>
      <c r="J65" s="110">
        <f t="shared" si="7"/>
        <v>4.3841655729766248E-2</v>
      </c>
      <c r="K65" s="110">
        <f t="shared" si="7"/>
        <v>3.8782864802845686E-2</v>
      </c>
      <c r="L65" s="110">
        <f t="shared" si="8"/>
        <v>3.0457324725269488E-2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3" t="str">
        <f t="shared" si="5"/>
        <v/>
      </c>
      <c r="D66" s="110">
        <f t="shared" si="5"/>
        <v>3.6986532151432961E-3</v>
      </c>
      <c r="E66" s="110">
        <f t="shared" si="6"/>
        <v>1.1070998855491794E-3</v>
      </c>
      <c r="F66" s="110">
        <f t="shared" si="7"/>
        <v>2.4351646864582171E-2</v>
      </c>
      <c r="G66" s="110">
        <f t="shared" si="7"/>
        <v>4.6080196189133844E-2</v>
      </c>
      <c r="H66" s="110">
        <f t="shared" si="7"/>
        <v>4.4666622522836805E-2</v>
      </c>
      <c r="I66" s="110">
        <f t="shared" si="7"/>
        <v>4.7596496300023571E-2</v>
      </c>
      <c r="J66" s="110">
        <f t="shared" si="7"/>
        <v>4.0789789195222519E-2</v>
      </c>
      <c r="K66" s="110">
        <f t="shared" si="7"/>
        <v>3.6555903330776331E-2</v>
      </c>
      <c r="L66" s="110">
        <f t="shared" si="8"/>
        <v>2.9185875758471563E-2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11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110">
        <f t="shared" si="7"/>
        <v>1.8976671367420556E-2</v>
      </c>
      <c r="G67" s="110">
        <f t="shared" si="7"/>
        <v>4.1126947526226226E-2</v>
      </c>
      <c r="H67" s="110">
        <f t="shared" si="7"/>
        <v>4.0277783416474269E-2</v>
      </c>
      <c r="I67" s="110">
        <f t="shared" si="7"/>
        <v>4.3819324291215024E-2</v>
      </c>
      <c r="J67" s="110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 x14ac:dyDescent="0.15">
      <c r="A70" s="1" t="s">
        <v>22</v>
      </c>
      <c r="B70" s="11"/>
      <c r="C70" s="18">
        <v>0.11650000000000001</v>
      </c>
      <c r="D70" s="1" t="s">
        <v>30</v>
      </c>
    </row>
    <row r="71" spans="1:16" x14ac:dyDescent="0.15">
      <c r="A71" s="1" t="s">
        <v>23</v>
      </c>
      <c r="C71" s="19">
        <v>2</v>
      </c>
      <c r="D71" s="1" t="s">
        <v>26</v>
      </c>
    </row>
    <row r="72" spans="1:16" x14ac:dyDescent="0.15">
      <c r="A72" s="1" t="s">
        <v>24</v>
      </c>
      <c r="C72" s="14">
        <v>10</v>
      </c>
      <c r="D72" s="1" t="s">
        <v>27</v>
      </c>
    </row>
    <row r="73" spans="1:16" x14ac:dyDescent="0.15">
      <c r="A73" s="1" t="s">
        <v>25</v>
      </c>
      <c r="C73" s="15">
        <v>0</v>
      </c>
      <c r="D73" s="1" t="s">
        <v>31</v>
      </c>
    </row>
    <row r="74" spans="1:16" x14ac:dyDescent="0.15">
      <c r="A74" s="1" t="s">
        <v>29</v>
      </c>
      <c r="C74" s="14">
        <v>1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ZCB+Options</vt:lpstr>
      <vt:lpstr>BondForward+Futures</vt:lpstr>
      <vt:lpstr>Caplets</vt:lpstr>
      <vt:lpstr>Swaps+Swaptions</vt:lpstr>
      <vt:lpstr>Elementary Prices</vt:lpstr>
      <vt:lpstr>BDTQuestion1</vt:lpstr>
      <vt:lpstr>BDTQuestion2</vt:lpstr>
      <vt:lpstr>BDT_b=.005</vt:lpstr>
      <vt:lpstr>BDT_b=.01</vt:lpstr>
      <vt:lpstr>'BDT_b=.005'!Print_Area</vt:lpstr>
      <vt:lpstr>'BDT_b=.01'!Print_Area</vt:lpstr>
      <vt:lpstr>BDTQuestion1!Print_Area</vt:lpstr>
      <vt:lpstr>BDTQuestion2!Print_Area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Deepak Choudhary</cp:lastModifiedBy>
  <cp:lastPrinted>2004-05-18T03:27:22Z</cp:lastPrinted>
  <dcterms:created xsi:type="dcterms:W3CDTF">2000-07-13T16:13:54Z</dcterms:created>
  <dcterms:modified xsi:type="dcterms:W3CDTF">2023-03-10T19:37:51Z</dcterms:modified>
</cp:coreProperties>
</file>