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rinterSettings/printerSettings4.bin" ContentType="application/vnd.openxmlformats-officedocument.spreadsheetml.printerSettings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workspace\METools\method-eval-tools\etc\"/>
    </mc:Choice>
  </mc:AlternateContent>
  <xr:revisionPtr revIDLastSave="0" documentId="13_ncr:1_{7A5E00B9-AECF-4065-AC01-9DECF379BBA8}" xr6:coauthVersionLast="47" xr6:coauthVersionMax="47" xr10:uidLastSave="{00000000-0000-0000-0000-000000000000}"/>
  <bookViews>
    <workbookView xWindow="780" yWindow="780" windowWidth="21285" windowHeight="19110" firstSheet="1" activeTab="9" xr2:uid="{00000000-000D-0000-FFFF-FFFF00000000}"/>
  </bookViews>
  <sheets>
    <sheet name="Comp 1" sheetId="1" r:id="rId1"/>
    <sheet name="Comp 2" sheetId="4" r:id="rId2"/>
    <sheet name="5x5" sheetId="9" r:id="rId3"/>
    <sheet name="20x2x2" sheetId="10" r:id="rId4"/>
    <sheet name="anova" sheetId="13" r:id="rId5"/>
    <sheet name="Level1" sheetId="12" r:id="rId6"/>
    <sheet name="Layout" sheetId="8" r:id="rId7"/>
    <sheet name="Raw" sheetId="14" r:id="rId8"/>
    <sheet name="10x3x2" sheetId="15" r:id="rId9"/>
    <sheet name="Quant" sheetId="23" r:id="rId10"/>
    <sheet name="Qual" sheetId="25" r:id="rId11"/>
  </sheets>
  <definedNames>
    <definedName name="__ai3_dataset_1753400505_range_1070343600" localSheetId="3" hidden="1">'20x2x2'!$A$1:$D$81</definedName>
    <definedName name="__ai3_dataset_1753400505_range_127184347" localSheetId="3" hidden="1">'20x2x2'!$B$1</definedName>
    <definedName name="__ai3_dataset_1753400505_range_1651985268" localSheetId="3" hidden="1">'20x2x2'!$C$1</definedName>
    <definedName name="__ai3_dataset_1753400505_range_2022587302" localSheetId="3" hidden="1">'20x2x2'!$D$1</definedName>
    <definedName name="__ai3_dataset_1753400505_range_891189524" localSheetId="3" hidden="1">'20x2x2'!$A$1</definedName>
    <definedName name="__ai3_dataset_2008140669_range_1191307630" localSheetId="0" hidden="1">'Comp 1'!$G$2</definedName>
    <definedName name="__ai3_dataset_2008140669_range_1792243684" localSheetId="0" hidden="1">'Comp 1'!$G$2:$H$42</definedName>
    <definedName name="__ai3_dataset_2008140669_range_409789942" localSheetId="0" hidden="1">'Comp 1'!$H$2</definedName>
    <definedName name="__ai3_dataset_221696496_range_1005096418" localSheetId="1" hidden="1">'Comp 2'!$A$1:$C$41</definedName>
    <definedName name="__ai3_dataset_221696496_range_1636738237" localSheetId="1" hidden="1">'Comp 2'!$A$1</definedName>
    <definedName name="__ai3_dataset_221696496_range_1756685903" localSheetId="1" hidden="1">'Comp 2'!$C$1</definedName>
    <definedName name="__ai3_dataset_221696496_range_2006976158" localSheetId="1" hidden="1">'Comp 2'!$B$1</definedName>
    <definedName name="__ai3_mode" localSheetId="5" hidden="1">"Portrait"</definedName>
    <definedName name="__ai3_report_dataset_1213717723" localSheetId="5" hidden="1">'20x2x2'!$A$1:$C$81</definedName>
    <definedName name="__ai3_report_range_1516649634" localSheetId="5" hidden="1">Level1!$A$1</definedName>
    <definedName name="__ai3_section_effects" localSheetId="5" hidden="1">Level1!$26:$29</definedName>
    <definedName name="__ai3_section_precision_" localSheetId="5" hidden="1">Level1!$10:$29</definedName>
    <definedName name="__ai3_signoff" localSheetId="5" hidden="1">Level1!$31:$31</definedName>
    <definedName name="_xlnm.Print_Area" localSheetId="5">Level1!$A$1:$J$29</definedName>
    <definedName name="_xlnm.Print_Titles" localSheetId="5">Level1!$1:$9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6" i="25" l="1"/>
  <c r="G512" i="25"/>
  <c r="G513" i="25" s="1"/>
  <c r="D512" i="25"/>
  <c r="G508" i="25"/>
  <c r="G509" i="25" s="1"/>
  <c r="F508" i="25"/>
  <c r="F509" i="25" s="1"/>
  <c r="E508" i="25"/>
  <c r="E509" i="25" s="1"/>
  <c r="G507" i="25"/>
  <c r="X506" i="25" s="1"/>
  <c r="L506" i="25" s="1"/>
  <c r="T506" i="25" s="1"/>
  <c r="F507" i="25"/>
  <c r="W499" i="25" s="1"/>
  <c r="K499" i="25" s="1"/>
  <c r="S499" i="25" s="1"/>
  <c r="E507" i="25"/>
  <c r="D514" i="25" s="1"/>
  <c r="X505" i="25"/>
  <c r="L505" i="25" s="1"/>
  <c r="T505" i="25" s="1"/>
  <c r="W505" i="25"/>
  <c r="K505" i="25" s="1"/>
  <c r="S505" i="25" s="1"/>
  <c r="V505" i="25"/>
  <c r="J505" i="25" s="1"/>
  <c r="R505" i="25" s="1"/>
  <c r="W504" i="25"/>
  <c r="S504" i="25"/>
  <c r="K504" i="25"/>
  <c r="X503" i="25"/>
  <c r="L503" i="25" s="1"/>
  <c r="T503" i="25" s="1"/>
  <c r="W503" i="25"/>
  <c r="K503" i="25" s="1"/>
  <c r="S503" i="25" s="1"/>
  <c r="V503" i="25"/>
  <c r="J503" i="25"/>
  <c r="R503" i="25" s="1"/>
  <c r="V502" i="25"/>
  <c r="J502" i="25"/>
  <c r="R502" i="25" s="1"/>
  <c r="X501" i="25"/>
  <c r="L501" i="25" s="1"/>
  <c r="T501" i="25" s="1"/>
  <c r="W501" i="25"/>
  <c r="K501" i="25" s="1"/>
  <c r="S501" i="25" s="1"/>
  <c r="V501" i="25"/>
  <c r="J501" i="25" s="1"/>
  <c r="R501" i="25" s="1"/>
  <c r="X500" i="25"/>
  <c r="W500" i="25"/>
  <c r="K500" i="25" s="1"/>
  <c r="S500" i="25" s="1"/>
  <c r="L500" i="25"/>
  <c r="T500" i="25" s="1"/>
  <c r="X499" i="25"/>
  <c r="L499" i="25" s="1"/>
  <c r="T499" i="25" s="1"/>
  <c r="W498" i="25"/>
  <c r="K498" i="25" s="1"/>
  <c r="S498" i="25" s="1"/>
  <c r="V498" i="25"/>
  <c r="J498" i="25" s="1"/>
  <c r="R498" i="25" s="1"/>
  <c r="G487" i="25"/>
  <c r="D485" i="25" s="1"/>
  <c r="E485" i="25"/>
  <c r="D483" i="25"/>
  <c r="G483" i="25" s="1"/>
  <c r="G484" i="25" s="1"/>
  <c r="G482" i="25"/>
  <c r="F482" i="25"/>
  <c r="E482" i="25"/>
  <c r="D484" i="25" s="1"/>
  <c r="G481" i="25"/>
  <c r="F481" i="25"/>
  <c r="E481" i="25"/>
  <c r="X477" i="25"/>
  <c r="W477" i="25"/>
  <c r="V477" i="25"/>
  <c r="X476" i="25"/>
  <c r="W476" i="25"/>
  <c r="V476" i="25"/>
  <c r="X475" i="25"/>
  <c r="W475" i="25"/>
  <c r="V475" i="25"/>
  <c r="X474" i="25"/>
  <c r="W474" i="25"/>
  <c r="V474" i="25"/>
  <c r="X473" i="25"/>
  <c r="W473" i="25"/>
  <c r="V473" i="25"/>
  <c r="X472" i="25"/>
  <c r="W472" i="25"/>
  <c r="V472" i="25"/>
  <c r="X471" i="25"/>
  <c r="W471" i="25"/>
  <c r="V471" i="25"/>
  <c r="X470" i="25"/>
  <c r="W470" i="25"/>
  <c r="V470" i="25"/>
  <c r="X469" i="25"/>
  <c r="W469" i="25"/>
  <c r="V469" i="25"/>
  <c r="U478" i="25" s="1"/>
  <c r="N461" i="25"/>
  <c r="G461" i="25"/>
  <c r="D460" i="25" s="1"/>
  <c r="N460" i="25"/>
  <c r="E460" i="25"/>
  <c r="N459" i="25"/>
  <c r="D459" i="25"/>
  <c r="N458" i="25"/>
  <c r="D458" i="25"/>
  <c r="N457" i="25"/>
  <c r="D457" i="25"/>
  <c r="G457" i="25" s="1"/>
  <c r="G458" i="25" s="1"/>
  <c r="N456" i="25"/>
  <c r="N455" i="25"/>
  <c r="N454" i="25"/>
  <c r="X453" i="25"/>
  <c r="W453" i="25"/>
  <c r="V453" i="25"/>
  <c r="N453" i="25"/>
  <c r="X452" i="25"/>
  <c r="W452" i="25"/>
  <c r="V452" i="25"/>
  <c r="N452" i="25"/>
  <c r="X451" i="25"/>
  <c r="W451" i="25"/>
  <c r="V451" i="25"/>
  <c r="N451" i="25"/>
  <c r="X450" i="25"/>
  <c r="W450" i="25"/>
  <c r="V450" i="25"/>
  <c r="N450" i="25"/>
  <c r="X449" i="25"/>
  <c r="W449" i="25"/>
  <c r="V449" i="25"/>
  <c r="N449" i="25"/>
  <c r="X448" i="25"/>
  <c r="W448" i="25"/>
  <c r="V448" i="25"/>
  <c r="N448" i="25"/>
  <c r="X447" i="25"/>
  <c r="W447" i="25"/>
  <c r="V447" i="25"/>
  <c r="N447" i="25"/>
  <c r="X446" i="25"/>
  <c r="W446" i="25"/>
  <c r="V446" i="25"/>
  <c r="N446" i="25"/>
  <c r="X445" i="25"/>
  <c r="U454" i="25" s="1"/>
  <c r="W445" i="25"/>
  <c r="V445" i="25"/>
  <c r="J423" i="25"/>
  <c r="E423" i="25"/>
  <c r="J422" i="25"/>
  <c r="E422" i="25"/>
  <c r="J421" i="25"/>
  <c r="E421" i="25"/>
  <c r="J420" i="25"/>
  <c r="E420" i="25"/>
  <c r="J419" i="25"/>
  <c r="E419" i="25"/>
  <c r="J418" i="25"/>
  <c r="E418" i="25"/>
  <c r="J417" i="25"/>
  <c r="E417" i="25"/>
  <c r="J416" i="25"/>
  <c r="E416" i="25"/>
  <c r="J415" i="25"/>
  <c r="E415" i="25"/>
  <c r="J414" i="25"/>
  <c r="E414" i="25"/>
  <c r="J413" i="25"/>
  <c r="E413" i="25"/>
  <c r="J412" i="25"/>
  <c r="E412" i="25"/>
  <c r="J411" i="25"/>
  <c r="E411" i="25"/>
  <c r="J410" i="25"/>
  <c r="E410" i="25"/>
  <c r="J409" i="25"/>
  <c r="E409" i="25"/>
  <c r="J408" i="25"/>
  <c r="E408" i="25"/>
  <c r="J407" i="25"/>
  <c r="E407" i="25"/>
  <c r="J406" i="25"/>
  <c r="E406" i="25"/>
  <c r="J405" i="25"/>
  <c r="E405" i="25"/>
  <c r="J404" i="25"/>
  <c r="E404" i="25"/>
  <c r="J403" i="25"/>
  <c r="E403" i="25"/>
  <c r="J402" i="25"/>
  <c r="E402" i="25"/>
  <c r="J401" i="25"/>
  <c r="E401" i="25"/>
  <c r="J400" i="25"/>
  <c r="E400" i="25"/>
  <c r="J399" i="25"/>
  <c r="E399" i="25"/>
  <c r="J398" i="25"/>
  <c r="E398" i="25"/>
  <c r="J397" i="25"/>
  <c r="E397" i="25"/>
  <c r="J396" i="25"/>
  <c r="E396" i="25"/>
  <c r="J395" i="25"/>
  <c r="E395" i="25"/>
  <c r="J394" i="25"/>
  <c r="E394" i="25"/>
  <c r="J393" i="25"/>
  <c r="E393" i="25"/>
  <c r="J392" i="25"/>
  <c r="E392" i="25"/>
  <c r="J391" i="25"/>
  <c r="E391" i="25"/>
  <c r="J390" i="25"/>
  <c r="E390" i="25"/>
  <c r="J389" i="25"/>
  <c r="E389" i="25"/>
  <c r="J388" i="25"/>
  <c r="E388" i="25"/>
  <c r="J387" i="25"/>
  <c r="E387" i="25"/>
  <c r="J386" i="25"/>
  <c r="E386" i="25"/>
  <c r="J385" i="25"/>
  <c r="E385" i="25"/>
  <c r="J384" i="25"/>
  <c r="I428" i="25" s="1"/>
  <c r="E384" i="25"/>
  <c r="D427" i="25" s="1"/>
  <c r="G357" i="25"/>
  <c r="G358" i="25"/>
  <c r="G349" i="25"/>
  <c r="G350" i="25" s="1"/>
  <c r="G351" i="25" s="1"/>
  <c r="F349" i="25"/>
  <c r="F350" i="25" s="1"/>
  <c r="F351" i="25" s="1"/>
  <c r="E349" i="25"/>
  <c r="E350" i="25" s="1"/>
  <c r="E351" i="25" s="1"/>
  <c r="G348" i="25"/>
  <c r="F348" i="25"/>
  <c r="E348" i="25"/>
  <c r="D348" i="25"/>
  <c r="D349" i="25" s="1"/>
  <c r="D350" i="25" s="1"/>
  <c r="D351" i="25" s="1"/>
  <c r="G338" i="25"/>
  <c r="F338" i="25"/>
  <c r="E338" i="25"/>
  <c r="D338" i="25"/>
  <c r="G337" i="25"/>
  <c r="E337" i="25"/>
  <c r="G333" i="25"/>
  <c r="F333" i="25"/>
  <c r="E333" i="25"/>
  <c r="D333" i="25"/>
  <c r="G332" i="25"/>
  <c r="F332" i="25"/>
  <c r="E332" i="25"/>
  <c r="D332" i="25"/>
  <c r="G331" i="25"/>
  <c r="F331" i="25"/>
  <c r="E331" i="25"/>
  <c r="D331" i="25"/>
  <c r="G329" i="25"/>
  <c r="F329" i="25"/>
  <c r="E329" i="25"/>
  <c r="D329" i="25"/>
  <c r="G328" i="25"/>
  <c r="G343" i="25" s="1"/>
  <c r="F328" i="25"/>
  <c r="F343" i="25" s="1"/>
  <c r="E328" i="25"/>
  <c r="E343" i="25" s="1"/>
  <c r="D328" i="25"/>
  <c r="D343" i="25" s="1"/>
  <c r="G327" i="25"/>
  <c r="G342" i="25" s="1"/>
  <c r="F327" i="25"/>
  <c r="F337" i="25" s="1"/>
  <c r="E327" i="25"/>
  <c r="E342" i="25" s="1"/>
  <c r="D327" i="25"/>
  <c r="D337" i="25" s="1"/>
  <c r="Y259" i="25"/>
  <c r="X259" i="25"/>
  <c r="W259" i="25"/>
  <c r="U259" i="25"/>
  <c r="T259" i="25"/>
  <c r="V259" i="25" s="1"/>
  <c r="S259" i="25"/>
  <c r="I259" i="25"/>
  <c r="G259" i="25"/>
  <c r="H259" i="25" s="1"/>
  <c r="Y258" i="25"/>
  <c r="X258" i="25"/>
  <c r="W258" i="25"/>
  <c r="T258" i="25"/>
  <c r="V258" i="25" s="1"/>
  <c r="S258" i="25"/>
  <c r="I258" i="25"/>
  <c r="G258" i="25"/>
  <c r="H258" i="25" s="1"/>
  <c r="Y257" i="25"/>
  <c r="X257" i="25"/>
  <c r="W257" i="25"/>
  <c r="T257" i="25"/>
  <c r="S257" i="25"/>
  <c r="V257" i="25" s="1"/>
  <c r="I257" i="25"/>
  <c r="G257" i="25"/>
  <c r="H257" i="25" s="1"/>
  <c r="A257" i="25"/>
  <c r="Y256" i="25"/>
  <c r="X256" i="25"/>
  <c r="W256" i="25"/>
  <c r="V256" i="25"/>
  <c r="T256" i="25"/>
  <c r="U256" i="25" s="1"/>
  <c r="S256" i="25"/>
  <c r="H256" i="25"/>
  <c r="G256" i="25"/>
  <c r="I256" i="25" s="1"/>
  <c r="Y255" i="25"/>
  <c r="X255" i="25"/>
  <c r="W255" i="25"/>
  <c r="T255" i="25"/>
  <c r="U255" i="25" s="1"/>
  <c r="S255" i="25"/>
  <c r="H255" i="25"/>
  <c r="G255" i="25"/>
  <c r="I255" i="25" s="1"/>
  <c r="A255" i="25"/>
  <c r="Y254" i="25"/>
  <c r="X254" i="25"/>
  <c r="W254" i="25"/>
  <c r="T254" i="25"/>
  <c r="V254" i="25" s="1"/>
  <c r="S254" i="25"/>
  <c r="G254" i="25"/>
  <c r="I254" i="25" s="1"/>
  <c r="A254" i="25"/>
  <c r="Y253" i="25"/>
  <c r="X253" i="25"/>
  <c r="W253" i="25"/>
  <c r="U253" i="25"/>
  <c r="T253" i="25"/>
  <c r="V253" i="25" s="1"/>
  <c r="S253" i="25"/>
  <c r="I253" i="25"/>
  <c r="H253" i="25"/>
  <c r="G253" i="25"/>
  <c r="A253" i="25"/>
  <c r="Y252" i="25"/>
  <c r="X252" i="25"/>
  <c r="W252" i="25"/>
  <c r="T252" i="25"/>
  <c r="U252" i="25" s="1"/>
  <c r="S252" i="25"/>
  <c r="I252" i="25"/>
  <c r="G252" i="25"/>
  <c r="A252" i="25"/>
  <c r="H226" i="25"/>
  <c r="H225" i="25"/>
  <c r="H224" i="25"/>
  <c r="Z220" i="25"/>
  <c r="X220" i="25" s="1"/>
  <c r="W220" i="25"/>
  <c r="S220" i="25"/>
  <c r="T220" i="25" s="1"/>
  <c r="G220" i="25"/>
  <c r="H220" i="25" s="1"/>
  <c r="Z219" i="25"/>
  <c r="X219" i="25"/>
  <c r="W219" i="25"/>
  <c r="H219" i="25" s="1"/>
  <c r="V219" i="25"/>
  <c r="U219" i="25"/>
  <c r="S219" i="25"/>
  <c r="T219" i="25" s="1"/>
  <c r="G219" i="25"/>
  <c r="Z218" i="25"/>
  <c r="X218" i="25"/>
  <c r="W218" i="25"/>
  <c r="U218" i="25"/>
  <c r="S218" i="25"/>
  <c r="T218" i="25" s="1"/>
  <c r="G218" i="25"/>
  <c r="H218" i="25" s="1"/>
  <c r="Z217" i="25"/>
  <c r="X217" i="25"/>
  <c r="W217" i="25"/>
  <c r="T217" i="25"/>
  <c r="S217" i="25"/>
  <c r="G217" i="25"/>
  <c r="V217" i="25" s="1"/>
  <c r="Z216" i="25"/>
  <c r="X216" i="25"/>
  <c r="W216" i="25"/>
  <c r="V216" i="25"/>
  <c r="U216" i="25"/>
  <c r="S216" i="25"/>
  <c r="T216" i="25" s="1"/>
  <c r="G216" i="25"/>
  <c r="H216" i="25" s="1"/>
  <c r="Z215" i="25"/>
  <c r="X215" i="25" s="1"/>
  <c r="S215" i="25"/>
  <c r="T215" i="25" s="1"/>
  <c r="G215" i="25"/>
  <c r="V215" i="25" s="1"/>
  <c r="Z214" i="25"/>
  <c r="X214" i="25"/>
  <c r="W214" i="25"/>
  <c r="H214" i="25" s="1"/>
  <c r="V214" i="25"/>
  <c r="U214" i="25"/>
  <c r="S214" i="25"/>
  <c r="T214" i="25" s="1"/>
  <c r="G214" i="25"/>
  <c r="Z213" i="25"/>
  <c r="X213" i="25" s="1"/>
  <c r="S213" i="25"/>
  <c r="T213" i="25" s="1"/>
  <c r="G213" i="25"/>
  <c r="V213" i="25" s="1"/>
  <c r="E186" i="25"/>
  <c r="T160" i="25"/>
  <c r="S160" i="25"/>
  <c r="Q160" i="25"/>
  <c r="O160" i="25"/>
  <c r="J160" i="25"/>
  <c r="R160" i="25" s="1"/>
  <c r="O159" i="25"/>
  <c r="J159" i="25"/>
  <c r="T159" i="25" s="1"/>
  <c r="T158" i="25"/>
  <c r="S158" i="25"/>
  <c r="R158" i="25"/>
  <c r="Q158" i="25"/>
  <c r="O158" i="25"/>
  <c r="J158" i="25"/>
  <c r="P158" i="25" s="1"/>
  <c r="T157" i="25"/>
  <c r="S157" i="25"/>
  <c r="J157" i="25"/>
  <c r="R157" i="25" s="1"/>
  <c r="T156" i="25"/>
  <c r="S156" i="25"/>
  <c r="R156" i="25"/>
  <c r="Q156" i="25"/>
  <c r="P156" i="25"/>
  <c r="O156" i="25"/>
  <c r="J156" i="25"/>
  <c r="T155" i="25"/>
  <c r="S155" i="25"/>
  <c r="R155" i="25"/>
  <c r="Q155" i="25"/>
  <c r="O155" i="25"/>
  <c r="J155" i="25"/>
  <c r="P155" i="25" s="1"/>
  <c r="J154" i="25"/>
  <c r="O154" i="25" s="1"/>
  <c r="T153" i="25"/>
  <c r="S153" i="25"/>
  <c r="R153" i="25"/>
  <c r="Q153" i="25"/>
  <c r="P153" i="25"/>
  <c r="O153" i="25"/>
  <c r="J153" i="25"/>
  <c r="P152" i="25"/>
  <c r="J152" i="25"/>
  <c r="T152" i="25" s="1"/>
  <c r="T151" i="25"/>
  <c r="S151" i="25"/>
  <c r="R151" i="25"/>
  <c r="J151" i="25"/>
  <c r="Q151" i="25" s="1"/>
  <c r="J150" i="25"/>
  <c r="T150" i="25" s="1"/>
  <c r="R149" i="25"/>
  <c r="Q149" i="25"/>
  <c r="P149" i="25"/>
  <c r="J149" i="25"/>
  <c r="O149" i="25" s="1"/>
  <c r="T148" i="25"/>
  <c r="S148" i="25"/>
  <c r="R148" i="25"/>
  <c r="P148" i="25"/>
  <c r="O148" i="25"/>
  <c r="J148" i="25"/>
  <c r="Q148" i="25" s="1"/>
  <c r="J147" i="25"/>
  <c r="O147" i="25" s="1"/>
  <c r="S146" i="25"/>
  <c r="R146" i="25"/>
  <c r="Q146" i="25"/>
  <c r="P146" i="25"/>
  <c r="J146" i="25"/>
  <c r="T146" i="25" s="1"/>
  <c r="J145" i="25"/>
  <c r="T145" i="25" s="1"/>
  <c r="T144" i="25"/>
  <c r="S144" i="25"/>
  <c r="Q144" i="25"/>
  <c r="O144" i="25"/>
  <c r="J144" i="25"/>
  <c r="R144" i="25" s="1"/>
  <c r="O143" i="25"/>
  <c r="J143" i="25"/>
  <c r="T143" i="25" s="1"/>
  <c r="T142" i="25"/>
  <c r="S142" i="25"/>
  <c r="R142" i="25"/>
  <c r="Q142" i="25"/>
  <c r="O142" i="25"/>
  <c r="J142" i="25"/>
  <c r="P142" i="25" s="1"/>
  <c r="T141" i="25"/>
  <c r="S141" i="25"/>
  <c r="J141" i="25"/>
  <c r="R141" i="25" s="1"/>
  <c r="T140" i="25"/>
  <c r="S140" i="25"/>
  <c r="R140" i="25"/>
  <c r="Q140" i="25"/>
  <c r="P140" i="25"/>
  <c r="O140" i="25"/>
  <c r="J140" i="25"/>
  <c r="T139" i="25"/>
  <c r="S139" i="25"/>
  <c r="R139" i="25"/>
  <c r="Q139" i="25"/>
  <c r="O139" i="25"/>
  <c r="J139" i="25"/>
  <c r="P139" i="25" s="1"/>
  <c r="J138" i="25"/>
  <c r="O138" i="25" s="1"/>
  <c r="T137" i="25"/>
  <c r="S137" i="25"/>
  <c r="R137" i="25"/>
  <c r="Q137" i="25"/>
  <c r="P137" i="25"/>
  <c r="O137" i="25"/>
  <c r="J137" i="25"/>
  <c r="P136" i="25"/>
  <c r="J136" i="25"/>
  <c r="T136" i="25" s="1"/>
  <c r="T135" i="25"/>
  <c r="S135" i="25"/>
  <c r="R135" i="25"/>
  <c r="J135" i="25"/>
  <c r="Q135" i="25" s="1"/>
  <c r="J134" i="25"/>
  <c r="T134" i="25" s="1"/>
  <c r="R133" i="25"/>
  <c r="Q133" i="25"/>
  <c r="P133" i="25"/>
  <c r="J133" i="25"/>
  <c r="O133" i="25" s="1"/>
  <c r="T132" i="25"/>
  <c r="S132" i="25"/>
  <c r="R132" i="25"/>
  <c r="P132" i="25"/>
  <c r="O132" i="25"/>
  <c r="J132" i="25"/>
  <c r="Q132" i="25" s="1"/>
  <c r="J131" i="25"/>
  <c r="O131" i="25" s="1"/>
  <c r="S130" i="25"/>
  <c r="R130" i="25"/>
  <c r="Q130" i="25"/>
  <c r="P130" i="25"/>
  <c r="J130" i="25"/>
  <c r="T130" i="25" s="1"/>
  <c r="J129" i="25"/>
  <c r="Q129" i="25" s="1"/>
  <c r="T128" i="25"/>
  <c r="S128" i="25"/>
  <c r="Q128" i="25"/>
  <c r="O128" i="25"/>
  <c r="J128" i="25"/>
  <c r="R128" i="25" s="1"/>
  <c r="O127" i="25"/>
  <c r="J127" i="25"/>
  <c r="T127" i="25" s="1"/>
  <c r="T126" i="25"/>
  <c r="S126" i="25"/>
  <c r="R126" i="25"/>
  <c r="Q126" i="25"/>
  <c r="O126" i="25"/>
  <c r="J126" i="25"/>
  <c r="P126" i="25" s="1"/>
  <c r="T125" i="25"/>
  <c r="S125" i="25"/>
  <c r="J125" i="25"/>
  <c r="R125" i="25" s="1"/>
  <c r="T124" i="25"/>
  <c r="S124" i="25"/>
  <c r="R124" i="25"/>
  <c r="Q124" i="25"/>
  <c r="P124" i="25"/>
  <c r="O124" i="25"/>
  <c r="J124" i="25"/>
  <c r="T123" i="25"/>
  <c r="S123" i="25"/>
  <c r="R123" i="25"/>
  <c r="Q123" i="25"/>
  <c r="O123" i="25"/>
  <c r="J123" i="25"/>
  <c r="P123" i="25" s="1"/>
  <c r="J122" i="25"/>
  <c r="O122" i="25" s="1"/>
  <c r="T121" i="25"/>
  <c r="S121" i="25"/>
  <c r="R121" i="25"/>
  <c r="Q121" i="25"/>
  <c r="P121" i="25"/>
  <c r="O121" i="25"/>
  <c r="J121" i="25"/>
  <c r="P120" i="25"/>
  <c r="J120" i="25"/>
  <c r="T120" i="25" s="1"/>
  <c r="T119" i="25"/>
  <c r="S119" i="25"/>
  <c r="R119" i="25"/>
  <c r="J119" i="25"/>
  <c r="Q119" i="25" s="1"/>
  <c r="J118" i="25"/>
  <c r="T118" i="25" s="1"/>
  <c r="R117" i="25"/>
  <c r="Q117" i="25"/>
  <c r="P117" i="25"/>
  <c r="J117" i="25"/>
  <c r="O117" i="25" s="1"/>
  <c r="T116" i="25"/>
  <c r="S116" i="25"/>
  <c r="R116" i="25"/>
  <c r="P116" i="25"/>
  <c r="O116" i="25"/>
  <c r="J116" i="25"/>
  <c r="Q116" i="25" s="1"/>
  <c r="J115" i="25"/>
  <c r="O115" i="25" s="1"/>
  <c r="S114" i="25"/>
  <c r="R114" i="25"/>
  <c r="Q114" i="25"/>
  <c r="P114" i="25"/>
  <c r="J114" i="25"/>
  <c r="T114" i="25" s="1"/>
  <c r="J113" i="25"/>
  <c r="Q113" i="25" s="1"/>
  <c r="T112" i="25"/>
  <c r="S112" i="25"/>
  <c r="Q112" i="25"/>
  <c r="O112" i="25"/>
  <c r="J112" i="25"/>
  <c r="R112" i="25" s="1"/>
  <c r="O111" i="25"/>
  <c r="J111" i="25"/>
  <c r="T111" i="25" s="1"/>
  <c r="T110" i="25"/>
  <c r="S110" i="25"/>
  <c r="R110" i="25"/>
  <c r="Q110" i="25"/>
  <c r="O110" i="25"/>
  <c r="J110" i="25"/>
  <c r="P110" i="25" s="1"/>
  <c r="T109" i="25"/>
  <c r="S109" i="25"/>
  <c r="J109" i="25"/>
  <c r="R109" i="25" s="1"/>
  <c r="T108" i="25"/>
  <c r="S108" i="25"/>
  <c r="R108" i="25"/>
  <c r="Q108" i="25"/>
  <c r="P108" i="25"/>
  <c r="O108" i="25"/>
  <c r="J108" i="25"/>
  <c r="T107" i="25"/>
  <c r="S107" i="25"/>
  <c r="R107" i="25"/>
  <c r="Q107" i="25"/>
  <c r="O107" i="25"/>
  <c r="J107" i="25"/>
  <c r="P107" i="25" s="1"/>
  <c r="J106" i="25"/>
  <c r="O106" i="25" s="1"/>
  <c r="T105" i="25"/>
  <c r="S105" i="25"/>
  <c r="R105" i="25"/>
  <c r="Q105" i="25"/>
  <c r="P105" i="25"/>
  <c r="O105" i="25"/>
  <c r="J105" i="25"/>
  <c r="P104" i="25"/>
  <c r="J104" i="25"/>
  <c r="T104" i="25" s="1"/>
  <c r="T103" i="25"/>
  <c r="S103" i="25"/>
  <c r="R103" i="25"/>
  <c r="J103" i="25"/>
  <c r="Q103" i="25" s="1"/>
  <c r="J102" i="25"/>
  <c r="T102" i="25" s="1"/>
  <c r="R101" i="25"/>
  <c r="Q101" i="25"/>
  <c r="P101" i="25"/>
  <c r="J101" i="25"/>
  <c r="O101" i="25" s="1"/>
  <c r="S100" i="25"/>
  <c r="R100" i="25"/>
  <c r="P100" i="25"/>
  <c r="O100" i="25"/>
  <c r="S99" i="25"/>
  <c r="R99" i="25"/>
  <c r="T99" i="25" s="1"/>
  <c r="P99" i="25"/>
  <c r="O99" i="25"/>
  <c r="Q99" i="25" s="1"/>
  <c r="S98" i="25"/>
  <c r="R98" i="25"/>
  <c r="P98" i="25"/>
  <c r="O98" i="25"/>
  <c r="Q98" i="25" s="1"/>
  <c r="S97" i="25"/>
  <c r="R97" i="25"/>
  <c r="T97" i="25" s="1"/>
  <c r="P97" i="25"/>
  <c r="O97" i="25"/>
  <c r="Q97" i="25" s="1"/>
  <c r="S96" i="25"/>
  <c r="R96" i="25"/>
  <c r="T96" i="25" s="1"/>
  <c r="P96" i="25"/>
  <c r="O96" i="25"/>
  <c r="Q96" i="25" s="1"/>
  <c r="S95" i="25"/>
  <c r="R95" i="25"/>
  <c r="T95" i="25" s="1"/>
  <c r="P95" i="25"/>
  <c r="O95" i="25"/>
  <c r="Q95" i="25" s="1"/>
  <c r="S94" i="25"/>
  <c r="R94" i="25"/>
  <c r="T94" i="25" s="1"/>
  <c r="P94" i="25"/>
  <c r="O94" i="25"/>
  <c r="Q94" i="25" s="1"/>
  <c r="S93" i="25"/>
  <c r="R93" i="25"/>
  <c r="P93" i="25"/>
  <c r="O93" i="25"/>
  <c r="Q93" i="25" s="1"/>
  <c r="S92" i="25"/>
  <c r="R92" i="25"/>
  <c r="T92" i="25" s="1"/>
  <c r="P92" i="25"/>
  <c r="O92" i="25"/>
  <c r="Q92" i="25" s="1"/>
  <c r="S91" i="25"/>
  <c r="R91" i="25"/>
  <c r="T91" i="25" s="1"/>
  <c r="P91" i="25"/>
  <c r="O91" i="25"/>
  <c r="Q91" i="25" s="1"/>
  <c r="S90" i="25"/>
  <c r="R90" i="25"/>
  <c r="P90" i="25"/>
  <c r="O90" i="25"/>
  <c r="Q90" i="25" s="1"/>
  <c r="S89" i="25"/>
  <c r="R89" i="25"/>
  <c r="T89" i="25" s="1"/>
  <c r="P89" i="25"/>
  <c r="O89" i="25"/>
  <c r="Q89" i="25" s="1"/>
  <c r="S88" i="25"/>
  <c r="R88" i="25"/>
  <c r="T88" i="25" s="1"/>
  <c r="P88" i="25"/>
  <c r="O88" i="25"/>
  <c r="Q88" i="25" s="1"/>
  <c r="S87" i="25"/>
  <c r="R87" i="25"/>
  <c r="T87" i="25" s="1"/>
  <c r="P87" i="25"/>
  <c r="O87" i="25"/>
  <c r="Q87" i="25" s="1"/>
  <c r="S86" i="25"/>
  <c r="R86" i="25"/>
  <c r="T86" i="25" s="1"/>
  <c r="P86" i="25"/>
  <c r="O86" i="25"/>
  <c r="Q86" i="25" s="1"/>
  <c r="S85" i="25"/>
  <c r="R85" i="25"/>
  <c r="T85" i="25" s="1"/>
  <c r="P85" i="25"/>
  <c r="O85" i="25"/>
  <c r="Q85" i="25" s="1"/>
  <c r="S84" i="25"/>
  <c r="R84" i="25"/>
  <c r="T84" i="25" s="1"/>
  <c r="P84" i="25"/>
  <c r="O84" i="25"/>
  <c r="Q84" i="25" s="1"/>
  <c r="S83" i="25"/>
  <c r="R83" i="25"/>
  <c r="T83" i="25" s="1"/>
  <c r="P83" i="25"/>
  <c r="O83" i="25"/>
  <c r="S82" i="25"/>
  <c r="R82" i="25"/>
  <c r="P82" i="25"/>
  <c r="O82" i="25"/>
  <c r="Q82" i="25" s="1"/>
  <c r="S81" i="25"/>
  <c r="R81" i="25"/>
  <c r="T81" i="25" s="1"/>
  <c r="P81" i="25"/>
  <c r="O81" i="25"/>
  <c r="Q81" i="25" s="1"/>
  <c r="S80" i="25"/>
  <c r="R80" i="25"/>
  <c r="T80" i="25" s="1"/>
  <c r="P80" i="25"/>
  <c r="O80" i="25"/>
  <c r="Q80" i="25" s="1"/>
  <c r="S79" i="25"/>
  <c r="R79" i="25"/>
  <c r="P79" i="25"/>
  <c r="O79" i="25"/>
  <c r="Q79" i="25" s="1"/>
  <c r="S78" i="25"/>
  <c r="R78" i="25"/>
  <c r="T78" i="25" s="1"/>
  <c r="P78" i="25"/>
  <c r="O78" i="25"/>
  <c r="Q78" i="25" s="1"/>
  <c r="S77" i="25"/>
  <c r="R77" i="25"/>
  <c r="T77" i="25" s="1"/>
  <c r="P77" i="25"/>
  <c r="O77" i="25"/>
  <c r="Q77" i="25" s="1"/>
  <c r="S76" i="25"/>
  <c r="R76" i="25"/>
  <c r="T76" i="25" s="1"/>
  <c r="P76" i="25"/>
  <c r="O76" i="25"/>
  <c r="Q76" i="25" s="1"/>
  <c r="S75" i="25"/>
  <c r="R75" i="25"/>
  <c r="T75" i="25" s="1"/>
  <c r="P75" i="25"/>
  <c r="O75" i="25"/>
  <c r="Q75" i="25" s="1"/>
  <c r="S74" i="25"/>
  <c r="R74" i="25"/>
  <c r="P74" i="25"/>
  <c r="O74" i="25"/>
  <c r="Q74" i="25" s="1"/>
  <c r="S73" i="25"/>
  <c r="R73" i="25"/>
  <c r="T73" i="25" s="1"/>
  <c r="P73" i="25"/>
  <c r="O73" i="25"/>
  <c r="Q73" i="25" s="1"/>
  <c r="T72" i="25"/>
  <c r="S72" i="25"/>
  <c r="R72" i="25"/>
  <c r="P72" i="25"/>
  <c r="O72" i="25"/>
  <c r="Q72" i="25" s="1"/>
  <c r="S71" i="25"/>
  <c r="R71" i="25"/>
  <c r="T71" i="25" s="1"/>
  <c r="P71" i="25"/>
  <c r="O71" i="25"/>
  <c r="Q71" i="25" s="1"/>
  <c r="S70" i="25"/>
  <c r="R70" i="25"/>
  <c r="T70" i="25" s="1"/>
  <c r="P70" i="25"/>
  <c r="O70" i="25"/>
  <c r="Q70" i="25" s="1"/>
  <c r="S69" i="25"/>
  <c r="R69" i="25"/>
  <c r="T69" i="25" s="1"/>
  <c r="P69" i="25"/>
  <c r="Q69" i="25" s="1"/>
  <c r="O69" i="25"/>
  <c r="S68" i="25"/>
  <c r="R68" i="25"/>
  <c r="T68" i="25" s="1"/>
  <c r="P68" i="25"/>
  <c r="O68" i="25"/>
  <c r="Q68" i="25" s="1"/>
  <c r="S67" i="25"/>
  <c r="R67" i="25"/>
  <c r="T67" i="25" s="1"/>
  <c r="P67" i="25"/>
  <c r="O67" i="25"/>
  <c r="Q67" i="25" s="1"/>
  <c r="S66" i="25"/>
  <c r="R66" i="25"/>
  <c r="P66" i="25"/>
  <c r="O66" i="25"/>
  <c r="Q66" i="25" s="1"/>
  <c r="S65" i="25"/>
  <c r="R65" i="25"/>
  <c r="T65" i="25" s="1"/>
  <c r="P65" i="25"/>
  <c r="O65" i="25"/>
  <c r="Q65" i="25" s="1"/>
  <c r="S64" i="25"/>
  <c r="R64" i="25"/>
  <c r="T64" i="25" s="1"/>
  <c r="P64" i="25"/>
  <c r="O64" i="25"/>
  <c r="S63" i="25"/>
  <c r="R63" i="25"/>
  <c r="T63" i="25" s="1"/>
  <c r="P63" i="25"/>
  <c r="O63" i="25"/>
  <c r="Q63" i="25" s="1"/>
  <c r="S62" i="25"/>
  <c r="T62" i="25" s="1"/>
  <c r="R62" i="25"/>
  <c r="P62" i="25"/>
  <c r="O62" i="25"/>
  <c r="S61" i="25"/>
  <c r="R61" i="25"/>
  <c r="T61" i="25" s="1"/>
  <c r="P61" i="25"/>
  <c r="O61" i="25"/>
  <c r="Q61" i="25" s="1"/>
  <c r="G60" i="25"/>
  <c r="C53" i="25"/>
  <c r="E52" i="25"/>
  <c r="E51" i="25"/>
  <c r="E50" i="25"/>
  <c r="E49" i="25"/>
  <c r="E467" i="25"/>
  <c r="G516" i="23"/>
  <c r="D514" i="23"/>
  <c r="D512" i="23"/>
  <c r="G512" i="23" s="1"/>
  <c r="G513" i="23" s="1"/>
  <c r="G508" i="23"/>
  <c r="G509" i="23" s="1"/>
  <c r="F508" i="23"/>
  <c r="F509" i="23" s="1"/>
  <c r="E508" i="23"/>
  <c r="E509" i="23" s="1"/>
  <c r="G507" i="23"/>
  <c r="X504" i="23" s="1"/>
  <c r="L504" i="23" s="1"/>
  <c r="T504" i="23" s="1"/>
  <c r="F507" i="23"/>
  <c r="W504" i="23" s="1"/>
  <c r="K504" i="23" s="1"/>
  <c r="S504" i="23" s="1"/>
  <c r="E507" i="23"/>
  <c r="V503" i="23" s="1"/>
  <c r="J503" i="23" s="1"/>
  <c r="R503" i="23" s="1"/>
  <c r="X506" i="23"/>
  <c r="L506" i="23" s="1"/>
  <c r="T506" i="23" s="1"/>
  <c r="W506" i="23"/>
  <c r="K506" i="23" s="1"/>
  <c r="S506" i="23" s="1"/>
  <c r="W505" i="23"/>
  <c r="K505" i="23" s="1"/>
  <c r="S505" i="23" s="1"/>
  <c r="V504" i="23"/>
  <c r="J504" i="23"/>
  <c r="R504" i="23" s="1"/>
  <c r="W503" i="23"/>
  <c r="K503" i="23" s="1"/>
  <c r="S503" i="23" s="1"/>
  <c r="X502" i="23"/>
  <c r="L502" i="23"/>
  <c r="T502" i="23" s="1"/>
  <c r="X501" i="23"/>
  <c r="L501" i="23" s="1"/>
  <c r="T501" i="23" s="1"/>
  <c r="W501" i="23"/>
  <c r="K501" i="23" s="1"/>
  <c r="S501" i="23" s="1"/>
  <c r="V501" i="23"/>
  <c r="J501" i="23" s="1"/>
  <c r="R501" i="23" s="1"/>
  <c r="X499" i="23"/>
  <c r="L499" i="23" s="1"/>
  <c r="T499" i="23" s="1"/>
  <c r="W499" i="23"/>
  <c r="K499" i="23" s="1"/>
  <c r="S499" i="23" s="1"/>
  <c r="V499" i="23"/>
  <c r="J499" i="23" s="1"/>
  <c r="R499" i="23" s="1"/>
  <c r="W498" i="23"/>
  <c r="V498" i="23"/>
  <c r="J498" i="23" s="1"/>
  <c r="R498" i="23" s="1"/>
  <c r="K498" i="23"/>
  <c r="S498" i="23" s="1"/>
  <c r="G487" i="23"/>
  <c r="E485" i="23"/>
  <c r="D483" i="23"/>
  <c r="G483" i="23" s="1"/>
  <c r="G484" i="23" s="1"/>
  <c r="G482" i="23"/>
  <c r="G481" i="23"/>
  <c r="F481" i="23"/>
  <c r="F482" i="23" s="1"/>
  <c r="E481" i="23"/>
  <c r="E482" i="23" s="1"/>
  <c r="X477" i="23"/>
  <c r="W477" i="23"/>
  <c r="V477" i="23"/>
  <c r="X476" i="23"/>
  <c r="W476" i="23"/>
  <c r="V476" i="23"/>
  <c r="X475" i="23"/>
  <c r="W475" i="23"/>
  <c r="V475" i="23"/>
  <c r="X474" i="23"/>
  <c r="W474" i="23"/>
  <c r="V474" i="23"/>
  <c r="X473" i="23"/>
  <c r="W473" i="23"/>
  <c r="V473" i="23"/>
  <c r="X472" i="23"/>
  <c r="W472" i="23"/>
  <c r="V472" i="23"/>
  <c r="X471" i="23"/>
  <c r="W471" i="23"/>
  <c r="V471" i="23"/>
  <c r="X470" i="23"/>
  <c r="W470" i="23"/>
  <c r="V470" i="23"/>
  <c r="X469" i="23"/>
  <c r="U478" i="23" s="1"/>
  <c r="W469" i="23"/>
  <c r="V469" i="23"/>
  <c r="N461" i="23"/>
  <c r="G461" i="23"/>
  <c r="N460" i="23"/>
  <c r="E460" i="23"/>
  <c r="N459" i="23"/>
  <c r="D459" i="23"/>
  <c r="N458" i="23"/>
  <c r="D458" i="23"/>
  <c r="D460" i="23" s="1"/>
  <c r="N457" i="23"/>
  <c r="G457" i="23"/>
  <c r="G458" i="23" s="1"/>
  <c r="D457" i="23"/>
  <c r="N456" i="23"/>
  <c r="N455" i="23"/>
  <c r="N454" i="23"/>
  <c r="X453" i="23"/>
  <c r="W453" i="23"/>
  <c r="V453" i="23"/>
  <c r="N453" i="23"/>
  <c r="X452" i="23"/>
  <c r="W452" i="23"/>
  <c r="V452" i="23"/>
  <c r="N452" i="23"/>
  <c r="X451" i="23"/>
  <c r="W451" i="23"/>
  <c r="V451" i="23"/>
  <c r="N451" i="23"/>
  <c r="X450" i="23"/>
  <c r="W450" i="23"/>
  <c r="V450" i="23"/>
  <c r="N450" i="23"/>
  <c r="X449" i="23"/>
  <c r="W449" i="23"/>
  <c r="V449" i="23"/>
  <c r="N449" i="23"/>
  <c r="X448" i="23"/>
  <c r="W448" i="23"/>
  <c r="V448" i="23"/>
  <c r="N448" i="23"/>
  <c r="X447" i="23"/>
  <c r="W447" i="23"/>
  <c r="V447" i="23"/>
  <c r="N447" i="23"/>
  <c r="X446" i="23"/>
  <c r="W446" i="23"/>
  <c r="V446" i="23"/>
  <c r="N446" i="23"/>
  <c r="X445" i="23"/>
  <c r="U454" i="23" s="1"/>
  <c r="W445" i="23"/>
  <c r="V445" i="23"/>
  <c r="J423" i="23"/>
  <c r="E423" i="23"/>
  <c r="J422" i="23"/>
  <c r="E422" i="23"/>
  <c r="J421" i="23"/>
  <c r="E421" i="23"/>
  <c r="J420" i="23"/>
  <c r="E420" i="23"/>
  <c r="J419" i="23"/>
  <c r="E419" i="23"/>
  <c r="J418" i="23"/>
  <c r="E418" i="23"/>
  <c r="J417" i="23"/>
  <c r="E417" i="23"/>
  <c r="J416" i="23"/>
  <c r="E416" i="23"/>
  <c r="J415" i="23"/>
  <c r="E415" i="23"/>
  <c r="J414" i="23"/>
  <c r="E414" i="23"/>
  <c r="J413" i="23"/>
  <c r="E413" i="23"/>
  <c r="J412" i="23"/>
  <c r="E412" i="23"/>
  <c r="J411" i="23"/>
  <c r="E411" i="23"/>
  <c r="J410" i="23"/>
  <c r="E410" i="23"/>
  <c r="J409" i="23"/>
  <c r="E409" i="23"/>
  <c r="J408" i="23"/>
  <c r="E408" i="23"/>
  <c r="J407" i="23"/>
  <c r="E407" i="23"/>
  <c r="J406" i="23"/>
  <c r="E406" i="23"/>
  <c r="J405" i="23"/>
  <c r="E405" i="23"/>
  <c r="J404" i="23"/>
  <c r="E404" i="23"/>
  <c r="J403" i="23"/>
  <c r="E403" i="23"/>
  <c r="J402" i="23"/>
  <c r="E402" i="23"/>
  <c r="J401" i="23"/>
  <c r="E401" i="23"/>
  <c r="J400" i="23"/>
  <c r="E400" i="23"/>
  <c r="J399" i="23"/>
  <c r="E399" i="23"/>
  <c r="J398" i="23"/>
  <c r="E398" i="23"/>
  <c r="J397" i="23"/>
  <c r="E397" i="23"/>
  <c r="J396" i="23"/>
  <c r="E396" i="23"/>
  <c r="J395" i="23"/>
  <c r="E395" i="23"/>
  <c r="J394" i="23"/>
  <c r="E394" i="23"/>
  <c r="J393" i="23"/>
  <c r="E393" i="23"/>
  <c r="J392" i="23"/>
  <c r="E392" i="23"/>
  <c r="J391" i="23"/>
  <c r="E391" i="23"/>
  <c r="J390" i="23"/>
  <c r="E390" i="23"/>
  <c r="J389" i="23"/>
  <c r="E389" i="23"/>
  <c r="J388" i="23"/>
  <c r="E388" i="23"/>
  <c r="J387" i="23"/>
  <c r="E387" i="23"/>
  <c r="J386" i="23"/>
  <c r="E386" i="23"/>
  <c r="J385" i="23"/>
  <c r="I428" i="23" s="1"/>
  <c r="E385" i="23"/>
  <c r="D428" i="23" s="1"/>
  <c r="J384" i="23"/>
  <c r="E384" i="23"/>
  <c r="G348" i="23"/>
  <c r="F348" i="23"/>
  <c r="F349" i="23" s="1"/>
  <c r="F350" i="23" s="1"/>
  <c r="F351" i="23" s="1"/>
  <c r="E348" i="23"/>
  <c r="E349" i="23" s="1"/>
  <c r="E350" i="23" s="1"/>
  <c r="E351" i="23" s="1"/>
  <c r="D348" i="23"/>
  <c r="D349" i="23" s="1"/>
  <c r="D350" i="23" s="1"/>
  <c r="D351" i="23" s="1"/>
  <c r="G338" i="23"/>
  <c r="E338" i="23"/>
  <c r="D337" i="23"/>
  <c r="G333" i="23"/>
  <c r="F333" i="23"/>
  <c r="E333" i="23"/>
  <c r="D333" i="23"/>
  <c r="G332" i="23"/>
  <c r="F332" i="23"/>
  <c r="E332" i="23"/>
  <c r="D332" i="23"/>
  <c r="G331" i="23"/>
  <c r="F331" i="23"/>
  <c r="E331" i="23"/>
  <c r="D331" i="23"/>
  <c r="G329" i="23"/>
  <c r="F329" i="23"/>
  <c r="E329" i="23"/>
  <c r="D329" i="23"/>
  <c r="G328" i="23"/>
  <c r="G343" i="23" s="1"/>
  <c r="F328" i="23"/>
  <c r="E328" i="23"/>
  <c r="E343" i="23" s="1"/>
  <c r="D328" i="23"/>
  <c r="D338" i="23" s="1"/>
  <c r="G327" i="23"/>
  <c r="G337" i="23" s="1"/>
  <c r="F327" i="23"/>
  <c r="F337" i="23" s="1"/>
  <c r="E327" i="23"/>
  <c r="E337" i="23" s="1"/>
  <c r="D327" i="23"/>
  <c r="D342" i="23" s="1"/>
  <c r="Y259" i="23"/>
  <c r="X259" i="23"/>
  <c r="W259" i="23"/>
  <c r="T259" i="23"/>
  <c r="V259" i="23" s="1"/>
  <c r="S259" i="23"/>
  <c r="U259" i="23" s="1"/>
  <c r="I259" i="23"/>
  <c r="G259" i="23"/>
  <c r="H259" i="23" s="1"/>
  <c r="A259" i="23"/>
  <c r="Y258" i="23"/>
  <c r="X258" i="23"/>
  <c r="W258" i="23"/>
  <c r="T258" i="23"/>
  <c r="V258" i="23" s="1"/>
  <c r="S258" i="23"/>
  <c r="I258" i="23"/>
  <c r="G258" i="23"/>
  <c r="H258" i="23" s="1"/>
  <c r="Y257" i="23"/>
  <c r="X257" i="23"/>
  <c r="W257" i="23"/>
  <c r="T257" i="23"/>
  <c r="V257" i="23" s="1"/>
  <c r="S257" i="23"/>
  <c r="U257" i="23" s="1"/>
  <c r="H257" i="23"/>
  <c r="G257" i="23"/>
  <c r="I257" i="23" s="1"/>
  <c r="A257" i="23"/>
  <c r="Y256" i="23"/>
  <c r="X256" i="23"/>
  <c r="W256" i="23"/>
  <c r="T256" i="23"/>
  <c r="V256" i="23" s="1"/>
  <c r="S256" i="23"/>
  <c r="G256" i="23"/>
  <c r="I256" i="23" s="1"/>
  <c r="Y255" i="23"/>
  <c r="X255" i="23"/>
  <c r="W255" i="23"/>
  <c r="U255" i="23"/>
  <c r="T255" i="23"/>
  <c r="S255" i="23"/>
  <c r="V255" i="23" s="1"/>
  <c r="H255" i="23"/>
  <c r="G255" i="23"/>
  <c r="I255" i="23" s="1"/>
  <c r="A255" i="23"/>
  <c r="Y254" i="23"/>
  <c r="X254" i="23"/>
  <c r="W254" i="23"/>
  <c r="T254" i="23"/>
  <c r="V254" i="23" s="1"/>
  <c r="S254" i="23"/>
  <c r="G254" i="23"/>
  <c r="I254" i="23" s="1"/>
  <c r="Y253" i="23"/>
  <c r="X253" i="23"/>
  <c r="W253" i="23"/>
  <c r="T253" i="23"/>
  <c r="U253" i="23" s="1"/>
  <c r="S253" i="23"/>
  <c r="H253" i="23"/>
  <c r="G253" i="23"/>
  <c r="I253" i="23" s="1"/>
  <c r="A253" i="23"/>
  <c r="Y252" i="23"/>
  <c r="X252" i="23"/>
  <c r="W252" i="23"/>
  <c r="V252" i="23"/>
  <c r="T252" i="23"/>
  <c r="U252" i="23" s="1"/>
  <c r="S252" i="23"/>
  <c r="I252" i="23"/>
  <c r="G252" i="23"/>
  <c r="A252" i="23"/>
  <c r="H226" i="23"/>
  <c r="H225" i="23"/>
  <c r="H224" i="23"/>
  <c r="Z220" i="23"/>
  <c r="X220" i="23" s="1"/>
  <c r="W220" i="23"/>
  <c r="U220" i="23"/>
  <c r="S220" i="23"/>
  <c r="T220" i="23" s="1"/>
  <c r="G220" i="23"/>
  <c r="V220" i="23" s="1"/>
  <c r="Z219" i="23"/>
  <c r="X219" i="23"/>
  <c r="H219" i="23" s="1"/>
  <c r="W219" i="23"/>
  <c r="V219" i="23"/>
  <c r="U219" i="23"/>
  <c r="T219" i="23"/>
  <c r="S219" i="23"/>
  <c r="G219" i="23"/>
  <c r="Z218" i="23"/>
  <c r="X218" i="23" s="1"/>
  <c r="W218" i="23"/>
  <c r="U218" i="23"/>
  <c r="S218" i="23"/>
  <c r="T218" i="23" s="1"/>
  <c r="G218" i="23"/>
  <c r="H218" i="23" s="1"/>
  <c r="Z217" i="23"/>
  <c r="X217" i="23"/>
  <c r="W217" i="23"/>
  <c r="H217" i="23" s="1"/>
  <c r="T217" i="23"/>
  <c r="S217" i="23"/>
  <c r="G217" i="23"/>
  <c r="V217" i="23" s="1"/>
  <c r="Z216" i="23"/>
  <c r="X216" i="23" s="1"/>
  <c r="W216" i="23"/>
  <c r="S216" i="23"/>
  <c r="T216" i="23" s="1"/>
  <c r="G216" i="23"/>
  <c r="H216" i="23" s="1"/>
  <c r="Z215" i="23"/>
  <c r="X215" i="23" s="1"/>
  <c r="T215" i="23"/>
  <c r="S215" i="23"/>
  <c r="G215" i="23"/>
  <c r="V215" i="23" s="1"/>
  <c r="Z214" i="23"/>
  <c r="X214" i="23" s="1"/>
  <c r="U214" i="23"/>
  <c r="S214" i="23"/>
  <c r="T214" i="23" s="1"/>
  <c r="G214" i="23"/>
  <c r="V214" i="23" s="1"/>
  <c r="Z213" i="23"/>
  <c r="X213" i="23"/>
  <c r="W213" i="23"/>
  <c r="V213" i="23"/>
  <c r="U213" i="23"/>
  <c r="T213" i="23"/>
  <c r="S213" i="23"/>
  <c r="H213" i="23"/>
  <c r="G213" i="23"/>
  <c r="E186" i="23"/>
  <c r="J160" i="23"/>
  <c r="R160" i="23" s="1"/>
  <c r="J159" i="23"/>
  <c r="T159" i="23" s="1"/>
  <c r="T158" i="23"/>
  <c r="S158" i="23"/>
  <c r="Q158" i="23"/>
  <c r="O158" i="23"/>
  <c r="J158" i="23"/>
  <c r="P158" i="23" s="1"/>
  <c r="T157" i="23"/>
  <c r="S157" i="23"/>
  <c r="J157" i="23"/>
  <c r="R157" i="23" s="1"/>
  <c r="T156" i="23"/>
  <c r="S156" i="23"/>
  <c r="R156" i="23"/>
  <c r="Q156" i="23"/>
  <c r="O156" i="23"/>
  <c r="J156" i="23"/>
  <c r="P156" i="23" s="1"/>
  <c r="T155" i="23"/>
  <c r="R155" i="23"/>
  <c r="Q155" i="23"/>
  <c r="J155" i="23"/>
  <c r="S155" i="23" s="1"/>
  <c r="T154" i="23"/>
  <c r="S154" i="23"/>
  <c r="R154" i="23"/>
  <c r="Q154" i="23"/>
  <c r="P154" i="23"/>
  <c r="O154" i="23"/>
  <c r="J154" i="23"/>
  <c r="T153" i="23"/>
  <c r="S153" i="23"/>
  <c r="R153" i="23"/>
  <c r="Q153" i="23"/>
  <c r="P153" i="23"/>
  <c r="O153" i="23"/>
  <c r="J153" i="23"/>
  <c r="Q152" i="23"/>
  <c r="O152" i="23"/>
  <c r="J152" i="23"/>
  <c r="S152" i="23" s="1"/>
  <c r="T151" i="23"/>
  <c r="J151" i="23"/>
  <c r="Q151" i="23" s="1"/>
  <c r="T150" i="23"/>
  <c r="Q150" i="23"/>
  <c r="O150" i="23"/>
  <c r="J150" i="23"/>
  <c r="S150" i="23" s="1"/>
  <c r="T149" i="23"/>
  <c r="R149" i="23"/>
  <c r="P149" i="23"/>
  <c r="J149" i="23"/>
  <c r="O149" i="23" s="1"/>
  <c r="T148" i="23"/>
  <c r="S148" i="23"/>
  <c r="R148" i="23"/>
  <c r="O148" i="23"/>
  <c r="J148" i="23"/>
  <c r="Q148" i="23" s="1"/>
  <c r="R147" i="23"/>
  <c r="P147" i="23"/>
  <c r="J147" i="23"/>
  <c r="T147" i="23" s="1"/>
  <c r="T146" i="23"/>
  <c r="S146" i="23"/>
  <c r="R146" i="23"/>
  <c r="Q146" i="23"/>
  <c r="P146" i="23"/>
  <c r="J146" i="23"/>
  <c r="O146" i="23" s="1"/>
  <c r="J145" i="23"/>
  <c r="T145" i="23" s="1"/>
  <c r="J144" i="23"/>
  <c r="R144" i="23" s="1"/>
  <c r="J143" i="23"/>
  <c r="T143" i="23" s="1"/>
  <c r="T142" i="23"/>
  <c r="S142" i="23"/>
  <c r="Q142" i="23"/>
  <c r="O142" i="23"/>
  <c r="J142" i="23"/>
  <c r="P142" i="23" s="1"/>
  <c r="T141" i="23"/>
  <c r="S141" i="23"/>
  <c r="J141" i="23"/>
  <c r="R141" i="23" s="1"/>
  <c r="T140" i="23"/>
  <c r="S140" i="23"/>
  <c r="R140" i="23"/>
  <c r="Q140" i="23"/>
  <c r="O140" i="23"/>
  <c r="J140" i="23"/>
  <c r="P140" i="23" s="1"/>
  <c r="T139" i="23"/>
  <c r="R139" i="23"/>
  <c r="Q139" i="23"/>
  <c r="J139" i="23"/>
  <c r="S139" i="23" s="1"/>
  <c r="T138" i="23"/>
  <c r="S138" i="23"/>
  <c r="R138" i="23"/>
  <c r="Q138" i="23"/>
  <c r="P138" i="23"/>
  <c r="O138" i="23"/>
  <c r="J138" i="23"/>
  <c r="T137" i="23"/>
  <c r="S137" i="23"/>
  <c r="R137" i="23"/>
  <c r="Q137" i="23"/>
  <c r="P137" i="23"/>
  <c r="O137" i="23"/>
  <c r="J137" i="23"/>
  <c r="Q136" i="23"/>
  <c r="O136" i="23"/>
  <c r="J136" i="23"/>
  <c r="S136" i="23" s="1"/>
  <c r="T135" i="23"/>
  <c r="J135" i="23"/>
  <c r="Q135" i="23" s="1"/>
  <c r="T134" i="23"/>
  <c r="Q134" i="23"/>
  <c r="O134" i="23"/>
  <c r="J134" i="23"/>
  <c r="S134" i="23" s="1"/>
  <c r="T133" i="23"/>
  <c r="R133" i="23"/>
  <c r="P133" i="23"/>
  <c r="J133" i="23"/>
  <c r="O133" i="23" s="1"/>
  <c r="T132" i="23"/>
  <c r="S132" i="23"/>
  <c r="R132" i="23"/>
  <c r="O132" i="23"/>
  <c r="J132" i="23"/>
  <c r="Q132" i="23" s="1"/>
  <c r="R131" i="23"/>
  <c r="P131" i="23"/>
  <c r="J131" i="23"/>
  <c r="T131" i="23" s="1"/>
  <c r="T130" i="23"/>
  <c r="S130" i="23"/>
  <c r="R130" i="23"/>
  <c r="Q130" i="23"/>
  <c r="P130" i="23"/>
  <c r="J130" i="23"/>
  <c r="O130" i="23" s="1"/>
  <c r="J129" i="23"/>
  <c r="T129" i="23" s="1"/>
  <c r="J128" i="23"/>
  <c r="R128" i="23" s="1"/>
  <c r="J127" i="23"/>
  <c r="T127" i="23" s="1"/>
  <c r="T126" i="23"/>
  <c r="S126" i="23"/>
  <c r="Q126" i="23"/>
  <c r="O126" i="23"/>
  <c r="J126" i="23"/>
  <c r="P126" i="23" s="1"/>
  <c r="T125" i="23"/>
  <c r="S125" i="23"/>
  <c r="J125" i="23"/>
  <c r="R125" i="23" s="1"/>
  <c r="T124" i="23"/>
  <c r="S124" i="23"/>
  <c r="R124" i="23"/>
  <c r="Q124" i="23"/>
  <c r="O124" i="23"/>
  <c r="J124" i="23"/>
  <c r="P124" i="23" s="1"/>
  <c r="T123" i="23"/>
  <c r="R123" i="23"/>
  <c r="Q123" i="23"/>
  <c r="J123" i="23"/>
  <c r="S123" i="23" s="1"/>
  <c r="T122" i="23"/>
  <c r="S122" i="23"/>
  <c r="R122" i="23"/>
  <c r="Q122" i="23"/>
  <c r="P122" i="23"/>
  <c r="O122" i="23"/>
  <c r="J122" i="23"/>
  <c r="T121" i="23"/>
  <c r="S121" i="23"/>
  <c r="R121" i="23"/>
  <c r="Q121" i="23"/>
  <c r="P121" i="23"/>
  <c r="O121" i="23"/>
  <c r="J121" i="23"/>
  <c r="Q120" i="23"/>
  <c r="O120" i="23"/>
  <c r="J120" i="23"/>
  <c r="T120" i="23" s="1"/>
  <c r="T119" i="23"/>
  <c r="J119" i="23"/>
  <c r="Q119" i="23" s="1"/>
  <c r="T118" i="23"/>
  <c r="Q118" i="23"/>
  <c r="O118" i="23"/>
  <c r="J118" i="23"/>
  <c r="S118" i="23" s="1"/>
  <c r="T117" i="23"/>
  <c r="S117" i="23"/>
  <c r="R117" i="23"/>
  <c r="P117" i="23"/>
  <c r="J117" i="23"/>
  <c r="O117" i="23" s="1"/>
  <c r="T116" i="23"/>
  <c r="S116" i="23"/>
  <c r="R116" i="23"/>
  <c r="O116" i="23"/>
  <c r="J116" i="23"/>
  <c r="Q116" i="23" s="1"/>
  <c r="R115" i="23"/>
  <c r="P115" i="23"/>
  <c r="J115" i="23"/>
  <c r="T115" i="23" s="1"/>
  <c r="T114" i="23"/>
  <c r="S114" i="23"/>
  <c r="R114" i="23"/>
  <c r="Q114" i="23"/>
  <c r="P114" i="23"/>
  <c r="J114" i="23"/>
  <c r="O114" i="23" s="1"/>
  <c r="J113" i="23"/>
  <c r="T113" i="23" s="1"/>
  <c r="J112" i="23"/>
  <c r="R112" i="23" s="1"/>
  <c r="J111" i="23"/>
  <c r="T111" i="23" s="1"/>
  <c r="T110" i="23"/>
  <c r="S110" i="23"/>
  <c r="Q110" i="23"/>
  <c r="O110" i="23"/>
  <c r="J110" i="23"/>
  <c r="P110" i="23" s="1"/>
  <c r="T109" i="23"/>
  <c r="S109" i="23"/>
  <c r="J109" i="23"/>
  <c r="R109" i="23" s="1"/>
  <c r="T108" i="23"/>
  <c r="S108" i="23"/>
  <c r="R108" i="23"/>
  <c r="Q108" i="23"/>
  <c r="O108" i="23"/>
  <c r="J108" i="23"/>
  <c r="P108" i="23" s="1"/>
  <c r="T107" i="23"/>
  <c r="R107" i="23"/>
  <c r="Q107" i="23"/>
  <c r="J107" i="23"/>
  <c r="S107" i="23" s="1"/>
  <c r="T106" i="23"/>
  <c r="S106" i="23"/>
  <c r="R106" i="23"/>
  <c r="Q106" i="23"/>
  <c r="P106" i="23"/>
  <c r="O106" i="23"/>
  <c r="J106" i="23"/>
  <c r="T105" i="23"/>
  <c r="S105" i="23"/>
  <c r="R105" i="23"/>
  <c r="Q105" i="23"/>
  <c r="P105" i="23"/>
  <c r="O105" i="23"/>
  <c r="J105" i="23"/>
  <c r="O104" i="23"/>
  <c r="J104" i="23"/>
  <c r="T104" i="23" s="1"/>
  <c r="T103" i="23"/>
  <c r="J103" i="23"/>
  <c r="Q103" i="23" s="1"/>
  <c r="T102" i="23"/>
  <c r="Q102" i="23"/>
  <c r="O102" i="23"/>
  <c r="J102" i="23"/>
  <c r="S102" i="23" s="1"/>
  <c r="T101" i="23"/>
  <c r="S101" i="23"/>
  <c r="R101" i="23"/>
  <c r="P101" i="23"/>
  <c r="J101" i="23"/>
  <c r="O101" i="23" s="1"/>
  <c r="S100" i="23"/>
  <c r="R100" i="23"/>
  <c r="T100" i="23" s="1"/>
  <c r="P100" i="23"/>
  <c r="O100" i="23"/>
  <c r="Q100" i="23" s="1"/>
  <c r="S99" i="23"/>
  <c r="R99" i="23"/>
  <c r="T99" i="23" s="1"/>
  <c r="P99" i="23"/>
  <c r="O99" i="23"/>
  <c r="Q99" i="23" s="1"/>
  <c r="S98" i="23"/>
  <c r="R98" i="23"/>
  <c r="T98" i="23" s="1"/>
  <c r="P98" i="23"/>
  <c r="O98" i="23"/>
  <c r="Q98" i="23" s="1"/>
  <c r="T97" i="23"/>
  <c r="S97" i="23"/>
  <c r="R97" i="23"/>
  <c r="P97" i="23"/>
  <c r="O97" i="23"/>
  <c r="Q97" i="23" s="1"/>
  <c r="S96" i="23"/>
  <c r="R96" i="23"/>
  <c r="T96" i="23" s="1"/>
  <c r="Q96" i="23"/>
  <c r="P96" i="23"/>
  <c r="O96" i="23"/>
  <c r="S95" i="23"/>
  <c r="R95" i="23"/>
  <c r="T95" i="23" s="1"/>
  <c r="P95" i="23"/>
  <c r="Q95" i="23" s="1"/>
  <c r="O95" i="23"/>
  <c r="S94" i="23"/>
  <c r="R94" i="23"/>
  <c r="T94" i="23" s="1"/>
  <c r="P94" i="23"/>
  <c r="O94" i="23"/>
  <c r="Q94" i="23" s="1"/>
  <c r="S93" i="23"/>
  <c r="T93" i="23" s="1"/>
  <c r="R93" i="23"/>
  <c r="Q93" i="23"/>
  <c r="P93" i="23"/>
  <c r="O93" i="23"/>
  <c r="S92" i="23"/>
  <c r="R92" i="23"/>
  <c r="T92" i="23" s="1"/>
  <c r="P92" i="23"/>
  <c r="O92" i="23"/>
  <c r="Q92" i="23" s="1"/>
  <c r="S91" i="23"/>
  <c r="R91" i="23"/>
  <c r="T91" i="23" s="1"/>
  <c r="P91" i="23"/>
  <c r="O91" i="23"/>
  <c r="Q91" i="23" s="1"/>
  <c r="S90" i="23"/>
  <c r="R90" i="23"/>
  <c r="T90" i="23" s="1"/>
  <c r="P90" i="23"/>
  <c r="O90" i="23"/>
  <c r="Q90" i="23" s="1"/>
  <c r="T89" i="23"/>
  <c r="S89" i="23"/>
  <c r="R89" i="23"/>
  <c r="P89" i="23"/>
  <c r="O89" i="23"/>
  <c r="Q89" i="23" s="1"/>
  <c r="S88" i="23"/>
  <c r="R88" i="23"/>
  <c r="T88" i="23" s="1"/>
  <c r="Q88" i="23"/>
  <c r="P88" i="23"/>
  <c r="O88" i="23"/>
  <c r="S87" i="23"/>
  <c r="R87" i="23"/>
  <c r="T87" i="23" s="1"/>
  <c r="P87" i="23"/>
  <c r="Q87" i="23" s="1"/>
  <c r="O87" i="23"/>
  <c r="S86" i="23"/>
  <c r="R86" i="23"/>
  <c r="T86" i="23" s="1"/>
  <c r="P86" i="23"/>
  <c r="O86" i="23"/>
  <c r="Q86" i="23" s="1"/>
  <c r="S85" i="23"/>
  <c r="T85" i="23" s="1"/>
  <c r="R85" i="23"/>
  <c r="Q85" i="23"/>
  <c r="P85" i="23"/>
  <c r="O85" i="23"/>
  <c r="S84" i="23"/>
  <c r="R84" i="23"/>
  <c r="T84" i="23" s="1"/>
  <c r="P84" i="23"/>
  <c r="O84" i="23"/>
  <c r="Q84" i="23" s="1"/>
  <c r="S83" i="23"/>
  <c r="R83" i="23"/>
  <c r="T83" i="23" s="1"/>
  <c r="P83" i="23"/>
  <c r="O83" i="23"/>
  <c r="Q83" i="23" s="1"/>
  <c r="S82" i="23"/>
  <c r="R82" i="23"/>
  <c r="T82" i="23" s="1"/>
  <c r="P82" i="23"/>
  <c r="O82" i="23"/>
  <c r="Q82" i="23" s="1"/>
  <c r="T81" i="23"/>
  <c r="S81" i="23"/>
  <c r="R81" i="23"/>
  <c r="P81" i="23"/>
  <c r="O81" i="23"/>
  <c r="Q81" i="23" s="1"/>
  <c r="S80" i="23"/>
  <c r="R80" i="23"/>
  <c r="T80" i="23" s="1"/>
  <c r="Q80" i="23"/>
  <c r="P80" i="23"/>
  <c r="O80" i="23"/>
  <c r="S79" i="23"/>
  <c r="R79" i="23"/>
  <c r="T79" i="23" s="1"/>
  <c r="P79" i="23"/>
  <c r="Q79" i="23" s="1"/>
  <c r="O79" i="23"/>
  <c r="S78" i="23"/>
  <c r="R78" i="23"/>
  <c r="T78" i="23" s="1"/>
  <c r="P78" i="23"/>
  <c r="O78" i="23"/>
  <c r="Q78" i="23" s="1"/>
  <c r="S77" i="23"/>
  <c r="T77" i="23" s="1"/>
  <c r="R77" i="23"/>
  <c r="Q77" i="23"/>
  <c r="P77" i="23"/>
  <c r="O77" i="23"/>
  <c r="S76" i="23"/>
  <c r="R76" i="23"/>
  <c r="T76" i="23" s="1"/>
  <c r="P76" i="23"/>
  <c r="O76" i="23"/>
  <c r="Q76" i="23" s="1"/>
  <c r="S75" i="23"/>
  <c r="R75" i="23"/>
  <c r="T75" i="23" s="1"/>
  <c r="P75" i="23"/>
  <c r="O75" i="23"/>
  <c r="Q75" i="23" s="1"/>
  <c r="S74" i="23"/>
  <c r="R74" i="23"/>
  <c r="T74" i="23" s="1"/>
  <c r="P74" i="23"/>
  <c r="O74" i="23"/>
  <c r="Q74" i="23" s="1"/>
  <c r="T73" i="23"/>
  <c r="S73" i="23"/>
  <c r="R73" i="23"/>
  <c r="P73" i="23"/>
  <c r="O73" i="23"/>
  <c r="Q73" i="23" s="1"/>
  <c r="S72" i="23"/>
  <c r="R72" i="23"/>
  <c r="T72" i="23" s="1"/>
  <c r="Q72" i="23"/>
  <c r="P72" i="23"/>
  <c r="O72" i="23"/>
  <c r="S71" i="23"/>
  <c r="R71" i="23"/>
  <c r="T71" i="23" s="1"/>
  <c r="P71" i="23"/>
  <c r="Q71" i="23" s="1"/>
  <c r="O71" i="23"/>
  <c r="S70" i="23"/>
  <c r="R70" i="23"/>
  <c r="T70" i="23" s="1"/>
  <c r="P70" i="23"/>
  <c r="O70" i="23"/>
  <c r="Q70" i="23" s="1"/>
  <c r="S69" i="23"/>
  <c r="T69" i="23" s="1"/>
  <c r="R69" i="23"/>
  <c r="Q69" i="23"/>
  <c r="P69" i="23"/>
  <c r="O69" i="23"/>
  <c r="S68" i="23"/>
  <c r="R68" i="23"/>
  <c r="T68" i="23" s="1"/>
  <c r="P68" i="23"/>
  <c r="O68" i="23"/>
  <c r="Q68" i="23" s="1"/>
  <c r="S67" i="23"/>
  <c r="R67" i="23"/>
  <c r="T67" i="23" s="1"/>
  <c r="P67" i="23"/>
  <c r="O67" i="23"/>
  <c r="Q67" i="23" s="1"/>
  <c r="S66" i="23"/>
  <c r="R66" i="23"/>
  <c r="T66" i="23" s="1"/>
  <c r="P66" i="23"/>
  <c r="O66" i="23"/>
  <c r="Q66" i="23" s="1"/>
  <c r="T65" i="23"/>
  <c r="S65" i="23"/>
  <c r="R65" i="23"/>
  <c r="P65" i="23"/>
  <c r="O65" i="23"/>
  <c r="Q65" i="23" s="1"/>
  <c r="S64" i="23"/>
  <c r="R64" i="23"/>
  <c r="T64" i="23" s="1"/>
  <c r="Q64" i="23"/>
  <c r="P64" i="23"/>
  <c r="O64" i="23"/>
  <c r="S63" i="23"/>
  <c r="R63" i="23"/>
  <c r="T63" i="23" s="1"/>
  <c r="P63" i="23"/>
  <c r="Q63" i="23" s="1"/>
  <c r="O63" i="23"/>
  <c r="S62" i="23"/>
  <c r="R62" i="23"/>
  <c r="T62" i="23" s="1"/>
  <c r="P62" i="23"/>
  <c r="O62" i="23"/>
  <c r="Q62" i="23" s="1"/>
  <c r="S61" i="23"/>
  <c r="T61" i="23" s="1"/>
  <c r="R61" i="23"/>
  <c r="Q61" i="23"/>
  <c r="P61" i="23"/>
  <c r="O61" i="23"/>
  <c r="G60" i="23"/>
  <c r="C53" i="23"/>
  <c r="E52" i="23"/>
  <c r="E51" i="23"/>
  <c r="E50" i="23"/>
  <c r="E49" i="23"/>
  <c r="G349" i="23"/>
  <c r="G350" i="23" s="1"/>
  <c r="G351" i="23" s="1"/>
  <c r="E467" i="23"/>
  <c r="T82" i="25" l="1"/>
  <c r="Q64" i="25"/>
  <c r="T74" i="25"/>
  <c r="Q62" i="25"/>
  <c r="Q100" i="25"/>
  <c r="T90" i="25"/>
  <c r="T66" i="25"/>
  <c r="T98" i="25"/>
  <c r="T79" i="25"/>
  <c r="Q83" i="25"/>
  <c r="T93" i="25"/>
  <c r="T100" i="25"/>
  <c r="D513" i="25"/>
  <c r="U479" i="25"/>
  <c r="D486" i="25"/>
  <c r="U455" i="25"/>
  <c r="D461" i="25"/>
  <c r="S101" i="25"/>
  <c r="P106" i="25"/>
  <c r="O113" i="25"/>
  <c r="Q115" i="25"/>
  <c r="S117" i="25"/>
  <c r="P122" i="25"/>
  <c r="O129" i="25"/>
  <c r="Q131" i="25"/>
  <c r="S133" i="25"/>
  <c r="P138" i="25"/>
  <c r="O145" i="25"/>
  <c r="Q147" i="25"/>
  <c r="S149" i="25"/>
  <c r="P154" i="25"/>
  <c r="V218" i="25"/>
  <c r="H254" i="25"/>
  <c r="V255" i="25"/>
  <c r="U258" i="25"/>
  <c r="D342" i="25"/>
  <c r="I427" i="25"/>
  <c r="I429" i="25" s="1"/>
  <c r="I426" i="25" s="1"/>
  <c r="P115" i="25"/>
  <c r="T101" i="25"/>
  <c r="O104" i="25"/>
  <c r="Q106" i="25"/>
  <c r="P113" i="25"/>
  <c r="R115" i="25"/>
  <c r="T117" i="25"/>
  <c r="O120" i="25"/>
  <c r="Q122" i="25"/>
  <c r="P129" i="25"/>
  <c r="R131" i="25"/>
  <c r="T133" i="25"/>
  <c r="O136" i="25"/>
  <c r="Q138" i="25"/>
  <c r="P145" i="25"/>
  <c r="R147" i="25"/>
  <c r="T149" i="25"/>
  <c r="O152" i="25"/>
  <c r="Q154" i="25"/>
  <c r="U220" i="25"/>
  <c r="D428" i="25"/>
  <c r="D429" i="25" s="1"/>
  <c r="D426" i="25" s="1"/>
  <c r="X498" i="25"/>
  <c r="L498" i="25" s="1"/>
  <c r="T498" i="25" s="1"/>
  <c r="Q507" i="25" s="1"/>
  <c r="V500" i="25"/>
  <c r="J500" i="25" s="1"/>
  <c r="R500" i="25" s="1"/>
  <c r="R138" i="25"/>
  <c r="F342" i="25"/>
  <c r="S138" i="25"/>
  <c r="P102" i="25"/>
  <c r="R104" i="25"/>
  <c r="T106" i="25"/>
  <c r="O109" i="25"/>
  <c r="Q111" i="25"/>
  <c r="S113" i="25"/>
  <c r="P118" i="25"/>
  <c r="R120" i="25"/>
  <c r="T122" i="25"/>
  <c r="O125" i="25"/>
  <c r="Q127" i="25"/>
  <c r="S129" i="25"/>
  <c r="P134" i="25"/>
  <c r="R136" i="25"/>
  <c r="T138" i="25"/>
  <c r="O141" i="25"/>
  <c r="Q143" i="25"/>
  <c r="S145" i="25"/>
  <c r="P150" i="25"/>
  <c r="R152" i="25"/>
  <c r="T154" i="25"/>
  <c r="O157" i="25"/>
  <c r="Q159" i="25"/>
  <c r="W213" i="25"/>
  <c r="H213" i="25" s="1"/>
  <c r="U215" i="25"/>
  <c r="U254" i="25"/>
  <c r="A256" i="25"/>
  <c r="W502" i="25"/>
  <c r="K502" i="25" s="1"/>
  <c r="S502" i="25" s="1"/>
  <c r="Q145" i="25"/>
  <c r="U213" i="25"/>
  <c r="V220" i="25"/>
  <c r="O102" i="25"/>
  <c r="Q104" i="25"/>
  <c r="S106" i="25"/>
  <c r="P111" i="25"/>
  <c r="R113" i="25"/>
  <c r="T115" i="25"/>
  <c r="O118" i="25"/>
  <c r="Q120" i="25"/>
  <c r="S122" i="25"/>
  <c r="P127" i="25"/>
  <c r="R129" i="25"/>
  <c r="T131" i="25"/>
  <c r="O134" i="25"/>
  <c r="Q136" i="25"/>
  <c r="P143" i="25"/>
  <c r="R145" i="25"/>
  <c r="T147" i="25"/>
  <c r="O150" i="25"/>
  <c r="Q152" i="25"/>
  <c r="S154" i="25"/>
  <c r="P159" i="25"/>
  <c r="H217" i="25"/>
  <c r="Q102" i="25"/>
  <c r="S104" i="25"/>
  <c r="P109" i="25"/>
  <c r="R111" i="25"/>
  <c r="T113" i="25"/>
  <c r="E165" i="25" s="1"/>
  <c r="Q118" i="25"/>
  <c r="S120" i="25"/>
  <c r="P125" i="25"/>
  <c r="R127" i="25"/>
  <c r="T129" i="25"/>
  <c r="Q134" i="25"/>
  <c r="S136" i="25"/>
  <c r="P141" i="25"/>
  <c r="R143" i="25"/>
  <c r="Q150" i="25"/>
  <c r="S152" i="25"/>
  <c r="P157" i="25"/>
  <c r="R159" i="25"/>
  <c r="U257" i="25"/>
  <c r="A259" i="25"/>
  <c r="E441" i="25"/>
  <c r="X502" i="25"/>
  <c r="L502" i="25" s="1"/>
  <c r="T502" i="25" s="1"/>
  <c r="V504" i="25"/>
  <c r="J504" i="25" s="1"/>
  <c r="R504" i="25" s="1"/>
  <c r="R106" i="25"/>
  <c r="R118" i="25"/>
  <c r="Q125" i="25"/>
  <c r="S127" i="25"/>
  <c r="R134" i="25"/>
  <c r="Q141" i="25"/>
  <c r="S143" i="25"/>
  <c r="R150" i="25"/>
  <c r="Q157" i="25"/>
  <c r="S159" i="25"/>
  <c r="W215" i="25"/>
  <c r="H215" i="25" s="1"/>
  <c r="U217" i="25"/>
  <c r="P131" i="25"/>
  <c r="P147" i="25"/>
  <c r="V252" i="25"/>
  <c r="S115" i="25"/>
  <c r="R122" i="25"/>
  <c r="S131" i="25"/>
  <c r="S147" i="25"/>
  <c r="R154" i="25"/>
  <c r="R102" i="25"/>
  <c r="Q109" i="25"/>
  <c r="S111" i="25"/>
  <c r="S102" i="25"/>
  <c r="O114" i="25"/>
  <c r="S118" i="25"/>
  <c r="O130" i="25"/>
  <c r="S134" i="25"/>
  <c r="O146" i="25"/>
  <c r="S150" i="25"/>
  <c r="X504" i="25"/>
  <c r="L504" i="25" s="1"/>
  <c r="T504" i="25" s="1"/>
  <c r="V506" i="25"/>
  <c r="J506" i="25" s="1"/>
  <c r="R506" i="25" s="1"/>
  <c r="E492" i="25"/>
  <c r="V499" i="25"/>
  <c r="J499" i="25" s="1"/>
  <c r="R499" i="25" s="1"/>
  <c r="W506" i="25"/>
  <c r="K506" i="25" s="1"/>
  <c r="S506" i="25" s="1"/>
  <c r="O103" i="25"/>
  <c r="P112" i="25"/>
  <c r="O119" i="25"/>
  <c r="P128" i="25"/>
  <c r="O135" i="25"/>
  <c r="P144" i="25"/>
  <c r="O151" i="25"/>
  <c r="P160" i="25"/>
  <c r="A258" i="25"/>
  <c r="G356" i="25"/>
  <c r="P119" i="25"/>
  <c r="P151" i="25"/>
  <c r="P103" i="25"/>
  <c r="P135" i="25"/>
  <c r="U479" i="23"/>
  <c r="D486" i="23"/>
  <c r="D513" i="23"/>
  <c r="U455" i="23"/>
  <c r="D461" i="23"/>
  <c r="D484" i="23"/>
  <c r="D485" i="23" s="1"/>
  <c r="R119" i="23"/>
  <c r="R135" i="23"/>
  <c r="S144" i="23"/>
  <c r="S160" i="23"/>
  <c r="R103" i="23"/>
  <c r="S112" i="23"/>
  <c r="S128" i="23"/>
  <c r="R151" i="23"/>
  <c r="W214" i="23"/>
  <c r="H214" i="23" s="1"/>
  <c r="U216" i="23"/>
  <c r="Q101" i="23"/>
  <c r="S103" i="23"/>
  <c r="R110" i="23"/>
  <c r="T112" i="23"/>
  <c r="E164" i="23" s="1"/>
  <c r="O115" i="23"/>
  <c r="Q117" i="23"/>
  <c r="D164" i="23" s="1"/>
  <c r="S119" i="23"/>
  <c r="R126" i="23"/>
  <c r="T128" i="23"/>
  <c r="E165" i="23" s="1"/>
  <c r="O131" i="23"/>
  <c r="Q133" i="23"/>
  <c r="S135" i="23"/>
  <c r="R142" i="23"/>
  <c r="T144" i="23"/>
  <c r="O147" i="23"/>
  <c r="Q149" i="23"/>
  <c r="S151" i="23"/>
  <c r="R158" i="23"/>
  <c r="T160" i="23"/>
  <c r="V216" i="23"/>
  <c r="H220" i="23"/>
  <c r="A254" i="23"/>
  <c r="F338" i="23"/>
  <c r="F343" i="23" s="1"/>
  <c r="X503" i="23"/>
  <c r="L503" i="23" s="1"/>
  <c r="T503" i="23" s="1"/>
  <c r="V505" i="23"/>
  <c r="J505" i="23" s="1"/>
  <c r="R505" i="23" s="1"/>
  <c r="D427" i="23"/>
  <c r="D429" i="23" s="1"/>
  <c r="D426" i="23" s="1"/>
  <c r="O113" i="23"/>
  <c r="Q115" i="23"/>
  <c r="O129" i="23"/>
  <c r="Q131" i="23"/>
  <c r="S133" i="23"/>
  <c r="O145" i="23"/>
  <c r="Q147" i="23"/>
  <c r="S149" i="23"/>
  <c r="V218" i="23"/>
  <c r="H254" i="23"/>
  <c r="U258" i="23"/>
  <c r="I427" i="23"/>
  <c r="I429" i="23" s="1"/>
  <c r="I426" i="23" s="1"/>
  <c r="X505" i="23"/>
  <c r="L505" i="23" s="1"/>
  <c r="T505" i="23" s="1"/>
  <c r="X498" i="23"/>
  <c r="L498" i="23" s="1"/>
  <c r="T498" i="23" s="1"/>
  <c r="V500" i="23"/>
  <c r="J500" i="23" s="1"/>
  <c r="R500" i="23" s="1"/>
  <c r="P104" i="23"/>
  <c r="O111" i="23"/>
  <c r="Q113" i="23"/>
  <c r="S115" i="23"/>
  <c r="P120" i="23"/>
  <c r="O127" i="23"/>
  <c r="Q129" i="23"/>
  <c r="S131" i="23"/>
  <c r="P136" i="23"/>
  <c r="O143" i="23"/>
  <c r="Q145" i="23"/>
  <c r="S147" i="23"/>
  <c r="P152" i="23"/>
  <c r="O159" i="23"/>
  <c r="F342" i="23"/>
  <c r="W500" i="23"/>
  <c r="K500" i="23" s="1"/>
  <c r="S500" i="23" s="1"/>
  <c r="E342" i="23"/>
  <c r="P111" i="23"/>
  <c r="R113" i="23"/>
  <c r="R129" i="23"/>
  <c r="P143" i="23"/>
  <c r="R145" i="23"/>
  <c r="P159" i="23"/>
  <c r="G342" i="23"/>
  <c r="X500" i="23"/>
  <c r="L500" i="23" s="1"/>
  <c r="T500" i="23" s="1"/>
  <c r="Q507" i="23" s="1"/>
  <c r="V502" i="23"/>
  <c r="J502" i="23" s="1"/>
  <c r="R502" i="23" s="1"/>
  <c r="P102" i="23"/>
  <c r="R104" i="23"/>
  <c r="O109" i="23"/>
  <c r="Q111" i="23"/>
  <c r="S113" i="23"/>
  <c r="P118" i="23"/>
  <c r="R120" i="23"/>
  <c r="O125" i="23"/>
  <c r="Q127" i="23"/>
  <c r="S129" i="23"/>
  <c r="P134" i="23"/>
  <c r="R136" i="23"/>
  <c r="O141" i="23"/>
  <c r="Q143" i="23"/>
  <c r="S145" i="23"/>
  <c r="P150" i="23"/>
  <c r="R152" i="23"/>
  <c r="O157" i="23"/>
  <c r="Q159" i="23"/>
  <c r="U215" i="23"/>
  <c r="U254" i="23"/>
  <c r="A256" i="23"/>
  <c r="D343" i="23"/>
  <c r="W502" i="23"/>
  <c r="K502" i="23" s="1"/>
  <c r="S502" i="23" s="1"/>
  <c r="Q104" i="23"/>
  <c r="S104" i="23"/>
  <c r="S120" i="23"/>
  <c r="R127" i="23"/>
  <c r="R143" i="23"/>
  <c r="P113" i="23"/>
  <c r="P129" i="23"/>
  <c r="P127" i="23"/>
  <c r="R102" i="23"/>
  <c r="O107" i="23"/>
  <c r="Q109" i="23"/>
  <c r="S111" i="23"/>
  <c r="P116" i="23"/>
  <c r="R118" i="23"/>
  <c r="O123" i="23"/>
  <c r="Q125" i="23"/>
  <c r="S127" i="23"/>
  <c r="P132" i="23"/>
  <c r="R134" i="23"/>
  <c r="T136" i="23"/>
  <c r="O139" i="23"/>
  <c r="Q141" i="23"/>
  <c r="S143" i="23"/>
  <c r="P148" i="23"/>
  <c r="R150" i="23"/>
  <c r="T152" i="23"/>
  <c r="O155" i="23"/>
  <c r="Q157" i="23"/>
  <c r="S159" i="23"/>
  <c r="W215" i="23"/>
  <c r="H215" i="23" s="1"/>
  <c r="U217" i="23"/>
  <c r="H256" i="23"/>
  <c r="P145" i="23"/>
  <c r="P109" i="23"/>
  <c r="R111" i="23"/>
  <c r="P125" i="23"/>
  <c r="P141" i="23"/>
  <c r="P157" i="23"/>
  <c r="R159" i="23"/>
  <c r="E441" i="23"/>
  <c r="P107" i="23"/>
  <c r="P123" i="23"/>
  <c r="P139" i="23"/>
  <c r="P155" i="23"/>
  <c r="V506" i="23"/>
  <c r="J506" i="23" s="1"/>
  <c r="R506" i="23" s="1"/>
  <c r="E492" i="23"/>
  <c r="O103" i="23"/>
  <c r="P112" i="23"/>
  <c r="O119" i="23"/>
  <c r="P128" i="23"/>
  <c r="O135" i="23"/>
  <c r="P144" i="23"/>
  <c r="O151" i="23"/>
  <c r="P160" i="23"/>
  <c r="V253" i="23"/>
  <c r="U256" i="23"/>
  <c r="A258" i="23"/>
  <c r="G356" i="23"/>
  <c r="O112" i="23"/>
  <c r="O160" i="23"/>
  <c r="Q144" i="23"/>
  <c r="O128" i="23"/>
  <c r="O144" i="23"/>
  <c r="P103" i="23"/>
  <c r="Q112" i="23"/>
  <c r="P119" i="23"/>
  <c r="Q128" i="23"/>
  <c r="P135" i="23"/>
  <c r="P151" i="23"/>
  <c r="Q160" i="23"/>
  <c r="G357" i="23"/>
  <c r="G358" i="23" s="1"/>
  <c r="D165" i="25" l="1"/>
  <c r="D164" i="25"/>
  <c r="J163" i="25"/>
  <c r="J164" i="25" s="1"/>
  <c r="D517" i="25"/>
  <c r="Q508" i="25"/>
  <c r="F362" i="25"/>
  <c r="F366" i="25" s="1"/>
  <c r="D362" i="25"/>
  <c r="D366" i="25" s="1"/>
  <c r="E362" i="25"/>
  <c r="E366" i="25" s="1"/>
  <c r="F363" i="25"/>
  <c r="F367" i="25" s="1"/>
  <c r="G363" i="25"/>
  <c r="G367" i="25" s="1"/>
  <c r="E363" i="25"/>
  <c r="E367" i="25" s="1"/>
  <c r="D363" i="25"/>
  <c r="D367" i="25" s="1"/>
  <c r="G362" i="25"/>
  <c r="G366" i="25" s="1"/>
  <c r="E164" i="25"/>
  <c r="D517" i="23"/>
  <c r="Q508" i="23"/>
  <c r="J163" i="23"/>
  <c r="J164" i="23" s="1"/>
  <c r="D165" i="23"/>
  <c r="G363" i="23"/>
  <c r="G367" i="23" s="1"/>
  <c r="F363" i="23"/>
  <c r="F367" i="23" s="1"/>
  <c r="D363" i="23"/>
  <c r="D367" i="23" s="1"/>
  <c r="E363" i="23"/>
  <c r="E367" i="23" s="1"/>
  <c r="G362" i="23"/>
  <c r="G366" i="23" s="1"/>
  <c r="F362" i="23"/>
  <c r="F366" i="23" s="1"/>
  <c r="E362" i="23"/>
  <c r="E366" i="23" s="1"/>
  <c r="D362" i="23"/>
  <c r="D366" i="23" s="1"/>
  <c r="Q36" i="13" l="1"/>
  <c r="Q35" i="13"/>
  <c r="Q34" i="13"/>
  <c r="N40" i="13"/>
  <c r="N39" i="13"/>
  <c r="O35" i="13"/>
  <c r="O36" i="13"/>
  <c r="O34" i="13"/>
  <c r="N38" i="13"/>
  <c r="N35" i="13"/>
  <c r="N36" i="13"/>
  <c r="N34" i="13"/>
  <c r="M35" i="13"/>
  <c r="M36" i="13"/>
  <c r="M34" i="13"/>
  <c r="L34" i="13"/>
  <c r="L35" i="13"/>
  <c r="L36" i="13"/>
  <c r="L33" i="13"/>
  <c r="K34" i="13"/>
  <c r="K35" i="13"/>
  <c r="K36" i="13"/>
  <c r="K33" i="13"/>
  <c r="J33" i="13"/>
  <c r="J34" i="13"/>
  <c r="J35" i="13"/>
  <c r="J36" i="13"/>
  <c r="I35" i="13"/>
  <c r="I36" i="13"/>
  <c r="I34" i="13"/>
  <c r="G36" i="13"/>
  <c r="G35" i="13"/>
  <c r="G34" i="13"/>
  <c r="G28" i="13"/>
  <c r="R3" i="13"/>
  <c r="S3" i="13"/>
  <c r="R4" i="13"/>
  <c r="S4" i="13"/>
  <c r="R5" i="13"/>
  <c r="S5" i="13"/>
  <c r="R6" i="13"/>
  <c r="S6" i="13"/>
  <c r="R7" i="13"/>
  <c r="S7" i="13"/>
  <c r="R8" i="13"/>
  <c r="S8" i="13"/>
  <c r="R9" i="13"/>
  <c r="S9" i="13"/>
  <c r="R10" i="13"/>
  <c r="S10" i="13"/>
  <c r="R11" i="13"/>
  <c r="S11" i="13"/>
  <c r="R12" i="13"/>
  <c r="S12" i="13"/>
  <c r="R13" i="13"/>
  <c r="S13" i="13"/>
  <c r="R14" i="13"/>
  <c r="S14" i="13"/>
  <c r="R15" i="13"/>
  <c r="S15" i="13"/>
  <c r="R16" i="13"/>
  <c r="S16" i="13"/>
  <c r="R17" i="13"/>
  <c r="S17" i="13"/>
  <c r="R18" i="13"/>
  <c r="S18" i="13"/>
  <c r="R19" i="13"/>
  <c r="S19" i="13"/>
  <c r="R20" i="13"/>
  <c r="S20" i="13"/>
  <c r="R21" i="13"/>
  <c r="S21" i="13"/>
  <c r="S2" i="13"/>
  <c r="R2" i="13"/>
  <c r="I25" i="13"/>
  <c r="G25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I23" i="13"/>
  <c r="G23" i="13"/>
  <c r="G24" i="13" s="1"/>
  <c r="G26" i="13" s="1"/>
  <c r="M4" i="13"/>
  <c r="O4" i="13" s="1"/>
  <c r="M5" i="13"/>
  <c r="O5" i="13" s="1"/>
  <c r="L3" i="13"/>
  <c r="L4" i="13"/>
  <c r="L5" i="13"/>
  <c r="L6" i="13"/>
  <c r="M6" i="13" s="1"/>
  <c r="O6" i="13" s="1"/>
  <c r="L7" i="13"/>
  <c r="M7" i="13" s="1"/>
  <c r="O7" i="13" s="1"/>
  <c r="L8" i="13"/>
  <c r="M8" i="13" s="1"/>
  <c r="O8" i="13" s="1"/>
  <c r="L9" i="13"/>
  <c r="L10" i="13"/>
  <c r="L11" i="13"/>
  <c r="M11" i="13" s="1"/>
  <c r="O11" i="13" s="1"/>
  <c r="L12" i="13"/>
  <c r="M12" i="13" s="1"/>
  <c r="O12" i="13" s="1"/>
  <c r="L13" i="13"/>
  <c r="M13" i="13" s="1"/>
  <c r="O13" i="13" s="1"/>
  <c r="L14" i="13"/>
  <c r="L15" i="13"/>
  <c r="L16" i="13"/>
  <c r="L17" i="13"/>
  <c r="L18" i="13"/>
  <c r="L19" i="13"/>
  <c r="L20" i="13"/>
  <c r="M20" i="13" s="1"/>
  <c r="O20" i="13" s="1"/>
  <c r="L21" i="13"/>
  <c r="M21" i="13" s="1"/>
  <c r="O21" i="13" s="1"/>
  <c r="L2" i="13"/>
  <c r="O24" i="13" s="1"/>
  <c r="Q26" i="13"/>
  <c r="U7" i="13" s="1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K5" i="10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3" i="1"/>
  <c r="G3" i="1"/>
  <c r="M14" i="13" l="1"/>
  <c r="O14" i="13" s="1"/>
  <c r="M10" i="13"/>
  <c r="O10" i="13" s="1"/>
  <c r="I24" i="13"/>
  <c r="I26" i="13" s="1"/>
  <c r="J26" i="13" s="1"/>
  <c r="M9" i="13"/>
  <c r="O9" i="13" s="1"/>
  <c r="M3" i="13"/>
  <c r="O3" i="13" s="1"/>
  <c r="M2" i="13"/>
  <c r="O2" i="13" s="1"/>
  <c r="M17" i="13"/>
  <c r="O17" i="13" s="1"/>
  <c r="M16" i="13"/>
  <c r="O16" i="13" s="1"/>
  <c r="M19" i="13"/>
  <c r="O19" i="13" s="1"/>
  <c r="M18" i="13"/>
  <c r="O18" i="13" s="1"/>
  <c r="M15" i="13"/>
  <c r="O15" i="13" s="1"/>
  <c r="T10" i="13"/>
  <c r="T9" i="13"/>
  <c r="T8" i="13"/>
  <c r="U19" i="13"/>
  <c r="W18" i="13"/>
  <c r="V18" i="13"/>
  <c r="W13" i="13"/>
  <c r="V13" i="13"/>
  <c r="U13" i="13"/>
  <c r="V8" i="13"/>
  <c r="U8" i="13"/>
  <c r="W7" i="13"/>
  <c r="U3" i="13"/>
  <c r="W2" i="13"/>
  <c r="Q24" i="13"/>
  <c r="V2" i="13"/>
  <c r="Q23" i="13"/>
  <c r="T7" i="13"/>
  <c r="U18" i="13"/>
  <c r="W12" i="13"/>
  <c r="V7" i="13"/>
  <c r="U2" i="13"/>
  <c r="T21" i="13"/>
  <c r="T5" i="13"/>
  <c r="V17" i="13"/>
  <c r="U12" i="13"/>
  <c r="W6" i="13"/>
  <c r="T20" i="13"/>
  <c r="T4" i="13"/>
  <c r="U17" i="13"/>
  <c r="W11" i="13"/>
  <c r="V6" i="13"/>
  <c r="T19" i="13"/>
  <c r="T3" i="13"/>
  <c r="W16" i="13"/>
  <c r="V11" i="13"/>
  <c r="U6" i="13"/>
  <c r="T18" i="13"/>
  <c r="W21" i="13"/>
  <c r="V16" i="13"/>
  <c r="U11" i="13"/>
  <c r="W5" i="13"/>
  <c r="T17" i="13"/>
  <c r="V21" i="13"/>
  <c r="U16" i="13"/>
  <c r="W10" i="13"/>
  <c r="V5" i="13"/>
  <c r="T16" i="13"/>
  <c r="U21" i="13"/>
  <c r="W15" i="13"/>
  <c r="V10" i="13"/>
  <c r="U5" i="13"/>
  <c r="T15" i="13"/>
  <c r="W20" i="13"/>
  <c r="V15" i="13"/>
  <c r="U10" i="13"/>
  <c r="W4" i="13"/>
  <c r="T14" i="13"/>
  <c r="V20" i="13"/>
  <c r="U15" i="13"/>
  <c r="W9" i="13"/>
  <c r="V4" i="13"/>
  <c r="T13" i="13"/>
  <c r="U20" i="13"/>
  <c r="W14" i="13"/>
  <c r="V9" i="13"/>
  <c r="U4" i="13"/>
  <c r="T12" i="13"/>
  <c r="W19" i="13"/>
  <c r="V14" i="13"/>
  <c r="U9" i="13"/>
  <c r="W3" i="13"/>
  <c r="T11" i="13"/>
  <c r="V19" i="13"/>
  <c r="U14" i="13"/>
  <c r="W8" i="13"/>
  <c r="V3" i="13"/>
  <c r="T2" i="13"/>
  <c r="T6" i="13"/>
  <c r="W17" i="13"/>
  <c r="V12" i="13"/>
  <c r="O23" i="13" l="1"/>
  <c r="J28" i="13"/>
  <c r="T24" i="13"/>
  <c r="T23" i="13"/>
  <c r="M29" i="13" l="1"/>
  <c r="M2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80" authorId="0" shapeId="0" xr:uid="{D882E7D5-5561-4B56-9562-BA814FD4A7C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C380" authorId="0" shapeId="0" xr:uid="{E5EDA4A7-33A7-4152-837B-3D806F5B2076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  <comment ref="G380" authorId="0" shapeId="0" xr:uid="{8A3ED92A-3722-47F5-A153-BC48592050E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H380" authorId="0" shapeId="0" xr:uid="{32046901-C819-4186-9890-BC5531640074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80" authorId="0" shapeId="0" xr:uid="{1D1B903B-CCE4-4D7D-9FA4-E0D4A2E1D6F4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C380" authorId="0" shapeId="0" xr:uid="{CEFDF615-6939-40F6-8B79-8A47A7FC1659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  <comment ref="G380" authorId="0" shapeId="0" xr:uid="{D9C0073C-4836-4CC4-ABD9-277A6DBB9D3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H380" authorId="0" shapeId="0" xr:uid="{8E0335DA-D0C6-4214-8A43-65FB5F5E091E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</commentList>
</comments>
</file>

<file path=xl/sharedStrings.xml><?xml version="1.0" encoding="utf-8"?>
<sst xmlns="http://schemas.openxmlformats.org/spreadsheetml/2006/main" count="2434" uniqueCount="549">
  <si>
    <t>Reference Method</t>
  </si>
  <si>
    <t>Proposed Method</t>
  </si>
  <si>
    <t>Sample ID</t>
  </si>
  <si>
    <t>1st rep</t>
  </si>
  <si>
    <t>2nd rep</t>
  </si>
  <si>
    <t>X</t>
  </si>
  <si>
    <t>Y</t>
  </si>
  <si>
    <t>Equation </t>
  </si>
  <si>
    <t>Y = 57.23 + 0.9988 X</t>
  </si>
  <si>
    <t>Parameter </t>
  </si>
  <si>
    <t>Estimate</t>
  </si>
  <si>
    <t>Bootstrap 95% CI</t>
  </si>
  <si>
    <t>Intercept</t>
  </si>
  <si>
    <t>Slope</t>
  </si>
  <si>
    <t>Passing-Bablok - Analyse It</t>
  </si>
  <si>
    <t>Weighted Deming fit</t>
  </si>
  <si>
    <t>Y = 80.39 + 0.9949 X</t>
  </si>
  <si>
    <t>Variance ratio X/Y (λ) </t>
  </si>
  <si>
    <t>95% CI</t>
  </si>
  <si>
    <t>Jackknife SE</t>
  </si>
  <si>
    <t>Weighted Deming fit - Analyse It</t>
  </si>
  <si>
    <t>y</t>
  </si>
  <si>
    <t>x</t>
  </si>
  <si>
    <t>Passing-Bablok - mcr</t>
  </si>
  <si>
    <t>SE</t>
  </si>
  <si>
    <t>LCI</t>
  </si>
  <si>
    <t>UCI</t>
  </si>
  <si>
    <t>Weighted Deming - mcr</t>
  </si>
  <si>
    <t>NaN</t>
  </si>
  <si>
    <t>y = -0.4658 + 0.9941 x</t>
  </si>
  <si>
    <t>Passing-Bablok fit - Analyse It</t>
  </si>
  <si>
    <t>y = 1.148 + 0.9869 x</t>
  </si>
  <si>
    <t>WEIGHTED DEMING REGRESSION FIT:</t>
  </si>
  <si>
    <t xml:space="preserve">Intercept   </t>
  </si>
  <si>
    <t xml:space="preserve">Slope         </t>
  </si>
  <si>
    <t>Variance ratio</t>
  </si>
  <si>
    <t>y = 1.171 + 0.9869 x</t>
  </si>
  <si>
    <t>Attribute</t>
  </si>
  <si>
    <t>Range Address</t>
  </si>
  <si>
    <t>Description</t>
  </si>
  <si>
    <t>aps-abs</t>
  </si>
  <si>
    <t>J4</t>
  </si>
  <si>
    <t>aps-rel</t>
  </si>
  <si>
    <t>J6</t>
  </si>
  <si>
    <t>x-range</t>
  </si>
  <si>
    <t>O61:P160</t>
  </si>
  <si>
    <t>Results from the reference method</t>
  </si>
  <si>
    <t>y-range</t>
  </si>
  <si>
    <t>R61:S160</t>
  </si>
  <si>
    <t>Results from the comparison (new) method</t>
  </si>
  <si>
    <t>output-range</t>
  </si>
  <si>
    <t>C167</t>
  </si>
  <si>
    <t>Top left cell for writing the results of the regression analysis</t>
  </si>
  <si>
    <t>regression-method</t>
  </si>
  <si>
    <t>paba</t>
  </si>
  <si>
    <t>Default regression method. May be paba, deming, wdeming only.</t>
  </si>
  <si>
    <t>confidence-interval-method</t>
  </si>
  <si>
    <t>default</t>
  </si>
  <si>
    <t xml:space="preserve">Method for determining confidence interval. May be default or bootstrap only. </t>
  </si>
  <si>
    <t>use-calculated-error-ratio</t>
  </si>
  <si>
    <t>Only relevant for Deming or Weighted Deming regression. May be TRUE or FALSE</t>
  </si>
  <si>
    <t>error-ratio</t>
  </si>
  <si>
    <t>Error ratio to be used by Deming or Weighted Deming regression</t>
  </si>
  <si>
    <t>bland-altman-range</t>
  </si>
  <si>
    <t>N162:U175</t>
  </si>
  <si>
    <t>Range of cells over which the difference plot is placed</t>
  </si>
  <si>
    <t>scatter-plot-range</t>
  </si>
  <si>
    <t>N177:U190</t>
  </si>
  <si>
    <t>Range of cells over which the scatter plot is placed</t>
  </si>
  <si>
    <t>output-labels</t>
  </si>
  <si>
    <t>Whether to write the regression results with labels. May by TRUE or FALSE</t>
  </si>
  <si>
    <t>chart-data-range</t>
  </si>
  <si>
    <t>AP61</t>
  </si>
  <si>
    <t>Top left cell for writing data used to construct the chart. This should be some place out of the way.</t>
  </si>
  <si>
    <t>p-days-range</t>
  </si>
  <si>
    <t>B295:B319</t>
  </si>
  <si>
    <t>Range of cells containing the days attribute. Do not include the column header</t>
  </si>
  <si>
    <t>p-runs-range</t>
  </si>
  <si>
    <t>C295:C319</t>
  </si>
  <si>
    <t>Range of cells containing the runs attribute. Do not include the column header</t>
  </si>
  <si>
    <t>p-results-range</t>
  </si>
  <si>
    <t>D295:G319</t>
  </si>
  <si>
    <t>Range of cells containing the results of the precision study. Each level must be in a separate column</t>
  </si>
  <si>
    <t>p-output-range</t>
  </si>
  <si>
    <t>AD294</t>
  </si>
  <si>
    <t>Top left cell for writing the results of the imprecision analysis.</t>
  </si>
  <si>
    <t>import-aps</t>
  </si>
  <si>
    <t>Import APS values from spreadsheet</t>
  </si>
  <si>
    <t>Absolute APS specification or cell address</t>
  </si>
  <si>
    <t>Relative APS specification or cell address</t>
  </si>
  <si>
    <t>Imprecision Claim</t>
  </si>
  <si>
    <t>Level 1</t>
  </si>
  <si>
    <t>Level 2</t>
  </si>
  <si>
    <t>Level 3</t>
  </si>
  <si>
    <t>Level 4</t>
  </si>
  <si>
    <t>Mean</t>
  </si>
  <si>
    <t>Repeatability CV</t>
  </si>
  <si>
    <t>Within lab CV</t>
  </si>
  <si>
    <t>Day</t>
  </si>
  <si>
    <t>Run</t>
  </si>
  <si>
    <t>Day 1</t>
  </si>
  <si>
    <t>Run 1</t>
  </si>
  <si>
    <t>Day 2</t>
  </si>
  <si>
    <t>Day 3</t>
  </si>
  <si>
    <t>Day 4</t>
  </si>
  <si>
    <t>Day 5</t>
  </si>
  <si>
    <t>Run 2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</si>
  <si>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</si>
  <si>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</si>
  <si>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</si>
  <si>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</si>
  <si>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</si>
  <si>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</si>
  <si>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</si>
  <si>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</si>
  <si>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</si>
  <si>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</si>
  <si>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</si>
  <si>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</si>
  <si>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</si>
  <si>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</si>
  <si>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</si>
  <si>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SST</t>
  </si>
  <si>
    <t>SSA</t>
  </si>
  <si>
    <t>SSB</t>
  </si>
  <si>
    <t>SSE</t>
  </si>
  <si>
    <t>SSAB</t>
  </si>
  <si>
    <t>DF T</t>
  </si>
  <si>
    <t>DF A</t>
  </si>
  <si>
    <t>DF B</t>
  </si>
  <si>
    <t>DF AB</t>
  </si>
  <si>
    <t>DF E</t>
  </si>
  <si>
    <t>MSA</t>
  </si>
  <si>
    <t>MSB</t>
  </si>
  <si>
    <t>MSAB</t>
  </si>
  <si>
    <t>MSE</t>
  </si>
  <si>
    <t>F AB</t>
  </si>
  <si>
    <t>F A</t>
  </si>
  <si>
    <t>F B</t>
  </si>
  <si>
    <t>N</t>
  </si>
  <si>
    <t>Num A</t>
  </si>
  <si>
    <t>Num B</t>
  </si>
  <si>
    <t>Num E</t>
  </si>
  <si>
    <t>Var A</t>
  </si>
  <si>
    <t>Var AB</t>
  </si>
  <si>
    <t>Var E</t>
  </si>
  <si>
    <t>SD A</t>
  </si>
  <si>
    <t>SD AB</t>
  </si>
  <si>
    <t>SD E</t>
  </si>
  <si>
    <t>SD WL</t>
  </si>
  <si>
    <t>CV A</t>
  </si>
  <si>
    <t>CV AB</t>
  </si>
  <si>
    <t>CV E</t>
  </si>
  <si>
    <t>CV WL</t>
  </si>
  <si>
    <t>DF WL</t>
  </si>
  <si>
    <t>SD WL LCL</t>
  </si>
  <si>
    <t>SD WL UCL</t>
  </si>
  <si>
    <t>SD E LCL</t>
  </si>
  <si>
    <t>SD E UCL</t>
  </si>
  <si>
    <t>CV WL LCL</t>
  </si>
  <si>
    <t>CV WL UCL</t>
  </si>
  <si>
    <t>CV E LCL</t>
  </si>
  <si>
    <t>CV E UCL</t>
  </si>
  <si>
    <t>Simulation</t>
  </si>
  <si>
    <t>Repeatability</t>
  </si>
  <si>
    <t>Between run</t>
  </si>
  <si>
    <t>Between day</t>
  </si>
  <si>
    <t>Total</t>
  </si>
  <si>
    <t>v5.92</t>
  </si>
  <si>
    <t>20x2x2 A1:C81</t>
  </si>
  <si>
    <t>Filter: No filter</t>
  </si>
  <si>
    <t>Precision</t>
  </si>
  <si>
    <t> </t>
  </si>
  <si>
    <t>Repeatability
CV</t>
  </si>
  <si>
    <t>Repeatability
SD</t>
  </si>
  <si>
    <t>Within Laboratory
CV</t>
  </si>
  <si>
    <t>Within Laboratory
SD</t>
  </si>
  <si>
    <t xml:space="preserve"> </t>
  </si>
  <si>
    <t>Component </t>
  </si>
  <si>
    <t>% of Total</t>
  </si>
  <si>
    <t>CV</t>
  </si>
  <si>
    <t>SD</t>
  </si>
  <si>
    <t>Within Laboratory</t>
  </si>
  <si>
    <t>ANOVA</t>
  </si>
  <si>
    <t>Source </t>
  </si>
  <si>
    <t>SS</t>
  </si>
  <si>
    <t>DF</t>
  </si>
  <si>
    <t>MS</t>
  </si>
  <si>
    <t>Expected MS</t>
  </si>
  <si>
    <t>Error</t>
  </si>
  <si>
    <t>σ2Error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</si>
  <si>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</si>
  <si>
    <t>Level1</t>
  </si>
  <si>
    <t>MSA: Level1</t>
  </si>
  <si>
    <t>Last updated 16 September 2025 at 16:18 by Doug Chesher</t>
  </si>
  <si>
    <t>Exact / MLS
95% CI</t>
  </si>
  <si>
    <t>Between Run</t>
  </si>
  <si>
    <t>Within Day</t>
  </si>
  <si>
    <t>Between Day</t>
  </si>
  <si>
    <t>σ2Error + 2σ2Run(Day) + 4σ2Day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</si>
  <si>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  <r>
      <rPr>
        <sz val="10"/>
        <color theme="1"/>
        <rFont val="Calibri"/>
        <family val="2"/>
        <scheme val="minor"/>
      </rPr>
      <t xml:space="preserve"> + 4σ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Day</t>
    </r>
  </si>
  <si>
    <t>Run(Day)</t>
  </si>
  <si>
    <t>σ2Error + 2σ2Run(Day)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</si>
  <si>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</si>
  <si>
    <t>Result Variance Component Analysis:</t>
  </si>
  <si>
    <t>-----------------------------------</t>
  </si>
  <si>
    <t>Mean: 100.3899 (N = 80)</t>
  </si>
  <si>
    <t>Experimental Design: balanced  |  Method: ANOVA | * VC set to 0 | adapted MS used for total DF</t>
  </si>
  <si>
    <t>Name</t>
  </si>
  <si>
    <t>VC</t>
  </si>
  <si>
    <t>Day:Run</t>
  </si>
  <si>
    <t>Devsq Error</t>
  </si>
  <si>
    <t>dfE</t>
  </si>
  <si>
    <t>dfT</t>
  </si>
  <si>
    <t>Devsq Day</t>
  </si>
  <si>
    <t>Devsq Run</t>
  </si>
  <si>
    <t>Mean Day</t>
  </si>
  <si>
    <t>Mean Run</t>
  </si>
  <si>
    <t>n</t>
  </si>
  <si>
    <t>df</t>
  </si>
  <si>
    <t>Devsq total</t>
  </si>
  <si>
    <t>dfB</t>
  </si>
  <si>
    <t>dfA</t>
  </si>
  <si>
    <t>SSB(in A)</t>
  </si>
  <si>
    <t>Unbalanced Data</t>
  </si>
  <si>
    <t>Run (in day)</t>
  </si>
  <si>
    <t>nRep</t>
  </si>
  <si>
    <t>nRun</t>
  </si>
  <si>
    <t>nDay</t>
  </si>
  <si>
    <t>k_i</t>
  </si>
  <si>
    <t>num</t>
  </si>
  <si>
    <t>den</t>
  </si>
  <si>
    <t>df_wl</t>
  </si>
  <si>
    <t>EP05_A1</t>
  </si>
  <si>
    <t>c</t>
  </si>
  <si>
    <t>Days</t>
  </si>
  <si>
    <t>Runs</t>
  </si>
  <si>
    <t>Run 3</t>
  </si>
  <si>
    <t>D</t>
  </si>
  <si>
    <t>C</t>
  </si>
  <si>
    <t>B</t>
  </si>
  <si>
    <t>A</t>
  </si>
  <si>
    <t>Overall Agreement</t>
  </si>
  <si>
    <t>Expected Agreement</t>
  </si>
  <si>
    <t>Kappa</t>
  </si>
  <si>
    <t>SE(Kappa)</t>
  </si>
  <si>
    <t>LCL</t>
  </si>
  <si>
    <t>UCL</t>
  </si>
  <si>
    <t>concordance-output</t>
  </si>
  <si>
    <t>C176</t>
  </si>
  <si>
    <t>Top left cell for writing the results of the concordance analysis</t>
  </si>
  <si>
    <t>qx-range</t>
  </si>
  <si>
    <t>E61:E160</t>
  </si>
  <si>
    <t>Qualitative results from the reference method</t>
  </si>
  <si>
    <t>qy-range</t>
  </si>
  <si>
    <t>H61:H160</t>
  </si>
  <si>
    <t>Qualitative results from the comparison (new) method</t>
  </si>
  <si>
    <t>q-output-range</t>
  </si>
  <si>
    <t>SUMMARY</t>
  </si>
  <si>
    <t>Assay</t>
  </si>
  <si>
    <t>Units</t>
  </si>
  <si>
    <t>APS Absolute</t>
  </si>
  <si>
    <t>Soluble FMS Like Tyrosine Kinase 1</t>
  </si>
  <si>
    <t>Matrix</t>
  </si>
  <si>
    <t>APS Relative</t>
  </si>
  <si>
    <t>Serum</t>
  </si>
  <si>
    <t>Instrument/Device</t>
  </si>
  <si>
    <t>APS Cutoff</t>
  </si>
  <si>
    <t>Some manufacturer device</t>
  </si>
  <si>
    <t>Method principle</t>
  </si>
  <si>
    <t>Chemiluminescence</t>
  </si>
  <si>
    <t>IFU Insert Version</t>
  </si>
  <si>
    <t>Evaluation Period</t>
  </si>
  <si>
    <t>12/11/2023</t>
  </si>
  <si>
    <t>Evaluation Completed By</t>
  </si>
  <si>
    <t>Comments and Assessment</t>
  </si>
  <si>
    <t>Decision</t>
  </si>
  <si>
    <t>Approved By</t>
  </si>
  <si>
    <t>Approval Date</t>
  </si>
  <si>
    <t>Commencement Date</t>
  </si>
  <si>
    <t>COMARISON USING PATIENT SAMPLES</t>
  </si>
  <si>
    <t>Reference Method Instrument/Device</t>
  </si>
  <si>
    <t>Reference Method Principle</t>
  </si>
  <si>
    <t>Reference Method IFU Version</t>
  </si>
  <si>
    <t>Diagnostic Cutoff for Concordance Assessment (Enter up to 4)</t>
  </si>
  <si>
    <t>Reference Thresholds</t>
  </si>
  <si>
    <t>Proposed Thresholds</t>
  </si>
  <si>
    <t>Reagent Lot No.</t>
  </si>
  <si>
    <t>Calibrator Lot No.</t>
  </si>
  <si>
    <t>Operator</t>
  </si>
  <si>
    <t>Inclusion</t>
  </si>
  <si>
    <t>Comment</t>
  </si>
  <si>
    <t>X R1</t>
  </si>
  <si>
    <t>X R2</t>
  </si>
  <si>
    <t>Mean X</t>
  </si>
  <si>
    <t>Y R1</t>
  </si>
  <si>
    <t>Y R2</t>
  </si>
  <si>
    <t>Mean Y</t>
  </si>
  <si>
    <t>JS</t>
  </si>
  <si>
    <t>INCLUDE</t>
  </si>
  <si>
    <t>Relative Difference</t>
  </si>
  <si>
    <t>Pearson Correlation Coefficient (R)</t>
  </si>
  <si>
    <t>Coefficient of Determination (R^2)</t>
  </si>
  <si>
    <t>Passing-Bablock Regression</t>
  </si>
  <si>
    <t>Bootstrap CI</t>
  </si>
  <si>
    <t>Coefficents</t>
  </si>
  <si>
    <t>Concordance</t>
  </si>
  <si>
    <t>n x n concordance table</t>
  </si>
  <si>
    <t>&lt;2000</t>
  </si>
  <si>
    <t>≥2000-&lt;4000</t>
  </si>
  <si>
    <t>≥4000-&lt;6000</t>
  </si>
  <si>
    <t>TRUENESS ASSESSED USING STANDARD MATERIALS</t>
  </si>
  <si>
    <t>Trueness verification based on RCPAQAP material</t>
  </si>
  <si>
    <t>EQA Program Name</t>
  </si>
  <si>
    <t>Date of Analysis</t>
  </si>
  <si>
    <t>Operator ID</t>
  </si>
  <si>
    <t>Reagent Lot No</t>
  </si>
  <si>
    <t>Calibrator Lot No</t>
  </si>
  <si>
    <r>
      <t>ENTER</t>
    </r>
    <r>
      <rPr>
        <b/>
        <sz val="12"/>
        <rFont val="Calibri"/>
        <family val="2"/>
      </rPr>
      <t xml:space="preserve"> below  MIMIMUM of 6 and MAXIMUM of 8 levels in single or replicate values for test method</t>
    </r>
  </si>
  <si>
    <t>Calculations</t>
  </si>
  <si>
    <t>Trueness using RCPAQAP materials</t>
  </si>
  <si>
    <t>Cut-off Values  in reportable units</t>
  </si>
  <si>
    <t>Global Target</t>
  </si>
  <si>
    <t>Method Group Median</t>
  </si>
  <si>
    <t>First Replicate</t>
  </si>
  <si>
    <t>Second Replicate</t>
  </si>
  <si>
    <t>Trueness</t>
  </si>
  <si>
    <r>
      <t>sd (s</t>
    </r>
    <r>
      <rPr>
        <b/>
        <vertAlign val="subscript"/>
        <sz val="12"/>
        <rFont val="Calibri"/>
        <family val="2"/>
      </rPr>
      <t>x</t>
    </r>
    <r>
      <rPr>
        <b/>
        <sz val="12"/>
        <rFont val="Calibri"/>
        <family val="2"/>
      </rPr>
      <t>)</t>
    </r>
  </si>
  <si>
    <r>
      <t>s</t>
    </r>
    <r>
      <rPr>
        <b/>
        <vertAlign val="superscript"/>
        <sz val="12"/>
        <rFont val="Calibri"/>
        <family val="2"/>
      </rPr>
      <t>2</t>
    </r>
    <r>
      <rPr>
        <b/>
        <vertAlign val="subscript"/>
        <sz val="12"/>
        <rFont val="Calibri"/>
        <family val="2"/>
      </rPr>
      <t>x</t>
    </r>
  </si>
  <si>
    <t>Bias</t>
  </si>
  <si>
    <t>%Bias</t>
  </si>
  <si>
    <t>High cut off</t>
  </si>
  <si>
    <t>Low cut off</t>
  </si>
  <si>
    <t>23-08</t>
  </si>
  <si>
    <t>23-09</t>
  </si>
  <si>
    <t>23-10</t>
  </si>
  <si>
    <t>23-11</t>
  </si>
  <si>
    <t>23-12</t>
  </si>
  <si>
    <t>23-13</t>
  </si>
  <si>
    <t>23-14</t>
  </si>
  <si>
    <t>23-15</t>
  </si>
  <si>
    <t>Method Group Median CV from EQA Program</t>
  </si>
  <si>
    <t>Number of labs in EQA Method Group</t>
  </si>
  <si>
    <t>Std Err of method (sa)</t>
  </si>
  <si>
    <t>Number of samples tested</t>
  </si>
  <si>
    <t>Number of replicates</t>
  </si>
  <si>
    <t>Trueness verification based on other reference materials</t>
  </si>
  <si>
    <t xml:space="preserve">Trueness is verified if the TEST method gives results that fall within the calculated lower and upper verification limits. </t>
  </si>
  <si>
    <t xml:space="preserve">This form of verification should be used if (1) the two methods are substantially different e.g. the test method uses a different </t>
  </si>
  <si>
    <t>analytical principle to the reference method, or (2) the manufacturer has not provided relevant bias information, or (3) an</t>
  </si>
  <si>
    <t xml:space="preserve">EQA program does not exist that can be used for trueness verification, or (4) alternative reference materials suitable for </t>
  </si>
  <si>
    <t xml:space="preserve">trueness verification are available e.g. calibrator materials from different batch numbers.  The default minimum acceptable </t>
  </si>
  <si>
    <t>imprecision is as published by RCPAQAP.</t>
  </si>
  <si>
    <t>Name of Material Tested</t>
  </si>
  <si>
    <r>
      <t>ENTER</t>
    </r>
    <r>
      <rPr>
        <b/>
        <sz val="12"/>
        <rFont val="Calibri"/>
        <family val="2"/>
      </rPr>
      <t xml:space="preserve"> below  MIMIMUM of 3 different batches of calibrators</t>
    </r>
  </si>
  <si>
    <t>ID</t>
  </si>
  <si>
    <t>Target Value</t>
  </si>
  <si>
    <t>Third Replicate</t>
  </si>
  <si>
    <t>Strict</t>
  </si>
  <si>
    <t>t-test</t>
  </si>
  <si>
    <t>Abs Bias</t>
  </si>
  <si>
    <t>Bias CI Lower</t>
  </si>
  <si>
    <t>Bias CI Upper</t>
  </si>
  <si>
    <t>Max Bias</t>
  </si>
  <si>
    <t>Allowable bias</t>
  </si>
  <si>
    <t>Alpha</t>
  </si>
  <si>
    <t>PRECISION</t>
  </si>
  <si>
    <t>Material Used</t>
  </si>
  <si>
    <t>Material Lot No.</t>
  </si>
  <si>
    <t>Claimed Imprecision</t>
  </si>
  <si>
    <r>
      <t>ENTER</t>
    </r>
    <r>
      <rPr>
        <b/>
        <sz val="12"/>
        <rFont val="Calibri"/>
        <family val="2"/>
      </rPr>
      <t xml:space="preserve"> </t>
    </r>
    <r>
      <rPr>
        <b/>
        <u/>
        <sz val="12"/>
        <rFont val="Calibri"/>
        <family val="2"/>
      </rPr>
      <t>up to 5 values</t>
    </r>
    <r>
      <rPr>
        <b/>
        <sz val="12"/>
        <rFont val="Calibri"/>
        <family val="2"/>
      </rPr>
      <t xml:space="preserve"> per day for each level</t>
    </r>
  </si>
  <si>
    <t>SS Total</t>
  </si>
  <si>
    <t>DF Total</t>
  </si>
  <si>
    <t>DF Error</t>
  </si>
  <si>
    <t>MST</t>
  </si>
  <si>
    <t>F</t>
  </si>
  <si>
    <t>P</t>
  </si>
  <si>
    <t>Sum GrpN2</t>
  </si>
  <si>
    <t>Var Error</t>
  </si>
  <si>
    <t>Var B</t>
  </si>
  <si>
    <t>SD Error</t>
  </si>
  <si>
    <t>CV Error</t>
  </si>
  <si>
    <t>SD B</t>
  </si>
  <si>
    <t>CV B</t>
  </si>
  <si>
    <t>ChiSq E</t>
  </si>
  <si>
    <t>ChiSq WL</t>
  </si>
  <si>
    <t>F Error</t>
  </si>
  <si>
    <t>F WL</t>
  </si>
  <si>
    <t>Within lab</t>
  </si>
  <si>
    <t>Between day CV</t>
  </si>
  <si>
    <t>Upper Verification Limits</t>
  </si>
  <si>
    <t>Repeatability UVL</t>
  </si>
  <si>
    <t>Within lab UVL</t>
  </si>
  <si>
    <t>Comparison to Claim</t>
  </si>
  <si>
    <t>Within Lab Precision</t>
  </si>
  <si>
    <t>Assay Capability</t>
  </si>
  <si>
    <t>RCPA APS</t>
  </si>
  <si>
    <t>Capability (σ)</t>
  </si>
  <si>
    <t>Acceptability</t>
  </si>
  <si>
    <t>Comparison to Biological Variation APS</t>
  </si>
  <si>
    <t xml:space="preserve">CVi </t>
  </si>
  <si>
    <t>Specification</t>
  </si>
  <si>
    <t xml:space="preserve">CVg </t>
  </si>
  <si>
    <t>Imprecision</t>
  </si>
  <si>
    <t>Required Category</t>
  </si>
  <si>
    <t>Desirable</t>
  </si>
  <si>
    <t>alpha</t>
  </si>
  <si>
    <t>Total Error</t>
  </si>
  <si>
    <t>Imprecision Verification Result</t>
  </si>
  <si>
    <t>REFERENCE INTERVALS</t>
  </si>
  <si>
    <t>Reference Intervals that will be used</t>
  </si>
  <si>
    <t>Reference Interval Verification</t>
  </si>
  <si>
    <t>LRL</t>
  </si>
  <si>
    <t>URL</t>
  </si>
  <si>
    <t>Result</t>
  </si>
  <si>
    <t>Test 1</t>
  </si>
  <si>
    <t>T1</t>
  </si>
  <si>
    <t>Test 2</t>
  </si>
  <si>
    <t>T2</t>
  </si>
  <si>
    <t>Test 3</t>
  </si>
  <si>
    <t>T3</t>
  </si>
  <si>
    <t>Test 4</t>
  </si>
  <si>
    <t>T4</t>
  </si>
  <si>
    <t>Test 5</t>
  </si>
  <si>
    <t>T5</t>
  </si>
  <si>
    <t>Test 6</t>
  </si>
  <si>
    <t>T6</t>
  </si>
  <si>
    <t>Test 7</t>
  </si>
  <si>
    <t>T7</t>
  </si>
  <si>
    <t>Test 8</t>
  </si>
  <si>
    <t>T8</t>
  </si>
  <si>
    <t>Test 9</t>
  </si>
  <si>
    <t>T9</t>
  </si>
  <si>
    <t>Test 10</t>
  </si>
  <si>
    <t>T10</t>
  </si>
  <si>
    <t>Test 11</t>
  </si>
  <si>
    <t>T11</t>
  </si>
  <si>
    <t>Test 12</t>
  </si>
  <si>
    <t>T12</t>
  </si>
  <si>
    <t>Test 13</t>
  </si>
  <si>
    <t>T13</t>
  </si>
  <si>
    <t>Test 14</t>
  </si>
  <si>
    <t>T14</t>
  </si>
  <si>
    <t>Test 15</t>
  </si>
  <si>
    <t>T15</t>
  </si>
  <si>
    <t>Test 16</t>
  </si>
  <si>
    <t>T16</t>
  </si>
  <si>
    <t>Test 17</t>
  </si>
  <si>
    <t>T17</t>
  </si>
  <si>
    <t>Test 18</t>
  </si>
  <si>
    <t>T18</t>
  </si>
  <si>
    <t>Test 19</t>
  </si>
  <si>
    <t>T19</t>
  </si>
  <si>
    <t>Test 20</t>
  </si>
  <si>
    <t>T20</t>
  </si>
  <si>
    <t>Test 21</t>
  </si>
  <si>
    <t>T21</t>
  </si>
  <si>
    <t>Test 22</t>
  </si>
  <si>
    <t>T22</t>
  </si>
  <si>
    <t>Test 23</t>
  </si>
  <si>
    <t>T23</t>
  </si>
  <si>
    <t>Test 24</t>
  </si>
  <si>
    <t>T24</t>
  </si>
  <si>
    <t>Test 25</t>
  </si>
  <si>
    <t>T25</t>
  </si>
  <si>
    <t>Test 26</t>
  </si>
  <si>
    <t>T26</t>
  </si>
  <si>
    <t>Test 27</t>
  </si>
  <si>
    <t>T27</t>
  </si>
  <si>
    <t>Test 28</t>
  </si>
  <si>
    <t>T28</t>
  </si>
  <si>
    <t>Test 29</t>
  </si>
  <si>
    <t>T29</t>
  </si>
  <si>
    <t>Test 30</t>
  </si>
  <si>
    <t>T30</t>
  </si>
  <si>
    <t>Test 31</t>
  </si>
  <si>
    <t>T31</t>
  </si>
  <si>
    <t>Test 32</t>
  </si>
  <si>
    <t>T32</t>
  </si>
  <si>
    <t>Test 33</t>
  </si>
  <si>
    <t>T33</t>
  </si>
  <si>
    <t>Test 34</t>
  </si>
  <si>
    <t>T34</t>
  </si>
  <si>
    <t>Test 35</t>
  </si>
  <si>
    <t>T35</t>
  </si>
  <si>
    <t>Test 36</t>
  </si>
  <si>
    <t>T36</t>
  </si>
  <si>
    <t>Test 37</t>
  </si>
  <si>
    <t>T37</t>
  </si>
  <si>
    <t>Test 38</t>
  </si>
  <si>
    <t>T38</t>
  </si>
  <si>
    <t>Test 39</t>
  </si>
  <si>
    <t>T39</t>
  </si>
  <si>
    <t>Test 40</t>
  </si>
  <si>
    <t>T40</t>
  </si>
  <si>
    <t>Reference interval verification</t>
  </si>
  <si>
    <t>Outliers</t>
  </si>
  <si>
    <t>p</t>
  </si>
  <si>
    <t>LIMIT OF BLANK, DETECTION, QUANTITATION</t>
  </si>
  <si>
    <t>Date of analysis</t>
  </si>
  <si>
    <t>Limit of Blank (LoB)</t>
  </si>
  <si>
    <r>
      <t>ENTER</t>
    </r>
    <r>
      <rPr>
        <b/>
        <sz val="12"/>
        <rFont val="Calibri"/>
        <family val="2"/>
      </rPr>
      <t xml:space="preserve"> the LoB claim</t>
    </r>
  </si>
  <si>
    <r>
      <t>ENTER</t>
    </r>
    <r>
      <rPr>
        <b/>
        <sz val="12"/>
        <rFont val="Calibri"/>
        <family val="2"/>
      </rPr>
      <t xml:space="preserve"> min of 2 replicates, of min 2 blank samples, of min 3 days, for min of 20 values</t>
    </r>
  </si>
  <si>
    <t>Bounds for observed proportion of results relative to a detection capability claim</t>
  </si>
  <si>
    <t>Values ≤ LoB claim</t>
  </si>
  <si>
    <t>Date</t>
  </si>
  <si>
    <t>Sample 1</t>
  </si>
  <si>
    <t>Sample 2</t>
  </si>
  <si>
    <t>Sample 3</t>
  </si>
  <si>
    <t>Total number of measurements (n)</t>
  </si>
  <si>
    <t xml:space="preserve">% Observed proportion boundary </t>
  </si>
  <si>
    <t>n &lt;= LoB claim</t>
  </si>
  <si>
    <t>% n&lt;= LoB claim</t>
  </si>
  <si>
    <t>%</t>
  </si>
  <si>
    <t>Total number of values</t>
  </si>
  <si>
    <t>Min Req</t>
  </si>
  <si>
    <t>mean of blank</t>
  </si>
  <si>
    <t>% Min Req</t>
  </si>
  <si>
    <t>SD of blank</t>
  </si>
  <si>
    <t>Limit of blank (LoB)</t>
  </si>
  <si>
    <t>C_beta</t>
  </si>
  <si>
    <t>Limit of Detection (LoD)</t>
  </si>
  <si>
    <r>
      <t>ENTER</t>
    </r>
    <r>
      <rPr>
        <b/>
        <sz val="12"/>
        <rFont val="Calibri"/>
        <family val="2"/>
      </rPr>
      <t xml:space="preserve"> the LoD claim</t>
    </r>
  </si>
  <si>
    <t>Values ≥ LoB claim</t>
  </si>
  <si>
    <t>ENTER min of 2 replicates, of min 2 LoD claim samples, of min 3 days, for min of 20 values</t>
  </si>
  <si>
    <t>Selected samples should have a concentration at the claimed LoD</t>
  </si>
  <si>
    <t>n &gt;=LoB claim</t>
  </si>
  <si>
    <t>% n &gt;= LoB claim</t>
  </si>
  <si>
    <t>Sample SD</t>
  </si>
  <si>
    <t>Pooled SD</t>
  </si>
  <si>
    <t>Limit of Detection</t>
  </si>
  <si>
    <t>Limit of Quantitaion (LoQ)</t>
  </si>
  <si>
    <r>
      <t>Enter</t>
    </r>
    <r>
      <rPr>
        <b/>
        <sz val="12"/>
        <rFont val="Calibri"/>
        <family val="2"/>
      </rPr>
      <t xml:space="preserve"> the LoQ claim</t>
    </r>
  </si>
  <si>
    <t>ENTER min of 2 replicates, of min 2 LoQ claim samples, of min 3 days, for min of 20 values</t>
  </si>
  <si>
    <t>% difference from means</t>
  </si>
  <si>
    <t xml:space="preserve">Day </t>
  </si>
  <si>
    <t>Values &lt; TEa</t>
  </si>
  <si>
    <t>% difference calculations</t>
  </si>
  <si>
    <t>Sample mean</t>
  </si>
  <si>
    <t>n &gt;= TEa</t>
  </si>
  <si>
    <t>% n &gt;= TEa</t>
  </si>
  <si>
    <t>Sample CV</t>
  </si>
  <si>
    <t>Total number of samples</t>
  </si>
  <si>
    <t>Grand Mean</t>
  </si>
  <si>
    <t>TEa</t>
  </si>
  <si>
    <t>Non-parametric CI</t>
  </si>
  <si>
    <t>≥6000-&lt;10000</t>
  </si>
  <si>
    <t>≥10000</t>
  </si>
  <si>
    <t>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</si>
</sst>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m/d/yyyy"/>
    <numFmt numFmtId="166" formatCode="0.0%"/>
    <numFmt numFmtId="167" formatCode="0.000000000"/>
    <numFmt numFmtId="168" formatCode="\t\o\ 0.0%;\t\o\ \-0.0%;\t\o\ @"/>
    <numFmt numFmtId="169" formatCode="0.000000E+00"/>
    <numFmt numFmtId="170" formatCode="0.00000"/>
    <numFmt numFmtId="171" formatCode="0.0000"/>
    <numFmt numFmtId="172" formatCode="0.0000%"/>
    <numFmt numFmtId="173" formatCode="0.000"/>
    <numFmt numFmtId="174" formatCode="d/m/yy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sz val="11"/>
      <color theme="1"/>
      <name val="Calibri"/>
      <family val="2"/>
      <scheme val="minor"/>
    </font>
    <font>
      <sz val="6"/>
      <color rgb="FFA6A6A6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b/>
      <sz val="10.5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</font>
    <font>
      <sz val="12"/>
      <color theme="0" tint="-4.9989318521683403E-2"/>
      <name val="Calibri"/>
      <family val="2"/>
    </font>
    <font>
      <sz val="11"/>
      <color theme="1"/>
      <name val="Calibri"/>
      <family val="2"/>
      <charset val="1"/>
    </font>
    <font>
      <u/>
      <sz val="10"/>
      <color theme="10"/>
      <name val="Arial"/>
      <family val="2"/>
      <charset val="1"/>
    </font>
    <font>
      <b/>
      <sz val="12"/>
      <color theme="3" tint="0.39997558519241921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sz val="10"/>
      <name val="Arial"/>
      <family val="2"/>
      <charset val="1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rgb="FFEBF1DE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808080"/>
      </bottom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 style="thin">
        <color rgb="FF808080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/>
    <xf numFmtId="9" fontId="5" fillId="0" borderId="0" applyFont="0" applyFill="0" applyBorder="0" applyAlignment="0" applyProtection="0"/>
    <xf numFmtId="0" fontId="18" fillId="0" borderId="0"/>
    <xf numFmtId="9" fontId="1" fillId="0" borderId="0" applyBorder="0" applyProtection="0"/>
    <xf numFmtId="0" fontId="19" fillId="0" borderId="0" applyBorder="0" applyProtection="0"/>
    <xf numFmtId="0" fontId="18" fillId="0" borderId="0"/>
    <xf numFmtId="0" fontId="1" fillId="5" borderId="18" applyProtection="0"/>
    <xf numFmtId="0" fontId="23" fillId="0" borderId="0"/>
  </cellStyleXfs>
  <cellXfs count="32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0" borderId="0" xfId="1" applyFont="1"/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0" xfId="1" applyFont="1" applyAlignment="1">
      <alignment horizontal="right"/>
    </xf>
    <xf numFmtId="10" fontId="2" fillId="0" borderId="2" xfId="1" applyNumberFormat="1" applyFont="1" applyBorder="1" applyAlignment="1" applyProtection="1">
      <alignment horizontal="center" vertical="center"/>
      <protection locked="0"/>
    </xf>
    <xf numFmtId="0" fontId="4" fillId="0" borderId="4" xfId="1" applyFont="1" applyBorder="1" applyAlignment="1">
      <alignment vertical="center"/>
    </xf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vertical="center"/>
    </xf>
    <xf numFmtId="165" fontId="2" fillId="0" borderId="2" xfId="1" applyNumberFormat="1" applyFont="1" applyBorder="1" applyAlignment="1" applyProtection="1">
      <alignment vertical="center"/>
      <protection locked="0"/>
    </xf>
    <xf numFmtId="166" fontId="0" fillId="0" borderId="0" xfId="0" applyNumberFormat="1"/>
    <xf numFmtId="166" fontId="0" fillId="0" borderId="0" xfId="2" applyNumberFormat="1" applyFont="1"/>
    <xf numFmtId="0" fontId="0" fillId="0" borderId="0" xfId="0" applyAlignment="1">
      <alignment vertical="center"/>
    </xf>
    <xf numFmtId="0" fontId="8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quotePrefix="1" applyFont="1" applyFill="1" applyAlignment="1">
      <alignment horizontal="right" vertical="center"/>
    </xf>
    <xf numFmtId="0" fontId="9" fillId="2" borderId="0" xfId="0" quotePrefix="1" applyFont="1" applyFill="1" applyAlignment="1">
      <alignment vertical="center"/>
    </xf>
    <xf numFmtId="0" fontId="0" fillId="2" borderId="5" xfId="0" applyFill="1" applyBorder="1" applyAlignment="1">
      <alignment vertical="center"/>
    </xf>
    <xf numFmtId="0" fontId="10" fillId="0" borderId="6" xfId="0" quotePrefix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7" xfId="0" quotePrefix="1" applyFont="1" applyBorder="1" applyAlignment="1">
      <alignment horizontal="right" wrapText="1"/>
    </xf>
    <xf numFmtId="0" fontId="11" fillId="0" borderId="7" xfId="0" quotePrefix="1" applyFont="1" applyBorder="1" applyAlignment="1">
      <alignment horizontal="centerContinuous" wrapText="1"/>
    </xf>
    <xf numFmtId="0" fontId="11" fillId="0" borderId="8" xfId="0" quotePrefix="1" applyFont="1" applyBorder="1" applyAlignment="1">
      <alignment horizontal="centerContinuous" wrapText="1"/>
    </xf>
    <xf numFmtId="0" fontId="11" fillId="0" borderId="10" xfId="0" quotePrefix="1" applyFont="1" applyBorder="1" applyAlignment="1">
      <alignment horizontal="centerContinuous" wrapText="1"/>
    </xf>
    <xf numFmtId="0" fontId="11" fillId="0" borderId="12" xfId="0" quotePrefix="1" applyFont="1" applyBorder="1" applyAlignment="1">
      <alignment horizontal="centerContinuous" wrapText="1"/>
    </xf>
    <xf numFmtId="0" fontId="8" fillId="0" borderId="1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166" fontId="8" fillId="0" borderId="13" xfId="0" applyNumberFormat="1" applyFont="1" applyBorder="1" applyAlignment="1">
      <alignment horizontal="right" vertical="center"/>
    </xf>
    <xf numFmtId="167" fontId="8" fillId="0" borderId="1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7" fontId="8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vertical="center"/>
    </xf>
    <xf numFmtId="0" fontId="11" fillId="0" borderId="7" xfId="0" applyFont="1" applyBorder="1" applyAlignment="1">
      <alignment horizontal="centerContinuous" wrapText="1"/>
    </xf>
    <xf numFmtId="0" fontId="11" fillId="0" borderId="14" xfId="0" applyFont="1" applyBorder="1" applyAlignment="1">
      <alignment horizontal="centerContinuous" wrapText="1"/>
    </xf>
    <xf numFmtId="0" fontId="8" fillId="0" borderId="15" xfId="0" applyFont="1" applyBorder="1" applyAlignment="1">
      <alignment horizontal="left" vertical="center"/>
    </xf>
    <xf numFmtId="0" fontId="8" fillId="0" borderId="0" xfId="0" quotePrefix="1" applyFont="1" applyAlignment="1">
      <alignment horizontal="right" vertical="center"/>
    </xf>
    <xf numFmtId="0" fontId="8" fillId="0" borderId="0" xfId="0" quotePrefix="1" applyFont="1" applyAlignment="1">
      <alignment horizontal="right" vertical="center" wrapText="1"/>
    </xf>
    <xf numFmtId="166" fontId="8" fillId="0" borderId="9" xfId="0" applyNumberFormat="1" applyFont="1" applyBorder="1" applyAlignment="1">
      <alignment horizontal="right" vertical="center"/>
    </xf>
    <xf numFmtId="168" fontId="8" fillId="0" borderId="1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169" fontId="8" fillId="0" borderId="9" xfId="0" applyNumberFormat="1" applyFont="1" applyBorder="1" applyAlignment="1">
      <alignment horizontal="right" vertical="center"/>
    </xf>
    <xf numFmtId="1" fontId="8" fillId="0" borderId="1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71" fontId="8" fillId="0" borderId="9" xfId="0" applyNumberFormat="1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right" vertical="center"/>
    </xf>
    <xf numFmtId="170" fontId="8" fillId="0" borderId="11" xfId="0" applyNumberFormat="1" applyFont="1" applyBorder="1" applyAlignment="1">
      <alignment horizontal="right" vertical="center"/>
    </xf>
    <xf numFmtId="0" fontId="11" fillId="0" borderId="8" xfId="0" quotePrefix="1" applyFont="1" applyBorder="1" applyAlignment="1">
      <alignment horizontal="center" wrapText="1"/>
    </xf>
    <xf numFmtId="0" fontId="11" fillId="0" borderId="12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right"/>
    </xf>
    <xf numFmtId="0" fontId="11" fillId="0" borderId="8" xfId="0" quotePrefix="1" applyFont="1" applyBorder="1" applyAlignment="1">
      <alignment horizontal="center"/>
    </xf>
    <xf numFmtId="0" fontId="11" fillId="0" borderId="12" xfId="0" quotePrefix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7" xfId="0" quotePrefix="1" applyFont="1" applyBorder="1" applyAlignment="1">
      <alignment horizontal="center"/>
    </xf>
    <xf numFmtId="0" fontId="11" fillId="0" borderId="10" xfId="0" quotePrefix="1" applyFont="1" applyBorder="1" applyAlignment="1">
      <alignment horizontal="center" wrapText="1"/>
    </xf>
    <xf numFmtId="0" fontId="11" fillId="0" borderId="8" xfId="0" quotePrefix="1" applyFont="1" applyBorder="1" applyAlignment="1">
      <alignment horizontal="centerContinuous"/>
    </xf>
    <xf numFmtId="0" fontId="11" fillId="0" borderId="12" xfId="0" quotePrefix="1" applyFont="1" applyBorder="1" applyAlignment="1">
      <alignment horizontal="centerContinuous"/>
    </xf>
    <xf numFmtId="0" fontId="11" fillId="0" borderId="10" xfId="0" quotePrefix="1" applyFont="1" applyBorder="1" applyAlignment="1">
      <alignment horizontal="centerContinuous"/>
    </xf>
    <xf numFmtId="0" fontId="11" fillId="0" borderId="7" xfId="0" quotePrefix="1" applyFont="1" applyBorder="1" applyAlignment="1">
      <alignment horizontal="centerContinuous"/>
    </xf>
    <xf numFmtId="170" fontId="8" fillId="0" borderId="1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0" fontId="11" fillId="0" borderId="7" xfId="0" applyFont="1" applyBorder="1" applyAlignment="1">
      <alignment horizontal="center" wrapText="1"/>
    </xf>
    <xf numFmtId="0" fontId="8" fillId="0" borderId="16" xfId="0" quotePrefix="1" applyFont="1" applyBorder="1" applyAlignment="1">
      <alignment horizontal="left" vertical="center"/>
    </xf>
    <xf numFmtId="172" fontId="0" fillId="0" borderId="0" xfId="2" applyNumberFormat="1" applyFont="1"/>
    <xf numFmtId="0" fontId="16" fillId="3" borderId="0" xfId="1" applyFont="1" applyFill="1" applyAlignment="1">
      <alignment horizontal="left" vertical="center"/>
    </xf>
    <xf numFmtId="0" fontId="16" fillId="3" borderId="0" xfId="1" applyFont="1" applyFill="1" applyAlignment="1">
      <alignment horizontal="center" vertical="center"/>
    </xf>
    <xf numFmtId="0" fontId="17" fillId="3" borderId="0" xfId="1" applyFont="1" applyFill="1"/>
    <xf numFmtId="0" fontId="3" fillId="0" borderId="0" xfId="1" applyFont="1"/>
    <xf numFmtId="0" fontId="3" fillId="0" borderId="0" xfId="1" applyFont="1" applyAlignment="1">
      <alignment horizontal="left"/>
    </xf>
    <xf numFmtId="0" fontId="2" fillId="0" borderId="0" xfId="3" applyFont="1"/>
    <xf numFmtId="0" fontId="3" fillId="0" borderId="0" xfId="3" applyFont="1" applyAlignment="1">
      <alignment horizontal="left"/>
    </xf>
    <xf numFmtId="0" fontId="2" fillId="0" borderId="2" xfId="1" applyFont="1" applyBorder="1" applyAlignment="1">
      <alignment horizontal="left" vertical="center"/>
    </xf>
    <xf numFmtId="0" fontId="2" fillId="0" borderId="0" xfId="3" applyFont="1" applyAlignment="1">
      <alignment horizontal="right"/>
    </xf>
    <xf numFmtId="0" fontId="2" fillId="0" borderId="2" xfId="3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 applyAlignment="1" applyProtection="1">
      <alignment horizontal="left" vertical="center"/>
      <protection locked="0"/>
    </xf>
    <xf numFmtId="166" fontId="2" fillId="0" borderId="2" xfId="4" applyNumberFormat="1" applyFont="1" applyBorder="1" applyAlignment="1" applyProtection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1" fontId="2" fillId="0" borderId="0" xfId="1" applyNumberFormat="1" applyFont="1"/>
    <xf numFmtId="49" fontId="3" fillId="0" borderId="0" xfId="3" applyNumberFormat="1" applyFont="1" applyAlignment="1" applyProtection="1">
      <alignment horizontal="left"/>
      <protection locked="0"/>
    </xf>
    <xf numFmtId="49" fontId="2" fillId="0" borderId="0" xfId="3" applyNumberFormat="1" applyFont="1" applyAlignment="1" applyProtection="1">
      <alignment vertical="center" wrapText="1"/>
      <protection locked="0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 vertical="top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0" xfId="1" applyFont="1" applyAlignment="1">
      <alignment vertical="center"/>
    </xf>
    <xf numFmtId="0" fontId="3" fillId="0" borderId="0" xfId="5" applyFont="1" applyBorder="1" applyAlignment="1" applyProtection="1">
      <alignment vertical="center"/>
    </xf>
    <xf numFmtId="1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4" fillId="0" borderId="0" xfId="1" applyFont="1" applyAlignment="1">
      <alignment horizontal="right" vertic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 applyProtection="1">
      <alignment horizontal="justify" vertical="center"/>
      <protection locked="0"/>
    </xf>
    <xf numFmtId="0" fontId="3" fillId="0" borderId="0" xfId="1" applyFont="1" applyAlignment="1" applyProtection="1">
      <alignment horizontal="justify" vertical="center"/>
      <protection locked="0"/>
    </xf>
    <xf numFmtId="0" fontId="3" fillId="0" borderId="0" xfId="1" applyFont="1" applyAlignment="1">
      <alignment horizontal="left" vertical="top"/>
    </xf>
    <xf numFmtId="165" fontId="2" fillId="0" borderId="0" xfId="1" applyNumberFormat="1" applyFont="1" applyAlignment="1" applyProtection="1">
      <alignment vertical="center"/>
      <protection locked="0"/>
    </xf>
    <xf numFmtId="0" fontId="2" fillId="0" borderId="0" xfId="1" applyFont="1" applyAlignment="1">
      <alignment horizontal="right"/>
    </xf>
    <xf numFmtId="2" fontId="2" fillId="0" borderId="0" xfId="4" applyNumberFormat="1" applyFont="1" applyBorder="1" applyAlignment="1" applyProtection="1">
      <alignment horizontal="center" vertical="center"/>
    </xf>
    <xf numFmtId="0" fontId="16" fillId="3" borderId="0" xfId="1" applyFont="1" applyFill="1" applyAlignment="1">
      <alignment vertical="center"/>
    </xf>
    <xf numFmtId="0" fontId="17" fillId="3" borderId="0" xfId="1" applyFont="1" applyFill="1" applyAlignment="1">
      <alignment horizontal="center" vertical="center"/>
    </xf>
    <xf numFmtId="0" fontId="17" fillId="3" borderId="0" xfId="1" applyFont="1" applyFill="1" applyAlignment="1">
      <alignment vertical="center"/>
    </xf>
    <xf numFmtId="0" fontId="3" fillId="0" borderId="23" xfId="1" applyFont="1" applyBorder="1" applyAlignment="1">
      <alignment vertical="center"/>
    </xf>
    <xf numFmtId="0" fontId="3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3" fillId="0" borderId="27" xfId="3" applyFont="1" applyBorder="1" applyAlignment="1">
      <alignment horizontal="left" vertical="center"/>
    </xf>
    <xf numFmtId="0" fontId="2" fillId="0" borderId="27" xfId="3" applyFont="1" applyBorder="1" applyAlignment="1">
      <alignment horizontal="left" vertical="center"/>
    </xf>
    <xf numFmtId="0" fontId="2" fillId="0" borderId="23" xfId="3" applyFont="1" applyBorder="1" applyAlignment="1">
      <alignment horizontal="left" vertical="center"/>
    </xf>
    <xf numFmtId="0" fontId="3" fillId="0" borderId="23" xfId="1" applyFont="1" applyBorder="1" applyAlignment="1">
      <alignment horizontal="right" vertical="center"/>
    </xf>
    <xf numFmtId="49" fontId="2" fillId="0" borderId="0" xfId="6" applyNumberFormat="1" applyFont="1" applyAlignment="1">
      <alignment vertical="center" wrapText="1"/>
    </xf>
    <xf numFmtId="0" fontId="3" fillId="0" borderId="0" xfId="3" applyFont="1" applyAlignment="1" applyProtection="1">
      <alignment vertical="center"/>
      <protection locked="0"/>
    </xf>
    <xf numFmtId="0" fontId="3" fillId="0" borderId="0" xfId="3" applyFont="1"/>
    <xf numFmtId="0" fontId="3" fillId="0" borderId="0" xfId="3" applyFont="1" applyAlignment="1">
      <alignment horizontal="right"/>
    </xf>
    <xf numFmtId="0" fontId="2" fillId="4" borderId="2" xfId="3" applyFont="1" applyFill="1" applyBorder="1" applyAlignment="1" applyProtection="1">
      <alignment vertical="center"/>
      <protection locked="0"/>
    </xf>
    <xf numFmtId="2" fontId="2" fillId="0" borderId="0" xfId="3" applyNumberFormat="1" applyFont="1" applyAlignment="1" applyProtection="1">
      <alignment horizontal="left" vertical="center"/>
      <protection locked="0"/>
    </xf>
    <xf numFmtId="2" fontId="2" fillId="0" borderId="0" xfId="3" applyNumberFormat="1" applyFont="1" applyAlignment="1" applyProtection="1">
      <alignment horizontal="right" vertical="center"/>
      <protection locked="0"/>
    </xf>
    <xf numFmtId="0" fontId="2" fillId="4" borderId="2" xfId="3" applyFont="1" applyFill="1" applyBorder="1" applyProtection="1">
      <protection locked="0"/>
    </xf>
    <xf numFmtId="2" fontId="2" fillId="0" borderId="0" xfId="3" applyNumberFormat="1" applyFont="1" applyAlignment="1">
      <alignment horizontal="left" vertical="center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0" borderId="26" xfId="1" applyFont="1" applyBorder="1"/>
    <xf numFmtId="0" fontId="2" fillId="0" borderId="29" xfId="1" applyFont="1" applyBorder="1"/>
    <xf numFmtId="0" fontId="2" fillId="0" borderId="2" xfId="3" applyFont="1" applyBorder="1" applyAlignment="1" applyProtection="1">
      <alignment horizontal="center" vertical="center"/>
      <protection locked="0"/>
    </xf>
    <xf numFmtId="173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3" xfId="1" applyFont="1" applyBorder="1"/>
    <xf numFmtId="0" fontId="2" fillId="0" borderId="2" xfId="1" applyFont="1" applyBorder="1"/>
    <xf numFmtId="0" fontId="2" fillId="0" borderId="2" xfId="7" applyFont="1" applyFill="1" applyBorder="1" applyAlignment="1" applyProtection="1">
      <alignment horizontal="center" vertical="center"/>
      <protection locked="0"/>
    </xf>
    <xf numFmtId="173" fontId="2" fillId="0" borderId="0" xfId="1" applyNumberFormat="1" applyFont="1"/>
    <xf numFmtId="0" fontId="2" fillId="0" borderId="2" xfId="1" applyFont="1" applyBorder="1" applyAlignment="1" applyProtection="1">
      <alignment horizontal="center"/>
      <protection locked="0"/>
    </xf>
    <xf numFmtId="0" fontId="2" fillId="0" borderId="22" xfId="1" applyFont="1" applyBorder="1"/>
    <xf numFmtId="0" fontId="2" fillId="0" borderId="28" xfId="1" applyFont="1" applyBorder="1"/>
    <xf numFmtId="10" fontId="2" fillId="0" borderId="0" xfId="1" applyNumberFormat="1" applyFont="1"/>
    <xf numFmtId="0" fontId="2" fillId="4" borderId="0" xfId="1" applyFont="1" applyFill="1"/>
    <xf numFmtId="0" fontId="2" fillId="0" borderId="2" xfId="1" applyFont="1" applyBorder="1" applyAlignment="1">
      <alignment horizontal="center"/>
    </xf>
    <xf numFmtId="0" fontId="3" fillId="0" borderId="23" xfId="1" applyFont="1" applyBorder="1" applyAlignment="1">
      <alignment horizontal="right"/>
    </xf>
    <xf numFmtId="173" fontId="2" fillId="0" borderId="2" xfId="1" applyNumberFormat="1" applyFont="1" applyBorder="1"/>
    <xf numFmtId="0" fontId="3" fillId="0" borderId="0" xfId="1" applyFont="1" applyAlignment="1">
      <alignment vertical="center" wrapText="1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>
      <alignment horizontal="center"/>
    </xf>
    <xf numFmtId="0" fontId="3" fillId="0" borderId="2" xfId="1" applyFont="1" applyBorder="1"/>
    <xf numFmtId="171" fontId="2" fillId="0" borderId="2" xfId="1" applyNumberFormat="1" applyFont="1" applyBorder="1"/>
    <xf numFmtId="171" fontId="2" fillId="0" borderId="0" xfId="1" applyNumberFormat="1" applyFont="1"/>
    <xf numFmtId="0" fontId="20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7" fillId="0" borderId="0" xfId="1" applyFont="1"/>
    <xf numFmtId="0" fontId="17" fillId="4" borderId="0" xfId="1" applyFont="1" applyFill="1"/>
    <xf numFmtId="0" fontId="17" fillId="0" borderId="0" xfId="1" applyFont="1" applyAlignment="1">
      <alignment horizontal="right"/>
    </xf>
    <xf numFmtId="10" fontId="17" fillId="0" borderId="0" xfId="1" applyNumberFormat="1" applyFont="1"/>
    <xf numFmtId="173" fontId="2" fillId="0" borderId="2" xfId="1" applyNumberFormat="1" applyFont="1" applyBorder="1" applyProtection="1">
      <protection locked="0"/>
    </xf>
    <xf numFmtId="166" fontId="2" fillId="0" borderId="0" xfId="1" applyNumberFormat="1" applyFont="1"/>
    <xf numFmtId="0" fontId="16" fillId="3" borderId="0" xfId="5" applyFont="1" applyFill="1" applyBorder="1" applyAlignment="1" applyProtection="1">
      <alignment vertical="center"/>
    </xf>
    <xf numFmtId="0" fontId="20" fillId="0" borderId="0" xfId="1" applyFont="1"/>
    <xf numFmtId="49" fontId="2" fillId="0" borderId="0" xfId="1" applyNumberFormat="1" applyFont="1" applyAlignment="1" applyProtection="1">
      <alignment vertical="center"/>
      <protection locked="0"/>
    </xf>
    <xf numFmtId="165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2" xfId="1" applyNumberFormat="1" applyFont="1" applyBorder="1" applyAlignment="1" applyProtection="1">
      <alignment horizontal="center" vertical="center"/>
      <protection locked="0"/>
    </xf>
    <xf numFmtId="2" fontId="3" fillId="0" borderId="2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66" fontId="2" fillId="0" borderId="2" xfId="4" applyNumberFormat="1" applyFont="1" applyBorder="1" applyAlignment="1" applyProtection="1">
      <alignment horizontal="center" vertical="center"/>
      <protection locked="0"/>
    </xf>
    <xf numFmtId="1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64" fontId="2" fillId="0" borderId="0" xfId="1" applyNumberFormat="1" applyFont="1" applyAlignment="1">
      <alignment horizontal="center"/>
    </xf>
    <xf numFmtId="9" fontId="2" fillId="0" borderId="2" xfId="4" applyFont="1" applyBorder="1" applyAlignment="1" applyProtection="1">
      <alignment horizontal="center" vertical="center"/>
      <protection locked="0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2" fillId="0" borderId="2" xfId="1" applyFont="1" applyBorder="1" applyAlignment="1">
      <alignment horizontal="right"/>
    </xf>
    <xf numFmtId="2" fontId="2" fillId="0" borderId="2" xfId="1" applyNumberFormat="1" applyFont="1" applyBorder="1"/>
    <xf numFmtId="10" fontId="2" fillId="0" borderId="2" xfId="4" applyNumberFormat="1" applyFont="1" applyBorder="1" applyProtection="1"/>
    <xf numFmtId="1" fontId="3" fillId="0" borderId="2" xfId="1" applyNumberFormat="1" applyFont="1" applyBorder="1" applyAlignment="1">
      <alignment horizontal="center" vertical="center"/>
    </xf>
    <xf numFmtId="173" fontId="2" fillId="0" borderId="0" xfId="4" applyNumberFormat="1" applyFont="1" applyBorder="1" applyProtection="1"/>
    <xf numFmtId="166" fontId="2" fillId="0" borderId="2" xfId="4" applyNumberFormat="1" applyFont="1" applyBorder="1" applyAlignment="1" applyProtection="1">
      <alignment horizontal="center" vertical="center"/>
    </xf>
    <xf numFmtId="2" fontId="2" fillId="0" borderId="2" xfId="4" applyNumberFormat="1" applyFont="1" applyBorder="1" applyAlignment="1" applyProtection="1">
      <alignment horizontal="center" vertical="center"/>
    </xf>
    <xf numFmtId="2" fontId="3" fillId="0" borderId="2" xfId="4" applyNumberFormat="1" applyFont="1" applyBorder="1" applyAlignment="1" applyProtection="1">
      <alignment horizontal="center" vertical="center"/>
    </xf>
    <xf numFmtId="166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0" xfId="1" applyNumberFormat="1" applyFont="1"/>
    <xf numFmtId="166" fontId="2" fillId="0" borderId="2" xfId="4" applyNumberFormat="1" applyFont="1" applyBorder="1" applyProtection="1"/>
    <xf numFmtId="0" fontId="2" fillId="0" borderId="2" xfId="1" applyFont="1" applyBorder="1" applyProtection="1">
      <protection locked="0"/>
    </xf>
    <xf numFmtId="10" fontId="2" fillId="0" borderId="2" xfId="1" applyNumberFormat="1" applyFont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right" vertical="center" wrapText="1"/>
    </xf>
    <xf numFmtId="0" fontId="2" fillId="0" borderId="0" xfId="8" applyFont="1"/>
    <xf numFmtId="0" fontId="3" fillId="0" borderId="0" xfId="8" applyFont="1"/>
    <xf numFmtId="49" fontId="2" fillId="0" borderId="0" xfId="8" applyNumberFormat="1" applyFont="1" applyAlignment="1" applyProtection="1">
      <alignment vertical="center"/>
      <protection locked="0"/>
    </xf>
    <xf numFmtId="0" fontId="4" fillId="0" borderId="0" xfId="8" applyFont="1" applyAlignment="1">
      <alignment horizontal="right" vertical="center"/>
    </xf>
    <xf numFmtId="0" fontId="3" fillId="0" borderId="0" xfId="8" applyFont="1" applyAlignment="1">
      <alignment horizontal="left"/>
    </xf>
    <xf numFmtId="0" fontId="20" fillId="0" borderId="0" xfId="8" applyFont="1" applyAlignment="1">
      <alignment horizontal="left"/>
    </xf>
    <xf numFmtId="0" fontId="2" fillId="0" borderId="2" xfId="8" applyFont="1" applyBorder="1" applyAlignment="1" applyProtection="1">
      <alignment horizontal="left"/>
      <protection locked="0"/>
    </xf>
    <xf numFmtId="0" fontId="2" fillId="0" borderId="0" xfId="8" applyFont="1" applyAlignment="1">
      <alignment horizontal="left"/>
    </xf>
    <xf numFmtId="0" fontId="3" fillId="0" borderId="0" xfId="8" applyFont="1" applyAlignment="1">
      <alignment wrapText="1"/>
    </xf>
    <xf numFmtId="0" fontId="3" fillId="0" borderId="0" xfId="8" applyFont="1" applyAlignment="1">
      <alignment vertical="center" wrapText="1"/>
    </xf>
    <xf numFmtId="0" fontId="3" fillId="0" borderId="2" xfId="8" applyFont="1" applyBorder="1" applyAlignment="1">
      <alignment horizontal="center"/>
    </xf>
    <xf numFmtId="0" fontId="2" fillId="0" borderId="2" xfId="8" applyFont="1" applyBorder="1" applyAlignment="1">
      <alignment horizontal="center"/>
    </xf>
    <xf numFmtId="0" fontId="2" fillId="0" borderId="2" xfId="8" applyFont="1" applyBorder="1"/>
    <xf numFmtId="165" fontId="24" fillId="0" borderId="2" xfId="8" applyNumberFormat="1" applyFont="1" applyBorder="1" applyProtection="1">
      <protection locked="0"/>
    </xf>
    <xf numFmtId="0" fontId="2" fillId="0" borderId="2" xfId="8" applyFont="1" applyBorder="1" applyProtection="1">
      <protection locked="0"/>
    </xf>
    <xf numFmtId="0" fontId="3" fillId="0" borderId="0" xfId="8" applyFont="1" applyAlignment="1">
      <alignment horizontal="right"/>
    </xf>
    <xf numFmtId="1" fontId="2" fillId="0" borderId="2" xfId="8" applyNumberFormat="1" applyFont="1" applyBorder="1"/>
    <xf numFmtId="0" fontId="2" fillId="0" borderId="0" xfId="8" applyFont="1" applyAlignment="1">
      <alignment horizontal="right"/>
    </xf>
    <xf numFmtId="9" fontId="2" fillId="0" borderId="2" xfId="4" applyFont="1" applyBorder="1" applyProtection="1"/>
    <xf numFmtId="0" fontId="3" fillId="0" borderId="24" xfId="8" applyFont="1" applyBorder="1" applyAlignment="1">
      <alignment horizontal="right"/>
    </xf>
    <xf numFmtId="2" fontId="2" fillId="0" borderId="2" xfId="8" applyNumberFormat="1" applyFont="1" applyBorder="1"/>
    <xf numFmtId="0" fontId="3" fillId="0" borderId="2" xfId="8" applyFont="1" applyBorder="1" applyAlignment="1" applyProtection="1">
      <alignment horizontal="left"/>
      <protection locked="0"/>
    </xf>
    <xf numFmtId="0" fontId="3" fillId="0" borderId="0" xfId="8" applyFont="1" applyAlignment="1">
      <alignment horizontal="center"/>
    </xf>
    <xf numFmtId="0" fontId="2" fillId="0" borderId="0" xfId="8" applyFont="1" applyAlignment="1">
      <alignment horizontal="center"/>
    </xf>
    <xf numFmtId="0" fontId="2" fillId="0" borderId="0" xfId="8" applyFont="1" applyAlignment="1">
      <alignment horizontal="center" vertical="center"/>
    </xf>
    <xf numFmtId="173" fontId="2" fillId="0" borderId="2" xfId="8" applyNumberFormat="1" applyFont="1" applyBorder="1"/>
    <xf numFmtId="171" fontId="2" fillId="0" borderId="2" xfId="8" applyNumberFormat="1" applyFont="1" applyBorder="1"/>
    <xf numFmtId="0" fontId="2" fillId="0" borderId="29" xfId="8" applyFont="1" applyBorder="1"/>
    <xf numFmtId="0" fontId="20" fillId="0" borderId="0" xfId="8" applyFont="1"/>
    <xf numFmtId="0" fontId="3" fillId="0" borderId="2" xfId="8" applyFont="1" applyBorder="1"/>
    <xf numFmtId="173" fontId="2" fillId="0" borderId="0" xfId="8" applyNumberFormat="1" applyFont="1"/>
    <xf numFmtId="0" fontId="3" fillId="0" borderId="0" xfId="8" applyFont="1" applyAlignment="1">
      <alignment horizontal="right" vertical="center"/>
    </xf>
    <xf numFmtId="166" fontId="2" fillId="0" borderId="0" xfId="4" applyNumberFormat="1" applyFont="1" applyBorder="1" applyProtection="1"/>
    <xf numFmtId="0" fontId="7" fillId="2" borderId="0" xfId="0" quotePrefix="1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8" fillId="2" borderId="0" xfId="0" quotePrefix="1" applyFont="1" applyFill="1" applyAlignment="1">
      <alignment vertical="center" wrapText="1"/>
    </xf>
    <xf numFmtId="0" fontId="8" fillId="0" borderId="16" xfId="0" quotePrefix="1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19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20" xfId="1" applyFont="1" applyBorder="1" applyAlignment="1" applyProtection="1">
      <alignment horizontal="left" vertical="top"/>
      <protection locked="0"/>
    </xf>
    <xf numFmtId="0" fontId="2" fillId="0" borderId="21" xfId="1" applyFont="1" applyBorder="1" applyAlignment="1" applyProtection="1">
      <alignment horizontal="left" vertical="top"/>
      <protection locked="0"/>
    </xf>
    <xf numFmtId="0" fontId="2" fillId="0" borderId="22" xfId="1" applyFont="1" applyBorder="1" applyAlignment="1" applyProtection="1">
      <alignment horizontal="left" vertical="top"/>
      <protection locked="0"/>
    </xf>
    <xf numFmtId="0" fontId="2" fillId="0" borderId="23" xfId="1" applyFont="1" applyBorder="1" applyAlignment="1" applyProtection="1">
      <alignment horizontal="left" vertical="top"/>
      <protection locked="0"/>
    </xf>
    <xf numFmtId="0" fontId="2" fillId="0" borderId="0" xfId="1" applyFont="1" applyAlignment="1" applyProtection="1">
      <alignment horizontal="left" vertical="top"/>
      <protection locked="0"/>
    </xf>
    <xf numFmtId="0" fontId="2" fillId="0" borderId="24" xfId="1" applyFont="1" applyBorder="1" applyAlignment="1" applyProtection="1">
      <alignment horizontal="left" vertical="top"/>
      <protection locked="0"/>
    </xf>
    <xf numFmtId="0" fontId="2" fillId="0" borderId="25" xfId="1" applyFont="1" applyBorder="1" applyAlignment="1" applyProtection="1">
      <alignment horizontal="left" vertical="top"/>
      <protection locked="0"/>
    </xf>
    <xf numFmtId="0" fontId="2" fillId="0" borderId="4" xfId="1" applyFont="1" applyBorder="1" applyAlignment="1" applyProtection="1">
      <alignment horizontal="left" vertical="top"/>
      <protection locked="0"/>
    </xf>
    <xf numFmtId="0" fontId="2" fillId="0" borderId="26" xfId="1" applyFont="1" applyBorder="1" applyAlignment="1" applyProtection="1">
      <alignment horizontal="left" vertical="top"/>
      <protection locked="0"/>
    </xf>
    <xf numFmtId="0" fontId="2" fillId="0" borderId="20" xfId="1" applyFont="1" applyBorder="1" applyAlignment="1" applyProtection="1">
      <alignment horizontal="left" vertical="center"/>
      <protection locked="0"/>
    </xf>
    <xf numFmtId="0" fontId="2" fillId="0" borderId="21" xfId="1" applyFont="1" applyBorder="1" applyAlignment="1" applyProtection="1">
      <alignment horizontal="left" vertical="center"/>
      <protection locked="0"/>
    </xf>
    <xf numFmtId="0" fontId="2" fillId="0" borderId="22" xfId="1" applyFont="1" applyBorder="1" applyAlignment="1" applyProtection="1">
      <alignment horizontal="left" vertical="center"/>
      <protection locked="0"/>
    </xf>
    <xf numFmtId="0" fontId="2" fillId="0" borderId="23" xfId="1" applyFont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24" xfId="1" applyFont="1" applyBorder="1" applyAlignment="1" applyProtection="1">
      <alignment horizontal="left" vertical="center"/>
      <protection locked="0"/>
    </xf>
    <xf numFmtId="0" fontId="2" fillId="0" borderId="25" xfId="1" applyFont="1" applyBorder="1" applyAlignment="1" applyProtection="1">
      <alignment horizontal="left" vertical="center"/>
      <protection locked="0"/>
    </xf>
    <xf numFmtId="0" fontId="2" fillId="0" borderId="4" xfId="1" applyFont="1" applyBorder="1" applyAlignment="1" applyProtection="1">
      <alignment horizontal="left" vertical="center"/>
      <protection locked="0"/>
    </xf>
    <xf numFmtId="0" fontId="2" fillId="0" borderId="26" xfId="1" applyFont="1" applyBorder="1" applyAlignment="1" applyProtection="1">
      <alignment horizontal="left" vertical="center"/>
      <protection locked="0"/>
    </xf>
    <xf numFmtId="174" fontId="2" fillId="0" borderId="1" xfId="1" applyNumberFormat="1" applyFont="1" applyBorder="1" applyAlignment="1" applyProtection="1">
      <alignment horizontal="left" vertical="center"/>
      <protection locked="0"/>
    </xf>
    <xf numFmtId="174" fontId="2" fillId="0" borderId="3" xfId="1" applyNumberFormat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49" fontId="2" fillId="0" borderId="2" xfId="3" applyNumberFormat="1" applyFont="1" applyBorder="1" applyAlignment="1" applyProtection="1">
      <alignment horizontal="left" vertical="center" wrapText="1"/>
      <protection locked="0"/>
    </xf>
    <xf numFmtId="49" fontId="2" fillId="0" borderId="1" xfId="3" applyNumberFormat="1" applyFont="1" applyBorder="1" applyAlignment="1" applyProtection="1">
      <alignment horizontal="left" vertical="center" wrapText="1"/>
      <protection locked="0"/>
    </xf>
    <xf numFmtId="49" fontId="2" fillId="0" borderId="19" xfId="3" applyNumberFormat="1" applyFont="1" applyBorder="1" applyAlignment="1" applyProtection="1">
      <alignment horizontal="left" vertical="center" wrapText="1"/>
      <protection locked="0"/>
    </xf>
    <xf numFmtId="49" fontId="2" fillId="0" borderId="3" xfId="3" applyNumberFormat="1" applyFont="1" applyBorder="1" applyAlignment="1" applyProtection="1">
      <alignment horizontal="left" vertical="center" wrapText="1"/>
      <protection locked="0"/>
    </xf>
    <xf numFmtId="165" fontId="2" fillId="0" borderId="2" xfId="1" applyNumberFormat="1" applyFont="1" applyBorder="1" applyAlignment="1" applyProtection="1">
      <alignment horizontal="left" vertical="center"/>
      <protection locked="0"/>
    </xf>
    <xf numFmtId="0" fontId="3" fillId="0" borderId="0" xfId="1" applyFont="1" applyAlignment="1">
      <alignment horizontal="right"/>
    </xf>
    <xf numFmtId="0" fontId="3" fillId="0" borderId="24" xfId="1" applyFont="1" applyBorder="1" applyAlignment="1">
      <alignment horizontal="right"/>
    </xf>
    <xf numFmtId="0" fontId="2" fillId="0" borderId="2" xfId="1" applyFont="1" applyBorder="1" applyAlignment="1" applyProtection="1">
      <alignment horizontal="left"/>
      <protection locked="0"/>
    </xf>
    <xf numFmtId="0" fontId="3" fillId="0" borderId="28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2" fillId="0" borderId="1" xfId="6" applyFont="1" applyBorder="1" applyAlignment="1" applyProtection="1">
      <alignment horizontal="center" vertical="center"/>
      <protection locked="0"/>
    </xf>
    <xf numFmtId="0" fontId="2" fillId="0" borderId="3" xfId="6" applyFont="1" applyBorder="1" applyAlignment="1" applyProtection="1">
      <alignment horizontal="center" vertical="center"/>
      <protection locked="0"/>
    </xf>
    <xf numFmtId="173" fontId="2" fillId="0" borderId="2" xfId="1" applyNumberFormat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19" xfId="1" applyFont="1" applyBorder="1" applyAlignment="1" applyProtection="1">
      <alignment horizontal="center"/>
      <protection locked="0"/>
    </xf>
    <xf numFmtId="0" fontId="3" fillId="0" borderId="3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49" fontId="2" fillId="0" borderId="2" xfId="1" applyNumberFormat="1" applyFont="1" applyBorder="1" applyAlignment="1" applyProtection="1">
      <alignment horizontal="left" vertical="center"/>
      <protection locked="0"/>
    </xf>
    <xf numFmtId="49" fontId="2" fillId="0" borderId="1" xfId="1" applyNumberFormat="1" applyFont="1" applyBorder="1" applyAlignment="1" applyProtection="1">
      <alignment horizontal="left" vertical="center"/>
      <protection locked="0"/>
    </xf>
    <xf numFmtId="49" fontId="2" fillId="0" borderId="3" xfId="1" applyNumberFormat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>
      <alignment horizontal="left"/>
    </xf>
    <xf numFmtId="0" fontId="2" fillId="0" borderId="19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49" fontId="2" fillId="0" borderId="19" xfId="1" applyNumberFormat="1" applyFont="1" applyBorder="1" applyAlignment="1" applyProtection="1">
      <alignment horizontal="left" vertical="center"/>
      <protection locked="0"/>
    </xf>
    <xf numFmtId="0" fontId="3" fillId="0" borderId="2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0" borderId="3" xfId="1" applyFont="1" applyBorder="1" applyAlignment="1" applyProtection="1">
      <alignment horizontal="left"/>
      <protection locked="0"/>
    </xf>
    <xf numFmtId="0" fontId="2" fillId="0" borderId="0" xfId="1" applyFont="1" applyAlignment="1">
      <alignment horizontal="left" vertical="center"/>
    </xf>
    <xf numFmtId="0" fontId="4" fillId="0" borderId="0" xfId="8" applyFont="1" applyAlignment="1">
      <alignment horizontal="center"/>
    </xf>
    <xf numFmtId="0" fontId="4" fillId="0" borderId="4" xfId="8" applyFont="1" applyBorder="1" applyAlignment="1">
      <alignment horizontal="center" wrapText="1"/>
    </xf>
    <xf numFmtId="0" fontId="3" fillId="0" borderId="2" xfId="8" applyFont="1" applyBorder="1" applyAlignment="1">
      <alignment horizontal="center" vertical="center" wrapText="1"/>
    </xf>
    <xf numFmtId="0" fontId="3" fillId="0" borderId="2" xfId="8" applyFont="1" applyBorder="1" applyAlignment="1">
      <alignment horizontal="center"/>
    </xf>
    <xf numFmtId="0" fontId="2" fillId="0" borderId="2" xfId="8" applyFont="1" applyBorder="1" applyAlignment="1">
      <alignment horizontal="center"/>
    </xf>
    <xf numFmtId="0" fontId="2" fillId="0" borderId="20" xfId="1" applyFont="1" applyBorder="1" applyAlignment="1" applyProtection="1">
      <alignment horizontal="left" vertical="top" wrapText="1"/>
      <protection locked="0"/>
    </xf>
    <xf numFmtId="0" fontId="2" fillId="0" borderId="21" xfId="1" applyFont="1" applyBorder="1" applyAlignment="1" applyProtection="1">
      <alignment horizontal="left" vertical="top" wrapText="1"/>
      <protection locked="0"/>
    </xf>
    <xf numFmtId="0" fontId="2" fillId="0" borderId="22" xfId="1" applyFont="1" applyBorder="1" applyAlignment="1" applyProtection="1">
      <alignment horizontal="left" vertical="top" wrapText="1"/>
      <protection locked="0"/>
    </xf>
    <xf numFmtId="0" fontId="2" fillId="0" borderId="23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2" fillId="0" borderId="24" xfId="1" applyFont="1" applyBorder="1" applyAlignment="1" applyProtection="1">
      <alignment horizontal="left" vertical="top" wrapText="1"/>
      <protection locked="0"/>
    </xf>
    <xf numFmtId="0" fontId="2" fillId="0" borderId="25" xfId="1" applyFont="1" applyBorder="1" applyAlignment="1" applyProtection="1">
      <alignment horizontal="left" vertical="top" wrapText="1"/>
      <protection locked="0"/>
    </xf>
    <xf numFmtId="0" fontId="2" fillId="0" borderId="4" xfId="1" applyFont="1" applyBorder="1" applyAlignment="1" applyProtection="1">
      <alignment horizontal="left" vertical="top" wrapText="1"/>
      <protection locked="0"/>
    </xf>
    <xf numFmtId="0" fontId="2" fillId="0" borderId="26" xfId="1" applyFont="1" applyBorder="1" applyAlignment="1" applyProtection="1">
      <alignment horizontal="left" vertical="top" wrapText="1"/>
      <protection locked="0"/>
    </xf>
    <xf numFmtId="49" fontId="2" fillId="0" borderId="1" xfId="8" applyNumberFormat="1" applyFont="1" applyBorder="1" applyAlignment="1" applyProtection="1">
      <alignment horizontal="left" vertical="center"/>
      <protection locked="0"/>
    </xf>
    <xf numFmtId="49" fontId="2" fillId="0" borderId="3" xfId="8" applyNumberFormat="1" applyFont="1" applyBorder="1" applyAlignment="1" applyProtection="1">
      <alignment horizontal="left" vertical="center"/>
      <protection locked="0"/>
    </xf>
    <xf numFmtId="0" fontId="2" fillId="0" borderId="2" xfId="8" applyFont="1" applyBorder="1" applyAlignment="1">
      <alignment horizontal="center" vertical="center" wrapText="1"/>
    </xf>
    <xf numFmtId="9" fontId="2" fillId="0" borderId="2" xfId="4" applyFont="1" applyBorder="1" applyAlignment="1" applyProtection="1">
      <alignment horizontal="center"/>
    </xf>
    <xf numFmtId="0" fontId="2" fillId="0" borderId="0" xfId="8" applyFont="1" applyAlignment="1">
      <alignment horizontal="right"/>
    </xf>
    <xf numFmtId="0" fontId="3" fillId="0" borderId="0" xfId="8" applyFont="1" applyAlignment="1">
      <alignment horizontal="right"/>
    </xf>
    <xf numFmtId="0" fontId="3" fillId="0" borderId="4" xfId="8" applyFont="1" applyBorder="1" applyAlignment="1">
      <alignment horizontal="center"/>
    </xf>
    <xf numFmtId="0" fontId="3" fillId="0" borderId="4" xfId="8" applyFont="1" applyBorder="1" applyAlignment="1">
      <alignment horizontal="center" wrapText="1"/>
    </xf>
    <xf numFmtId="0" fontId="2" fillId="0" borderId="2" xfId="8" applyFont="1" applyBorder="1" applyAlignment="1">
      <alignment horizontal="center" vertical="center"/>
    </xf>
    <xf numFmtId="0" fontId="3" fillId="0" borderId="24" xfId="8" applyFont="1" applyBorder="1" applyAlignment="1">
      <alignment horizontal="right"/>
    </xf>
    <xf numFmtId="0" fontId="3" fillId="0" borderId="0" xfId="8" applyFont="1" applyAlignment="1">
      <alignment horizontal="center"/>
    </xf>
    <xf numFmtId="0" fontId="4" fillId="0" borderId="24" xfId="8" applyFont="1" applyBorder="1" applyAlignment="1">
      <alignment horizontal="right"/>
    </xf>
    <xf numFmtId="0" fontId="3" fillId="0" borderId="0" xfId="8" applyFont="1" applyAlignment="1">
      <alignment horizontal="center" wrapText="1"/>
    </xf>
    <xf numFmtId="0" fontId="3" fillId="0" borderId="21" xfId="8" applyFont="1" applyBorder="1" applyAlignment="1">
      <alignment horizontal="right"/>
    </xf>
    <xf numFmtId="0" fontId="2" fillId="0" borderId="2" xfId="6" applyFont="1" applyBorder="1" applyAlignment="1" applyProtection="1">
      <alignment horizontal="center" vertical="center"/>
      <protection locked="0"/>
    </xf>
  </cellXfs>
  <cellStyles count="9">
    <cellStyle name="Excel Built-in Note" xfId="7" xr:uid="{91FF276C-D2BB-4D13-AE0F-934C1F8C4E3E}"/>
    <cellStyle name="Hyperlink 2" xfId="5" xr:uid="{D64480F1-9811-4F0C-8A85-A547ED705264}"/>
    <cellStyle name="Normal" xfId="0" builtinId="0"/>
    <cellStyle name="Normal 2" xfId="1" xr:uid="{1B4EFEE0-3C17-42B9-935D-F94FA71BDAAB}"/>
    <cellStyle name="Normal 3" xfId="3" xr:uid="{F0DDEF51-B782-488D-81C2-11AB1477AB29}"/>
    <cellStyle name="Normal 3 2" xfId="6" xr:uid="{D6A9980D-931D-487C-A979-B1871D60026E}"/>
    <cellStyle name="Normal 6" xfId="8" xr:uid="{460C0E9D-698E-4C86-97F7-62AD9124FB88}"/>
    <cellStyle name="Percent" xfId="2" builtinId="5"/>
    <cellStyle name="Percent 2" xfId="4" xr:uid="{039087BE-733C-4010-84E1-F9BF34F2B121}"/>
  </cellStyles>
  <dxfs count="88">
    <dxf>
      <font>
        <color rgb="FF000000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600"/>
      </font>
      <fill>
        <patternFill>
          <bgColor rgb="FF66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600"/>
      </font>
      <fill>
        <patternFill>
          <bgColor rgb="FF66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Quant!$G$250</c:f>
              <c:strCache>
                <c:ptCount val="1"/>
                <c:pt idx="0">
                  <c:v>Mean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Quant!$G$252:$G$259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F-448D-BA9E-D5222FE1EC9E}"/>
            </c:ext>
          </c:extLst>
        </c:ser>
        <c:ser>
          <c:idx val="1"/>
          <c:order val="1"/>
          <c:tx>
            <c:strRef>
              <c:f>Quant!$X$251</c:f>
              <c:strCache>
                <c:ptCount val="1"/>
                <c:pt idx="0">
                  <c:v>Low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Quant!$X$252:$X$259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F-448D-BA9E-D5222FE1EC9E}"/>
            </c:ext>
          </c:extLst>
        </c:ser>
        <c:ser>
          <c:idx val="2"/>
          <c:order val="2"/>
          <c:tx>
            <c:strRef>
              <c:f>Quant!$Y$251</c:f>
              <c:strCache>
                <c:ptCount val="1"/>
                <c:pt idx="0">
                  <c:v>High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Quant!$Y$252:$Y$259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F-448D-BA9E-D5222FE1EC9E}"/>
            </c:ext>
          </c:extLst>
        </c:ser>
        <c:ser>
          <c:idx val="3"/>
          <c:order val="3"/>
          <c:tx>
            <c:v>Identity</c:v>
          </c:tx>
          <c:spPr>
            <a:ln w="12600" cap="rnd">
              <a:solidFill>
                <a:srgbClr val="595959"/>
              </a:solidFill>
              <a:prstDash val="lg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Quant!$C$252:$C$259</c:f>
              <c:numCache>
                <c:formatCode>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F-448D-BA9E-D5222FE1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8265"/>
        <c:axId val="39661177"/>
      </c:scatterChart>
      <c:valAx>
        <c:axId val="252482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661177"/>
        <c:crosses val="autoZero"/>
        <c:crossBetween val="midCat"/>
      </c:valAx>
      <c:valAx>
        <c:axId val="39661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2482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3-48DE-BA96-D305C56756B1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3-48DE-BA96-D305C56756B1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3-48DE-BA96-D305C56756B1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3-48DE-BA96-D305C56756B1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3-48DE-BA96-D305C567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66255"/>
        <c:axId val="968862415"/>
      </c:scatterChart>
      <c:valAx>
        <c:axId val="9688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2415"/>
        <c:crosses val="autoZero"/>
        <c:crossBetween val="midCat"/>
      </c:valAx>
      <c:valAx>
        <c:axId val="9688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5-4D8C-A08F-4B651E086FC6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5-4D8C-A08F-4B651E086FC6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5-4D8C-A08F-4B651E086FC6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5-4D8C-A08F-4B651E086FC6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5-4D8C-A08F-4B651E086FC6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5-4D8C-A08F-4B651E08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66575"/>
        <c:axId val="577888111"/>
      </c:scatterChart>
      <c:valAx>
        <c:axId val="9655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8111"/>
        <c:crosses val="autoZero"/>
        <c:crossBetween val="midCat"/>
      </c:valAx>
      <c:valAx>
        <c:axId val="577888111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6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Qual!$G$250</c:f>
              <c:strCache>
                <c:ptCount val="1"/>
                <c:pt idx="0">
                  <c:v>Mean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Qual!$G$252:$G$259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592-869C-DE5C84E2D3BA}"/>
            </c:ext>
          </c:extLst>
        </c:ser>
        <c:ser>
          <c:idx val="1"/>
          <c:order val="1"/>
          <c:tx>
            <c:strRef>
              <c:f>Qual!$X$251</c:f>
              <c:strCache>
                <c:ptCount val="1"/>
                <c:pt idx="0">
                  <c:v>Low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Qual!$X$252:$X$259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592-869C-DE5C84E2D3BA}"/>
            </c:ext>
          </c:extLst>
        </c:ser>
        <c:ser>
          <c:idx val="2"/>
          <c:order val="2"/>
          <c:tx>
            <c:strRef>
              <c:f>Qual!$Y$251</c:f>
              <c:strCache>
                <c:ptCount val="1"/>
                <c:pt idx="0">
                  <c:v>High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Qual!$Y$252:$Y$259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B-4592-869C-DE5C84E2D3BA}"/>
            </c:ext>
          </c:extLst>
        </c:ser>
        <c:ser>
          <c:idx val="3"/>
          <c:order val="3"/>
          <c:tx>
            <c:v>Identity</c:v>
          </c:tx>
          <c:spPr>
            <a:ln w="12600" cap="rnd">
              <a:solidFill>
                <a:srgbClr val="595959"/>
              </a:solidFill>
              <a:prstDash val="lg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Qual!$C$252:$C$259</c:f>
              <c:numCache>
                <c:formatCode>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B-4592-869C-DE5C84E2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8265"/>
        <c:axId val="39661177"/>
      </c:scatterChart>
      <c:valAx>
        <c:axId val="252482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661177"/>
        <c:crosses val="autoZero"/>
        <c:crossBetween val="midCat"/>
      </c:valAx>
      <c:valAx>
        <c:axId val="39661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2482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</a:t>
            </a:r>
            <a:r>
              <a:rPr lang="en-AU" sz="1000" b="1" strike="noStrike" spc="-1" baseline="0">
                <a:solidFill>
                  <a:srgbClr val="000000"/>
                </a:solidFill>
                <a:latin typeface="Calibri"/>
              </a:rPr>
              <a:t> 1</a:t>
            </a:r>
            <a:endParaRPr lang="en-AU" sz="1000" b="1" strike="noStrike" spc="-1">
              <a:solidFill>
                <a:srgbClr val="000000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Qual!$D$299</c:f>
              <c:strCache>
                <c:ptCount val="1"/>
                <c:pt idx="0">
                  <c:v>Level 1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Qual!$D$300:$D$324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D87-45F3-9464-F5678E3E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499037"/>
        <c:axId val="8073684"/>
      </c:lineChart>
      <c:catAx>
        <c:axId val="384990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73684"/>
        <c:crosses val="autoZero"/>
        <c:auto val="1"/>
        <c:lblAlgn val="ctr"/>
        <c:lblOffset val="100"/>
        <c:noMultiLvlLbl val="0"/>
      </c:catAx>
      <c:valAx>
        <c:axId val="80736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499037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Qual!$E$299</c:f>
              <c:strCache>
                <c:ptCount val="1"/>
                <c:pt idx="0">
                  <c:v>Level 2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Qual!$E$300:$E$324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781-48B4-B29F-EA4414F7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1346946"/>
        <c:axId val="44907677"/>
      </c:lineChart>
      <c:catAx>
        <c:axId val="81346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907677"/>
        <c:crosses val="autoZero"/>
        <c:auto val="1"/>
        <c:lblAlgn val="ctr"/>
        <c:lblOffset val="100"/>
        <c:noMultiLvlLbl val="0"/>
      </c:catAx>
      <c:valAx>
        <c:axId val="44907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346946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378885811"/>
          <c:w val="0.91197245800439297"/>
          <c:h val="0.68821175746383501"/>
        </c:manualLayout>
      </c:layout>
      <c:lineChart>
        <c:grouping val="standard"/>
        <c:varyColors val="0"/>
        <c:ser>
          <c:idx val="0"/>
          <c:order val="0"/>
          <c:tx>
            <c:strRef>
              <c:f>Qual!$F$299</c:f>
              <c:strCache>
                <c:ptCount val="1"/>
                <c:pt idx="0">
                  <c:v>Level 3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Qual!$F$300:$F$324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695-4996-AD84-E3801673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142149"/>
        <c:axId val="35287046"/>
      </c:lineChart>
      <c:catAx>
        <c:axId val="911421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287046"/>
        <c:crosses val="autoZero"/>
        <c:auto val="1"/>
        <c:lblAlgn val="ctr"/>
        <c:lblOffset val="100"/>
        <c:noMultiLvlLbl val="0"/>
      </c:catAx>
      <c:valAx>
        <c:axId val="352870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142149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217707024199"/>
          <c:w val="0.91197245800439297"/>
          <c:h val="0.68817204301075297"/>
        </c:manualLayout>
      </c:layout>
      <c:lineChart>
        <c:grouping val="standard"/>
        <c:varyColors val="0"/>
        <c:ser>
          <c:idx val="0"/>
          <c:order val="0"/>
          <c:tx>
            <c:strRef>
              <c:f>Qual!$G$299</c:f>
              <c:strCache>
                <c:ptCount val="1"/>
                <c:pt idx="0">
                  <c:v>Level 4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Qual!$G$300:$G$324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195-4AAB-AAA8-9D304CEF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626943"/>
        <c:axId val="44759793"/>
      </c:lineChart>
      <c:catAx>
        <c:axId val="576269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759793"/>
        <c:crosses val="autoZero"/>
        <c:auto val="1"/>
        <c:lblAlgn val="ctr"/>
        <c:lblOffset val="100"/>
        <c:noMultiLvlLbl val="0"/>
      </c:catAx>
      <c:valAx>
        <c:axId val="44759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626943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</a:t>
            </a:r>
            <a:r>
              <a:rPr lang="en-AU" sz="1000" b="1" strike="noStrike" spc="-1" baseline="0">
                <a:solidFill>
                  <a:srgbClr val="000000"/>
                </a:solidFill>
                <a:latin typeface="Calibri"/>
              </a:rPr>
              <a:t> 1</a:t>
            </a:r>
            <a:endParaRPr lang="en-AU" sz="1000" b="1" strike="noStrike" spc="-1">
              <a:solidFill>
                <a:srgbClr val="000000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Quant!$D$299</c:f>
              <c:strCache>
                <c:ptCount val="1"/>
                <c:pt idx="0">
                  <c:v>Level 1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Quant!$D$300:$D$324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48C-4981-A79A-530A5B0F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499037"/>
        <c:axId val="8073684"/>
      </c:lineChart>
      <c:catAx>
        <c:axId val="384990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73684"/>
        <c:crosses val="autoZero"/>
        <c:auto val="1"/>
        <c:lblAlgn val="ctr"/>
        <c:lblOffset val="100"/>
        <c:noMultiLvlLbl val="0"/>
      </c:catAx>
      <c:valAx>
        <c:axId val="80736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499037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Quant!$E$299</c:f>
              <c:strCache>
                <c:ptCount val="1"/>
                <c:pt idx="0">
                  <c:v>Level 2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Quant!$E$300:$E$324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251-49E3-B210-67F489A9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1346946"/>
        <c:axId val="44907677"/>
      </c:lineChart>
      <c:catAx>
        <c:axId val="81346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907677"/>
        <c:crosses val="autoZero"/>
        <c:auto val="1"/>
        <c:lblAlgn val="ctr"/>
        <c:lblOffset val="100"/>
        <c:noMultiLvlLbl val="0"/>
      </c:catAx>
      <c:valAx>
        <c:axId val="44907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346946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378885811"/>
          <c:w val="0.91197245800439297"/>
          <c:h val="0.68821175746383501"/>
        </c:manualLayout>
      </c:layout>
      <c:lineChart>
        <c:grouping val="standard"/>
        <c:varyColors val="0"/>
        <c:ser>
          <c:idx val="0"/>
          <c:order val="0"/>
          <c:tx>
            <c:strRef>
              <c:f>Quant!$F$299</c:f>
              <c:strCache>
                <c:ptCount val="1"/>
                <c:pt idx="0">
                  <c:v>Level 3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Quant!$F$300:$F$324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679-4A1B-B785-54F00C33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142149"/>
        <c:axId val="35287046"/>
      </c:lineChart>
      <c:catAx>
        <c:axId val="911421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287046"/>
        <c:crosses val="autoZero"/>
        <c:auto val="1"/>
        <c:lblAlgn val="ctr"/>
        <c:lblOffset val="100"/>
        <c:noMultiLvlLbl val="0"/>
      </c:catAx>
      <c:valAx>
        <c:axId val="352870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142149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217707024199"/>
          <c:w val="0.91197245800439297"/>
          <c:h val="0.68817204301075297"/>
        </c:manualLayout>
      </c:layout>
      <c:lineChart>
        <c:grouping val="standard"/>
        <c:varyColors val="0"/>
        <c:ser>
          <c:idx val="0"/>
          <c:order val="0"/>
          <c:tx>
            <c:strRef>
              <c:f>Quant!$G$299</c:f>
              <c:strCache>
                <c:ptCount val="1"/>
                <c:pt idx="0">
                  <c:v>Level 4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Quant!$G$300:$G$324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886-4673-8771-AB2AFCE3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626943"/>
        <c:axId val="44759793"/>
      </c:lineChart>
      <c:catAx>
        <c:axId val="576269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759793"/>
        <c:crosses val="autoZero"/>
        <c:auto val="1"/>
        <c:lblAlgn val="ctr"/>
        <c:lblOffset val="100"/>
        <c:noMultiLvlLbl val="0"/>
      </c:catAx>
      <c:valAx>
        <c:axId val="44759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626943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3-4BDA-8768-AA8ED69BD950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3-4BDA-8768-AA8ED69BD950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3-4BDA-8768-AA8ED69BD950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3-4BDA-8768-AA8ED69BD950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3-4BDA-8768-AA8ED69B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56703"/>
        <c:axId val="1917257183"/>
      </c:scatterChart>
      <c:valAx>
        <c:axId val="19172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7183"/>
        <c:crosses val="autoZero"/>
        <c:crossBetween val="midCat"/>
      </c:valAx>
      <c:valAx>
        <c:axId val="19172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C74-A998-3B9C67661C27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C-4C74-A998-3B9C67661C27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C-4C74-A998-3B9C67661C27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C-4C74-A998-3B9C67661C27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C-4C74-A998-3B9C67661C27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C-4C74-A998-3B9C6766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26655"/>
        <c:axId val="575728095"/>
      </c:scatterChart>
      <c:valAx>
        <c:axId val="5757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28095"/>
        <c:crosses val="autoZero"/>
        <c:crossBetween val="midCat"/>
      </c:valAx>
      <c:valAx>
        <c:axId val="57572809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2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2-49C2-A32A-B38A7923D127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2-49C2-A32A-B38A7923D127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2-49C2-A32A-B38A7923D127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2-49C2-A32A-B38A7923D127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2-49C2-A32A-B38A7923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51807"/>
        <c:axId val="954888511"/>
      </c:scatterChart>
      <c:valAx>
        <c:axId val="6367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88511"/>
        <c:crosses val="autoZero"/>
        <c:crossBetween val="midCat"/>
      </c:valAx>
      <c:valAx>
        <c:axId val="9548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5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7-4E41-A7AF-1DE0DB6BB54D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7-4E41-A7AF-1DE0DB6BB54D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7-4E41-A7AF-1DE0DB6BB54D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7-4E41-A7AF-1DE0DB6BB54D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7-4E41-A7AF-1DE0DB6BB54D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27-4E41-A7AF-1DE0DB6B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3919"/>
        <c:axId val="628684399"/>
      </c:scatterChart>
      <c:valAx>
        <c:axId val="6286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399"/>
        <c:crosses val="autoZero"/>
        <c:crossBetween val="midCat"/>
      </c:valAx>
      <c:valAx>
        <c:axId val="62868439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188900</xdr:colOff>
      <xdr:row>1</xdr:row>
      <xdr:rowOff>49530</xdr:rowOff>
    </xdr:from>
    <xdr:to>
      <xdr:col>9</xdr:col>
      <xdr:colOff>523875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E5ED550D-8A4E-5546-5F47-780CBA573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1925" y="106680"/>
          <a:ext cx="1077925" cy="15367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73811</xdr:colOff>
      <xdr:row>262</xdr:row>
      <xdr:rowOff>8640</xdr:rowOff>
    </xdr:from>
    <xdr:to>
      <xdr:col>8</xdr:col>
      <xdr:colOff>432930</xdr:colOff>
      <xdr:row>274</xdr:row>
      <xdr:rowOff>17895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E6EE-68C8-493E-882D-1D0D8EB4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89614</xdr:colOff>
      <xdr:row>288</xdr:row>
      <xdr:rowOff>17483</xdr:rowOff>
    </xdr:from>
    <xdr:to>
      <xdr:col>15</xdr:col>
      <xdr:colOff>584614</xdr:colOff>
      <xdr:row>299</xdr:row>
      <xdr:rowOff>36432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4A22E-7DF5-4DB0-A19A-FA82A97D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101520</xdr:colOff>
      <xdr:row>299</xdr:row>
      <xdr:rowOff>165240</xdr:rowOff>
    </xdr:from>
    <xdr:to>
      <xdr:col>15</xdr:col>
      <xdr:colOff>596520</xdr:colOff>
      <xdr:row>310</xdr:row>
      <xdr:rowOff>44508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45263-05C0-4B41-8643-E5A7519DF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101520</xdr:colOff>
      <xdr:row>311</xdr:row>
      <xdr:rowOff>101520</xdr:rowOff>
    </xdr:from>
    <xdr:to>
      <xdr:col>15</xdr:col>
      <xdr:colOff>596520</xdr:colOff>
      <xdr:row>321</xdr:row>
      <xdr:rowOff>207007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2A59A-2387-4E04-B811-438103145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101520</xdr:colOff>
      <xdr:row>323</xdr:row>
      <xdr:rowOff>38160</xdr:rowOff>
    </xdr:from>
    <xdr:to>
      <xdr:col>15</xdr:col>
      <xdr:colOff>596520</xdr:colOff>
      <xdr:row>334</xdr:row>
      <xdr:rowOff>157994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9EFC3-0BA3-4404-9B03-5085578A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1309AD-3D64-0C1C-DC9C-65B55533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31B2D-3150-6A83-724C-C506A783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A3D0D6-BA4B-D6B4-7145-F43A923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E59E2C-2A7B-81F3-2F6A-03E4D65C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33106E-7052-4D9F-48D7-5F76CB64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700443-428A-9FF4-AF26-126BB7AD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73811</xdr:colOff>
      <xdr:row>262</xdr:row>
      <xdr:rowOff>8640</xdr:rowOff>
    </xdr:from>
    <xdr:to>
      <xdr:col>8</xdr:col>
      <xdr:colOff>432930</xdr:colOff>
      <xdr:row>274</xdr:row>
      <xdr:rowOff>17895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AF07D-3B41-49E5-878C-6276CAF0A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89614</xdr:colOff>
      <xdr:row>288</xdr:row>
      <xdr:rowOff>17483</xdr:rowOff>
    </xdr:from>
    <xdr:to>
      <xdr:col>15</xdr:col>
      <xdr:colOff>584614</xdr:colOff>
      <xdr:row>299</xdr:row>
      <xdr:rowOff>36432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25405-2A15-45FF-A68D-4DBA0DDD9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101520</xdr:colOff>
      <xdr:row>299</xdr:row>
      <xdr:rowOff>165240</xdr:rowOff>
    </xdr:from>
    <xdr:to>
      <xdr:col>15</xdr:col>
      <xdr:colOff>596520</xdr:colOff>
      <xdr:row>310</xdr:row>
      <xdr:rowOff>44508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61D0C-0F97-40BD-8649-7F06C0A06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101520</xdr:colOff>
      <xdr:row>311</xdr:row>
      <xdr:rowOff>101520</xdr:rowOff>
    </xdr:from>
    <xdr:to>
      <xdr:col>15</xdr:col>
      <xdr:colOff>596520</xdr:colOff>
      <xdr:row>321</xdr:row>
      <xdr:rowOff>207007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CD4127-F988-46FD-B3B0-1B5886DC4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101520</xdr:colOff>
      <xdr:row>323</xdr:row>
      <xdr:rowOff>38160</xdr:rowOff>
    </xdr:from>
    <xdr:to>
      <xdr:col>15</xdr:col>
      <xdr:colOff>596520</xdr:colOff>
      <xdr:row>334</xdr:row>
      <xdr:rowOff>157994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0E046-DA13-4DA2-8340-DB4D13EE6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B589E-1CC8-4528-A03A-D65DF777ADF2}" name="CmpTbl2129" displayName="CmpTbl2129" ref="O60:T160" totalsRowShown="0" headerRowDxfId="87" dataDxfId="86">
  <autoFilter ref="O60:T16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DFAEC2F-4C9C-41D2-A34A-6BD7E781B57A}" name="X R1" dataDxfId="85">
      <calculatedColumnFormula>IF($J61="INCLUDE",E61,"")</calculatedColumnFormula>
    </tableColumn>
    <tableColumn id="2" xr3:uid="{27380139-292E-4253-9C85-5325FD6453B9}" name="X R2" dataDxfId="84">
      <calculatedColumnFormula>IF(AND($J61="INCLUDE",ISNUMBER(F61)),F61,"")</calculatedColumnFormula>
    </tableColumn>
    <tableColumn id="3" xr3:uid="{8BB43890-C64D-4A84-BE3D-3035988128E4}" name="Mean X" dataDxfId="83">
      <calculatedColumnFormula>IF($J61="INCLUDE",AVERAGE(O61:P61),"")</calculatedColumnFormula>
    </tableColumn>
    <tableColumn id="4" xr3:uid="{4CDC5716-BC08-4422-A573-D33615297E25}" name="Y R1" dataDxfId="82">
      <calculatedColumnFormula>IF($J61="INCLUDE",H61,"")</calculatedColumnFormula>
    </tableColumn>
    <tableColumn id="5" xr3:uid="{70849618-B730-4A2B-AA59-E9FFED150EE9}" name="Y R2" dataDxfId="81">
      <calculatedColumnFormula>IF(AND($J61="INCLUDE",ISNUMBER(I61)),I61,"")</calculatedColumnFormula>
    </tableColumn>
    <tableColumn id="6" xr3:uid="{76DC514B-4C58-4B78-87DE-5C11B9751CDB}" name="Mean Y" dataDxfId="80">
      <calculatedColumnFormula>IF($J61="INCLUDE",AVERAGE(R61:S61),"")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10BB1-94EE-4AEA-A532-2F7527FE0769}" name="CmpTbl21294" displayName="CmpTbl21294" ref="O60:T160" totalsRowShown="0" headerRowDxfId="79" dataDxfId="78">
  <autoFilter ref="O60:T16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078D9E7-442C-4356-92B9-9CA9F4277069}" name="X R1" dataDxfId="77">
      <calculatedColumnFormula>IF($J61="INCLUDE",E61,"")</calculatedColumnFormula>
    </tableColumn>
    <tableColumn id="2" xr3:uid="{A0812B28-86F0-4E50-9079-433FB4E92A47}" name="X R2" dataDxfId="76">
      <calculatedColumnFormula>IF(AND($J61="INCLUDE",ISNUMBER(F61)),F61,"")</calculatedColumnFormula>
    </tableColumn>
    <tableColumn id="3" xr3:uid="{C6C86A91-5895-493A-A3D6-8BEACEA0A0E2}" name="Mean X" dataDxfId="75">
      <calculatedColumnFormula>IF($J61="INCLUDE",AVERAGE(O61:P61),"")</calculatedColumnFormula>
    </tableColumn>
    <tableColumn id="4" xr3:uid="{0E5ECF79-735A-4EAF-A3CD-41A269AEE8D3}" name="Y R1" dataDxfId="74">
      <calculatedColumnFormula>IF($J61="INCLUDE",H61,"")</calculatedColumnFormula>
    </tableColumn>
    <tableColumn id="5" xr3:uid="{36D2F214-5D66-4445-8595-3B77A8BB9685}" name="Y R2" dataDxfId="73">
      <calculatedColumnFormula>IF(AND($J61="INCLUDE",ISNUMBER(I61)),I61,"")</calculatedColumnFormula>
    </tableColumn>
    <tableColumn id="6" xr3:uid="{D5667CBB-D87F-4955-8D08-27AA043C1F8A}" name="Mean Y" dataDxfId="72">
      <calculatedColumnFormula>IF($J61="INCLUDE",AVERAGE(R61:S61),"")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270418-0182-406C-B9FC-C3F3D750BC5F}">
  <we:reference id="5f366002-85f4-4596-824e-07359334712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9" workbookViewId="0">
      <selection activeCell="C51" sqref="C51"/>
    </sheetView>
  </sheetViews>
  <sheetFormatPr defaultRowHeight="15" x14ac:dyDescent="0.25"/>
  <cols>
    <col min="1" max="1" width="15.5703125" customWidth="1"/>
  </cols>
  <sheetData>
    <row r="1" spans="1:8" x14ac:dyDescent="0.25">
      <c r="B1" t="s">
        <v>0</v>
      </c>
      <c r="D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G2" t="s">
        <v>5</v>
      </c>
      <c r="H2" t="s">
        <v>6</v>
      </c>
    </row>
    <row r="3" spans="1:8" x14ac:dyDescent="0.25">
      <c r="A3">
        <v>2229705716</v>
      </c>
      <c r="B3">
        <v>10583</v>
      </c>
      <c r="C3">
        <v>10172</v>
      </c>
      <c r="D3">
        <v>10737</v>
      </c>
      <c r="E3">
        <v>10746</v>
      </c>
      <c r="G3">
        <f>AVERAGE(B3:C3)</f>
        <v>10377.5</v>
      </c>
      <c r="H3">
        <f>AVERAGE(D3:E3)</f>
        <v>10741.5</v>
      </c>
    </row>
    <row r="4" spans="1:8" x14ac:dyDescent="0.25">
      <c r="A4">
        <v>2229706564</v>
      </c>
      <c r="B4">
        <v>3879</v>
      </c>
      <c r="C4">
        <v>4233</v>
      </c>
      <c r="D4">
        <v>3934</v>
      </c>
      <c r="E4">
        <v>3763</v>
      </c>
      <c r="G4">
        <f t="shared" ref="G4:G42" si="0">AVERAGE(B4:C4)</f>
        <v>4056</v>
      </c>
      <c r="H4">
        <f t="shared" ref="H4:H42" si="1">AVERAGE(D4:E4)</f>
        <v>3848.5</v>
      </c>
    </row>
    <row r="5" spans="1:8" x14ac:dyDescent="0.25">
      <c r="A5">
        <v>2229804242</v>
      </c>
      <c r="B5">
        <v>2674</v>
      </c>
      <c r="C5">
        <v>2634</v>
      </c>
      <c r="D5">
        <v>2679</v>
      </c>
      <c r="E5">
        <v>2632</v>
      </c>
      <c r="G5">
        <f t="shared" si="0"/>
        <v>2654</v>
      </c>
      <c r="H5">
        <f t="shared" si="1"/>
        <v>2655.5</v>
      </c>
    </row>
    <row r="6" spans="1:8" x14ac:dyDescent="0.25">
      <c r="A6">
        <v>2229801511</v>
      </c>
      <c r="B6">
        <v>4865</v>
      </c>
      <c r="C6">
        <v>4629</v>
      </c>
      <c r="D6">
        <v>4932</v>
      </c>
      <c r="E6">
        <v>5449</v>
      </c>
      <c r="G6">
        <f t="shared" si="0"/>
        <v>4747</v>
      </c>
      <c r="H6">
        <f t="shared" si="1"/>
        <v>5190.5</v>
      </c>
    </row>
    <row r="7" spans="1:8" x14ac:dyDescent="0.25">
      <c r="A7">
        <v>2229805263</v>
      </c>
      <c r="B7">
        <v>1471</v>
      </c>
      <c r="C7">
        <v>1448</v>
      </c>
      <c r="D7">
        <v>1546</v>
      </c>
      <c r="E7">
        <v>1563</v>
      </c>
      <c r="G7">
        <f t="shared" si="0"/>
        <v>1459.5</v>
      </c>
      <c r="H7">
        <f t="shared" si="1"/>
        <v>1554.5</v>
      </c>
    </row>
    <row r="8" spans="1:8" x14ac:dyDescent="0.25">
      <c r="A8">
        <v>2229805226</v>
      </c>
      <c r="B8">
        <v>6018</v>
      </c>
      <c r="C8">
        <v>5742</v>
      </c>
      <c r="D8">
        <v>5985</v>
      </c>
      <c r="E8">
        <v>6065</v>
      </c>
      <c r="G8">
        <f t="shared" si="0"/>
        <v>5880</v>
      </c>
      <c r="H8">
        <f t="shared" si="1"/>
        <v>6025</v>
      </c>
    </row>
    <row r="9" spans="1:8" x14ac:dyDescent="0.25">
      <c r="A9">
        <v>2229804358</v>
      </c>
      <c r="B9">
        <v>3891</v>
      </c>
      <c r="C9">
        <v>3851</v>
      </c>
      <c r="D9">
        <v>3922</v>
      </c>
      <c r="E9">
        <v>3801</v>
      </c>
      <c r="G9">
        <f t="shared" si="0"/>
        <v>3871</v>
      </c>
      <c r="H9">
        <f t="shared" si="1"/>
        <v>3861.5</v>
      </c>
    </row>
    <row r="10" spans="1:8" x14ac:dyDescent="0.25">
      <c r="A10">
        <v>2229803634</v>
      </c>
      <c r="B10">
        <v>2519</v>
      </c>
      <c r="C10">
        <v>2403</v>
      </c>
      <c r="D10">
        <v>2593</v>
      </c>
      <c r="E10">
        <v>2474</v>
      </c>
      <c r="G10">
        <f t="shared" si="0"/>
        <v>2461</v>
      </c>
      <c r="H10">
        <f t="shared" si="1"/>
        <v>2533.5</v>
      </c>
    </row>
    <row r="11" spans="1:8" x14ac:dyDescent="0.25">
      <c r="A11">
        <v>2229804436</v>
      </c>
      <c r="B11">
        <v>1867</v>
      </c>
      <c r="C11">
        <v>1737</v>
      </c>
      <c r="D11">
        <v>1880</v>
      </c>
      <c r="E11">
        <v>1836</v>
      </c>
      <c r="G11">
        <f t="shared" si="0"/>
        <v>1802</v>
      </c>
      <c r="H11">
        <f t="shared" si="1"/>
        <v>1858</v>
      </c>
    </row>
    <row r="12" spans="1:8" x14ac:dyDescent="0.25">
      <c r="A12">
        <v>2229804060</v>
      </c>
      <c r="B12">
        <v>1565</v>
      </c>
      <c r="C12">
        <v>1650</v>
      </c>
      <c r="D12">
        <v>1622</v>
      </c>
      <c r="E12">
        <v>1650</v>
      </c>
      <c r="G12">
        <f t="shared" si="0"/>
        <v>1607.5</v>
      </c>
      <c r="H12">
        <f t="shared" si="1"/>
        <v>1636</v>
      </c>
    </row>
    <row r="13" spans="1:8" x14ac:dyDescent="0.25">
      <c r="A13">
        <v>2229803948</v>
      </c>
      <c r="B13">
        <v>4267</v>
      </c>
      <c r="C13">
        <v>4391</v>
      </c>
      <c r="D13">
        <v>4282</v>
      </c>
      <c r="E13">
        <v>4401</v>
      </c>
      <c r="G13">
        <f t="shared" si="0"/>
        <v>4329</v>
      </c>
      <c r="H13">
        <f t="shared" si="1"/>
        <v>4341.5</v>
      </c>
    </row>
    <row r="14" spans="1:8" x14ac:dyDescent="0.25">
      <c r="A14">
        <v>2229802716</v>
      </c>
      <c r="B14">
        <v>7862</v>
      </c>
      <c r="C14">
        <v>7961</v>
      </c>
      <c r="D14">
        <v>8076</v>
      </c>
      <c r="E14">
        <v>8294</v>
      </c>
      <c r="G14">
        <f t="shared" si="0"/>
        <v>7911.5</v>
      </c>
      <c r="H14">
        <f t="shared" si="1"/>
        <v>8185</v>
      </c>
    </row>
    <row r="15" spans="1:8" x14ac:dyDescent="0.25">
      <c r="A15">
        <v>2229806103</v>
      </c>
      <c r="B15">
        <v>1831</v>
      </c>
      <c r="C15">
        <v>1766</v>
      </c>
      <c r="D15">
        <v>1813</v>
      </c>
      <c r="E15">
        <v>1694</v>
      </c>
      <c r="G15">
        <f t="shared" si="0"/>
        <v>1798.5</v>
      </c>
      <c r="H15">
        <f t="shared" si="1"/>
        <v>1753.5</v>
      </c>
    </row>
    <row r="16" spans="1:8" x14ac:dyDescent="0.25">
      <c r="A16">
        <v>2229807634</v>
      </c>
      <c r="B16">
        <v>6651</v>
      </c>
      <c r="C16">
        <v>6357</v>
      </c>
      <c r="D16">
        <v>6805</v>
      </c>
      <c r="E16">
        <v>6781</v>
      </c>
      <c r="G16">
        <f t="shared" si="0"/>
        <v>6504</v>
      </c>
      <c r="H16">
        <f t="shared" si="1"/>
        <v>6793</v>
      </c>
    </row>
    <row r="17" spans="1:8" x14ac:dyDescent="0.25">
      <c r="A17">
        <v>2229903100</v>
      </c>
      <c r="B17">
        <v>9130</v>
      </c>
      <c r="C17">
        <v>9883</v>
      </c>
      <c r="D17">
        <v>9275</v>
      </c>
      <c r="E17">
        <v>8837</v>
      </c>
      <c r="G17">
        <f t="shared" si="0"/>
        <v>9506.5</v>
      </c>
      <c r="H17">
        <f t="shared" si="1"/>
        <v>9056</v>
      </c>
    </row>
    <row r="18" spans="1:8" x14ac:dyDescent="0.25">
      <c r="A18">
        <v>2229903874</v>
      </c>
      <c r="B18">
        <v>4837</v>
      </c>
      <c r="C18">
        <v>4725</v>
      </c>
      <c r="D18">
        <v>4877</v>
      </c>
      <c r="E18">
        <v>4572</v>
      </c>
      <c r="G18">
        <f t="shared" si="0"/>
        <v>4781</v>
      </c>
      <c r="H18">
        <f t="shared" si="1"/>
        <v>4724.5</v>
      </c>
    </row>
    <row r="19" spans="1:8" x14ac:dyDescent="0.25">
      <c r="A19">
        <v>2229905006</v>
      </c>
      <c r="B19">
        <v>2059</v>
      </c>
      <c r="C19">
        <v>2185</v>
      </c>
      <c r="D19">
        <v>2146</v>
      </c>
      <c r="E19">
        <v>2121</v>
      </c>
      <c r="G19">
        <f t="shared" si="0"/>
        <v>2122</v>
      </c>
      <c r="H19">
        <f t="shared" si="1"/>
        <v>2133.5</v>
      </c>
    </row>
    <row r="20" spans="1:8" x14ac:dyDescent="0.25">
      <c r="A20">
        <v>2230003011</v>
      </c>
      <c r="B20">
        <v>17052</v>
      </c>
      <c r="C20">
        <v>18666</v>
      </c>
      <c r="D20">
        <v>16905</v>
      </c>
      <c r="E20">
        <v>16248</v>
      </c>
      <c r="G20">
        <f t="shared" si="0"/>
        <v>17859</v>
      </c>
      <c r="H20">
        <f t="shared" si="1"/>
        <v>16576.5</v>
      </c>
    </row>
    <row r="21" spans="1:8" x14ac:dyDescent="0.25">
      <c r="A21">
        <v>2230003937</v>
      </c>
      <c r="B21">
        <v>7365</v>
      </c>
      <c r="C21">
        <v>6763</v>
      </c>
      <c r="D21">
        <v>7259</v>
      </c>
      <c r="E21">
        <v>6954</v>
      </c>
      <c r="G21">
        <f t="shared" si="0"/>
        <v>7064</v>
      </c>
      <c r="H21">
        <f t="shared" si="1"/>
        <v>7106.5</v>
      </c>
    </row>
    <row r="22" spans="1:8" x14ac:dyDescent="0.25">
      <c r="A22">
        <v>2230106239</v>
      </c>
      <c r="B22">
        <v>940</v>
      </c>
      <c r="C22">
        <v>987</v>
      </c>
      <c r="D22">
        <v>996</v>
      </c>
      <c r="E22">
        <v>977</v>
      </c>
      <c r="G22">
        <f t="shared" si="0"/>
        <v>963.5</v>
      </c>
      <c r="H22">
        <f t="shared" si="1"/>
        <v>986.5</v>
      </c>
    </row>
    <row r="23" spans="1:8" x14ac:dyDescent="0.25">
      <c r="A23">
        <v>2230106308</v>
      </c>
      <c r="B23">
        <v>434</v>
      </c>
      <c r="C23">
        <v>383</v>
      </c>
      <c r="D23">
        <v>456</v>
      </c>
      <c r="E23">
        <v>506</v>
      </c>
      <c r="G23">
        <f t="shared" si="0"/>
        <v>408.5</v>
      </c>
      <c r="H23">
        <f t="shared" si="1"/>
        <v>481</v>
      </c>
    </row>
    <row r="24" spans="1:8" x14ac:dyDescent="0.25">
      <c r="A24">
        <v>2230104994</v>
      </c>
      <c r="B24">
        <v>5693</v>
      </c>
      <c r="C24">
        <v>5553</v>
      </c>
      <c r="D24">
        <v>5677</v>
      </c>
      <c r="E24">
        <v>5529</v>
      </c>
      <c r="G24">
        <f t="shared" si="0"/>
        <v>5623</v>
      </c>
      <c r="H24">
        <f t="shared" si="1"/>
        <v>5603</v>
      </c>
    </row>
    <row r="25" spans="1:8" x14ac:dyDescent="0.25">
      <c r="A25">
        <v>2230104292</v>
      </c>
      <c r="B25">
        <v>4987</v>
      </c>
      <c r="C25">
        <v>4860</v>
      </c>
      <c r="D25">
        <v>5071</v>
      </c>
      <c r="E25">
        <v>5021</v>
      </c>
      <c r="G25">
        <f t="shared" si="0"/>
        <v>4923.5</v>
      </c>
      <c r="H25">
        <f t="shared" si="1"/>
        <v>5046</v>
      </c>
    </row>
    <row r="26" spans="1:8" x14ac:dyDescent="0.25">
      <c r="A26">
        <v>2230106691</v>
      </c>
      <c r="B26">
        <v>2754</v>
      </c>
      <c r="C26">
        <v>2736</v>
      </c>
      <c r="D26">
        <v>2873</v>
      </c>
      <c r="E26">
        <v>2726</v>
      </c>
      <c r="G26">
        <f t="shared" si="0"/>
        <v>2745</v>
      </c>
      <c r="H26">
        <f t="shared" si="1"/>
        <v>2799.5</v>
      </c>
    </row>
    <row r="27" spans="1:8" x14ac:dyDescent="0.25">
      <c r="A27">
        <v>2230204176</v>
      </c>
      <c r="B27">
        <v>1725</v>
      </c>
      <c r="C27">
        <v>1752</v>
      </c>
      <c r="D27">
        <v>1775</v>
      </c>
      <c r="E27">
        <v>1668</v>
      </c>
      <c r="G27">
        <f t="shared" si="0"/>
        <v>1738.5</v>
      </c>
      <c r="H27">
        <f t="shared" si="1"/>
        <v>1721.5</v>
      </c>
    </row>
    <row r="28" spans="1:8" x14ac:dyDescent="0.25">
      <c r="A28">
        <v>2231404848</v>
      </c>
      <c r="B28">
        <v>7192</v>
      </c>
      <c r="C28">
        <v>6922</v>
      </c>
      <c r="D28">
        <v>7454</v>
      </c>
      <c r="E28">
        <v>7641</v>
      </c>
      <c r="G28">
        <f t="shared" si="0"/>
        <v>7057</v>
      </c>
      <c r="H28">
        <f t="shared" si="1"/>
        <v>7547.5</v>
      </c>
    </row>
    <row r="29" spans="1:8" x14ac:dyDescent="0.25">
      <c r="A29">
        <v>2231406897</v>
      </c>
      <c r="B29">
        <v>3024</v>
      </c>
      <c r="C29">
        <v>2979</v>
      </c>
      <c r="D29">
        <v>3058</v>
      </c>
      <c r="E29">
        <v>2961</v>
      </c>
      <c r="G29">
        <f t="shared" si="0"/>
        <v>3001.5</v>
      </c>
      <c r="H29">
        <f t="shared" si="1"/>
        <v>3009.5</v>
      </c>
    </row>
    <row r="30" spans="1:8" x14ac:dyDescent="0.25">
      <c r="A30">
        <v>2231407330</v>
      </c>
      <c r="B30">
        <v>903</v>
      </c>
      <c r="C30">
        <v>888</v>
      </c>
      <c r="D30">
        <v>954</v>
      </c>
      <c r="E30">
        <v>1019</v>
      </c>
      <c r="G30">
        <f t="shared" si="0"/>
        <v>895.5</v>
      </c>
      <c r="H30">
        <f t="shared" si="1"/>
        <v>986.5</v>
      </c>
    </row>
    <row r="31" spans="1:8" x14ac:dyDescent="0.25">
      <c r="A31">
        <v>2231503109</v>
      </c>
      <c r="B31">
        <v>11962</v>
      </c>
      <c r="C31">
        <v>12349</v>
      </c>
      <c r="D31">
        <v>11793</v>
      </c>
      <c r="E31">
        <v>11631</v>
      </c>
      <c r="G31">
        <f t="shared" si="0"/>
        <v>12155.5</v>
      </c>
      <c r="H31">
        <f t="shared" si="1"/>
        <v>11712</v>
      </c>
    </row>
    <row r="32" spans="1:8" x14ac:dyDescent="0.25">
      <c r="A32">
        <v>2231504117</v>
      </c>
      <c r="B32">
        <v>1295</v>
      </c>
      <c r="C32">
        <v>1286</v>
      </c>
      <c r="D32">
        <v>1347</v>
      </c>
      <c r="E32">
        <v>1485</v>
      </c>
      <c r="G32">
        <f t="shared" si="0"/>
        <v>1290.5</v>
      </c>
      <c r="H32">
        <f t="shared" si="1"/>
        <v>1416</v>
      </c>
    </row>
    <row r="33" spans="1:8" x14ac:dyDescent="0.25">
      <c r="A33">
        <v>2231502835</v>
      </c>
      <c r="B33">
        <v>948</v>
      </c>
      <c r="C33">
        <v>938</v>
      </c>
      <c r="D33">
        <v>1000</v>
      </c>
      <c r="E33">
        <v>997</v>
      </c>
      <c r="G33">
        <f t="shared" si="0"/>
        <v>943</v>
      </c>
      <c r="H33">
        <f t="shared" si="1"/>
        <v>998.5</v>
      </c>
    </row>
    <row r="34" spans="1:8" x14ac:dyDescent="0.25">
      <c r="A34">
        <v>2231503694</v>
      </c>
      <c r="B34">
        <v>11643</v>
      </c>
      <c r="C34">
        <v>10982</v>
      </c>
      <c r="D34">
        <v>11982</v>
      </c>
      <c r="E34">
        <v>11415</v>
      </c>
      <c r="G34">
        <f t="shared" si="0"/>
        <v>11312.5</v>
      </c>
      <c r="H34">
        <f t="shared" si="1"/>
        <v>11698.5</v>
      </c>
    </row>
    <row r="35" spans="1:8" x14ac:dyDescent="0.25">
      <c r="A35">
        <v>2231504139</v>
      </c>
      <c r="B35">
        <v>2687</v>
      </c>
      <c r="C35">
        <v>2713</v>
      </c>
      <c r="D35">
        <v>2777</v>
      </c>
      <c r="E35">
        <v>2881</v>
      </c>
      <c r="G35">
        <f t="shared" si="0"/>
        <v>2700</v>
      </c>
      <c r="H35">
        <f t="shared" si="1"/>
        <v>2829</v>
      </c>
    </row>
    <row r="36" spans="1:8" x14ac:dyDescent="0.25">
      <c r="A36">
        <v>2231503832</v>
      </c>
      <c r="B36">
        <v>3688</v>
      </c>
      <c r="C36">
        <v>3434</v>
      </c>
      <c r="D36">
        <v>3714</v>
      </c>
      <c r="E36">
        <v>3839</v>
      </c>
      <c r="G36">
        <f t="shared" si="0"/>
        <v>3561</v>
      </c>
      <c r="H36">
        <f t="shared" si="1"/>
        <v>3776.5</v>
      </c>
    </row>
    <row r="37" spans="1:8" x14ac:dyDescent="0.25">
      <c r="A37">
        <v>2231503992</v>
      </c>
      <c r="B37">
        <v>1756</v>
      </c>
      <c r="C37">
        <v>1666</v>
      </c>
      <c r="D37">
        <v>1873</v>
      </c>
      <c r="E37">
        <v>1925</v>
      </c>
      <c r="G37">
        <f t="shared" si="0"/>
        <v>1711</v>
      </c>
      <c r="H37">
        <f t="shared" si="1"/>
        <v>1899</v>
      </c>
    </row>
    <row r="38" spans="1:8" x14ac:dyDescent="0.25">
      <c r="A38">
        <v>2231506001</v>
      </c>
      <c r="B38">
        <v>989</v>
      </c>
      <c r="C38">
        <v>1023</v>
      </c>
      <c r="D38">
        <v>1062</v>
      </c>
      <c r="E38">
        <v>1022</v>
      </c>
      <c r="G38">
        <f t="shared" si="0"/>
        <v>1006</v>
      </c>
      <c r="H38">
        <f t="shared" si="1"/>
        <v>1042</v>
      </c>
    </row>
    <row r="39" spans="1:8" x14ac:dyDescent="0.25">
      <c r="A39">
        <v>2231504468</v>
      </c>
      <c r="B39">
        <v>1182</v>
      </c>
      <c r="C39">
        <v>1179</v>
      </c>
      <c r="D39">
        <v>1570</v>
      </c>
      <c r="E39">
        <v>1662</v>
      </c>
      <c r="G39">
        <f t="shared" si="0"/>
        <v>1180.5</v>
      </c>
      <c r="H39">
        <f t="shared" si="1"/>
        <v>1616</v>
      </c>
    </row>
    <row r="40" spans="1:8" x14ac:dyDescent="0.25">
      <c r="A40">
        <v>2231602794</v>
      </c>
      <c r="B40">
        <v>9098</v>
      </c>
      <c r="C40">
        <v>8916</v>
      </c>
      <c r="D40">
        <v>9212</v>
      </c>
      <c r="E40">
        <v>9549</v>
      </c>
      <c r="G40">
        <f t="shared" si="0"/>
        <v>9007</v>
      </c>
      <c r="H40">
        <f t="shared" si="1"/>
        <v>9380.5</v>
      </c>
    </row>
    <row r="41" spans="1:8" x14ac:dyDescent="0.25">
      <c r="A41">
        <v>2231603495</v>
      </c>
      <c r="B41">
        <v>4333</v>
      </c>
      <c r="C41">
        <v>4543</v>
      </c>
      <c r="D41">
        <v>4427</v>
      </c>
      <c r="E41">
        <v>4238</v>
      </c>
      <c r="G41">
        <f t="shared" si="0"/>
        <v>4438</v>
      </c>
      <c r="H41">
        <f t="shared" si="1"/>
        <v>4332.5</v>
      </c>
    </row>
    <row r="42" spans="1:8" x14ac:dyDescent="0.25">
      <c r="A42">
        <v>2231503532</v>
      </c>
      <c r="B42">
        <v>3486</v>
      </c>
      <c r="C42">
        <v>3726</v>
      </c>
      <c r="D42">
        <v>3516</v>
      </c>
      <c r="E42">
        <v>3101</v>
      </c>
      <c r="G42">
        <f t="shared" si="0"/>
        <v>3606</v>
      </c>
      <c r="H42">
        <f t="shared" si="1"/>
        <v>3308.5</v>
      </c>
    </row>
    <row r="44" spans="1:8" x14ac:dyDescent="0.25">
      <c r="A44" t="s">
        <v>14</v>
      </c>
    </row>
    <row r="45" spans="1:8" x14ac:dyDescent="0.25">
      <c r="A45" t="s">
        <v>7</v>
      </c>
      <c r="B45" t="s">
        <v>8</v>
      </c>
    </row>
    <row r="46" spans="1:8" x14ac:dyDescent="0.25">
      <c r="A46" t="s">
        <v>9</v>
      </c>
      <c r="B46" t="s">
        <v>10</v>
      </c>
      <c r="C46" t="s">
        <v>11</v>
      </c>
    </row>
    <row r="47" spans="1:8" x14ac:dyDescent="0.25">
      <c r="A47" t="s">
        <v>12</v>
      </c>
      <c r="B47">
        <v>57.227950222991183</v>
      </c>
      <c r="C47">
        <v>-8.3780839929988549</v>
      </c>
      <c r="D47">
        <v>135.5327008807219</v>
      </c>
    </row>
    <row r="48" spans="1:8" x14ac:dyDescent="0.25">
      <c r="A48" t="s">
        <v>13</v>
      </c>
      <c r="B48">
        <v>0.99879178404393099</v>
      </c>
      <c r="C48">
        <v>0.96284824941098179</v>
      </c>
      <c r="D48">
        <v>1.0290121189864121</v>
      </c>
    </row>
    <row r="51" spans="1:5" x14ac:dyDescent="0.25">
      <c r="A51" t="s">
        <v>20</v>
      </c>
    </row>
    <row r="52" spans="1:5" x14ac:dyDescent="0.25">
      <c r="A52" t="s">
        <v>7</v>
      </c>
      <c r="B52" t="s">
        <v>16</v>
      </c>
    </row>
    <row r="53" spans="1:5" x14ac:dyDescent="0.25">
      <c r="A53" t="s">
        <v>17</v>
      </c>
      <c r="B53">
        <v>1</v>
      </c>
    </row>
    <row r="54" spans="1:5" x14ac:dyDescent="0.25">
      <c r="A54" t="s">
        <v>9</v>
      </c>
      <c r="B54" t="s">
        <v>10</v>
      </c>
      <c r="C54" t="s">
        <v>18</v>
      </c>
      <c r="E54" t="s">
        <v>19</v>
      </c>
    </row>
    <row r="55" spans="1:5" x14ac:dyDescent="0.25">
      <c r="A55" t="s">
        <v>12</v>
      </c>
      <c r="B55">
        <v>80.387818869303374</v>
      </c>
      <c r="C55">
        <v>44.820270672323261</v>
      </c>
      <c r="D55">
        <v>115.95536706628349</v>
      </c>
      <c r="E55">
        <v>17.569477738588642</v>
      </c>
    </row>
    <row r="56" spans="1:5" x14ac:dyDescent="0.25">
      <c r="A56" t="s">
        <v>13</v>
      </c>
      <c r="B56">
        <v>0.9949122067759395</v>
      </c>
      <c r="C56">
        <v>0.97516228941616689</v>
      </c>
      <c r="D56">
        <v>1.0146621241357121</v>
      </c>
      <c r="E56">
        <v>9.7559643827502592E-3</v>
      </c>
    </row>
  </sheetData>
  <pageMargins left="0.7" right="0.7" top="0.75" bottom="0.75" header="0.3" footer="0.3"/>
  <customProperties>
    <customPr name="__ai3_dataset_2008140669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DB1E-90F5-41A1-9050-B5755A158186}">
  <dimension ref="A1:BC518"/>
  <sheetViews>
    <sheetView tabSelected="1" topLeftCell="A52" zoomScale="80" zoomScaleNormal="80" workbookViewId="0">
      <selection activeCell="B81" sqref="B81:C81"/>
    </sheetView>
  </sheetViews>
  <sheetFormatPr defaultColWidth="9.140625" defaultRowHeight="18" customHeight="1" x14ac:dyDescent="0.25"/>
  <cols>
    <col min="1" max="30" width="11.28515625" style="3" customWidth="1"/>
    <col min="31" max="16384" width="9.140625" style="3"/>
  </cols>
  <sheetData>
    <row r="1" spans="1:44" s="74" customFormat="1" ht="18" customHeight="1" x14ac:dyDescent="0.25">
      <c r="A1" s="72"/>
      <c r="B1" s="73" t="s">
        <v>258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3" spans="1:44" ht="18" customHeight="1" x14ac:dyDescent="0.25">
      <c r="B3" s="75" t="s">
        <v>259</v>
      </c>
      <c r="G3" s="76" t="s">
        <v>260</v>
      </c>
      <c r="H3" s="77"/>
      <c r="J3" s="78" t="s">
        <v>261</v>
      </c>
    </row>
    <row r="4" spans="1:44" ht="18" customHeight="1" x14ac:dyDescent="0.25">
      <c r="A4" s="8"/>
      <c r="B4" s="263" t="s">
        <v>262</v>
      </c>
      <c r="C4" s="263"/>
      <c r="D4" s="263"/>
      <c r="E4" s="263"/>
      <c r="G4" s="79" t="s">
        <v>548</v>
      </c>
      <c r="H4" s="80"/>
      <c r="J4" s="81">
        <v>10</v>
      </c>
      <c r="W4" s="82"/>
      <c r="X4" s="82"/>
      <c r="Y4" s="83"/>
      <c r="AQ4" s="82"/>
      <c r="AR4" s="82"/>
    </row>
    <row r="5" spans="1:44" ht="18" customHeight="1" x14ac:dyDescent="0.25">
      <c r="A5" s="8"/>
      <c r="B5" s="75" t="s">
        <v>263</v>
      </c>
      <c r="H5" s="80"/>
      <c r="J5" s="76" t="s">
        <v>264</v>
      </c>
      <c r="W5" s="82"/>
      <c r="X5" s="82"/>
      <c r="Y5" s="83"/>
      <c r="AQ5" s="82"/>
      <c r="AR5" s="82"/>
    </row>
    <row r="6" spans="1:44" ht="18" customHeight="1" x14ac:dyDescent="0.25">
      <c r="A6" s="8"/>
      <c r="B6" s="240" t="s">
        <v>265</v>
      </c>
      <c r="C6" s="242"/>
      <c r="D6" s="84"/>
      <c r="E6" s="84"/>
      <c r="G6" s="8"/>
      <c r="H6" s="80"/>
      <c r="J6" s="85">
        <v>0.1</v>
      </c>
      <c r="K6" s="82"/>
      <c r="W6" s="82"/>
      <c r="X6" s="82"/>
      <c r="Y6" s="83"/>
      <c r="AQ6" s="82"/>
      <c r="AR6" s="82"/>
    </row>
    <row r="7" spans="1:44" ht="18" customHeight="1" x14ac:dyDescent="0.25">
      <c r="A7" s="8"/>
      <c r="B7" s="75" t="s">
        <v>266</v>
      </c>
      <c r="G7" s="8"/>
      <c r="H7" s="84"/>
      <c r="I7" s="82"/>
      <c r="J7" s="86" t="s">
        <v>267</v>
      </c>
      <c r="K7" s="82"/>
      <c r="W7" s="82"/>
      <c r="X7" s="82"/>
      <c r="Y7" s="83"/>
      <c r="AQ7" s="82"/>
      <c r="AR7" s="82"/>
    </row>
    <row r="8" spans="1:44" ht="18" customHeight="1" x14ac:dyDescent="0.25">
      <c r="A8" s="8"/>
      <c r="B8" s="264" t="s">
        <v>268</v>
      </c>
      <c r="C8" s="264"/>
      <c r="D8" s="264"/>
      <c r="E8" s="264"/>
      <c r="F8" s="264"/>
      <c r="G8" s="264"/>
      <c r="H8" s="264"/>
      <c r="J8" s="81">
        <v>100</v>
      </c>
      <c r="K8" s="82"/>
      <c r="L8" s="82"/>
      <c r="M8" s="82"/>
      <c r="N8" s="82"/>
      <c r="W8" s="82"/>
      <c r="X8" s="82"/>
      <c r="Y8" s="83"/>
      <c r="AQ8" s="82"/>
      <c r="AR8" s="82"/>
    </row>
    <row r="9" spans="1:44" ht="18" customHeight="1" x14ac:dyDescent="0.25">
      <c r="A9" s="8"/>
      <c r="B9" s="75" t="s">
        <v>269</v>
      </c>
      <c r="I9" s="87"/>
      <c r="J9" s="87"/>
      <c r="W9" s="82"/>
      <c r="X9" s="82"/>
      <c r="Y9" s="83"/>
      <c r="AQ9" s="82"/>
      <c r="AR9" s="82"/>
    </row>
    <row r="10" spans="1:44" ht="18" customHeight="1" x14ac:dyDescent="0.25">
      <c r="A10" s="8"/>
      <c r="B10" s="264" t="s">
        <v>270</v>
      </c>
      <c r="C10" s="264"/>
      <c r="D10" s="264"/>
      <c r="E10" s="264"/>
      <c r="F10" s="264"/>
      <c r="G10" s="264"/>
      <c r="H10" s="264"/>
      <c r="I10" s="87"/>
      <c r="J10" s="87"/>
      <c r="Q10" s="88"/>
      <c r="W10" s="82"/>
      <c r="X10" s="82"/>
      <c r="Y10" s="83"/>
      <c r="AQ10" s="82"/>
      <c r="AR10" s="82"/>
    </row>
    <row r="11" spans="1:44" ht="18" customHeight="1" x14ac:dyDescent="0.25">
      <c r="A11" s="8"/>
      <c r="B11" s="89" t="s">
        <v>271</v>
      </c>
      <c r="C11" s="90"/>
      <c r="D11" s="90"/>
      <c r="E11" s="90"/>
      <c r="F11" s="90"/>
      <c r="G11" s="90"/>
      <c r="H11" s="90"/>
      <c r="I11" s="87"/>
      <c r="J11" s="87"/>
      <c r="S11" s="3" t="s">
        <v>177</v>
      </c>
      <c r="W11" s="82"/>
      <c r="X11" s="82"/>
      <c r="Y11" s="83"/>
      <c r="AQ11" s="82"/>
      <c r="AR11" s="82"/>
    </row>
    <row r="12" spans="1:44" ht="18" customHeight="1" x14ac:dyDescent="0.25">
      <c r="A12" s="8"/>
      <c r="B12" s="265"/>
      <c r="C12" s="266"/>
      <c r="D12" s="266"/>
      <c r="E12" s="267"/>
      <c r="F12" s="90"/>
      <c r="G12" s="90"/>
      <c r="H12" s="90"/>
      <c r="I12" s="87"/>
      <c r="J12" s="87"/>
      <c r="K12" s="87"/>
      <c r="L12" s="87"/>
      <c r="M12" s="87"/>
      <c r="W12" s="82"/>
      <c r="AQ12" s="82"/>
      <c r="AR12" s="82"/>
    </row>
    <row r="13" spans="1:44" ht="18" customHeight="1" x14ac:dyDescent="0.25">
      <c r="B13" s="76" t="s">
        <v>272</v>
      </c>
      <c r="C13" s="91"/>
      <c r="D13" s="91"/>
      <c r="E13" s="91"/>
      <c r="F13" s="92"/>
      <c r="G13" s="92"/>
      <c r="H13" s="92"/>
      <c r="I13" s="87"/>
      <c r="J13" s="87"/>
      <c r="K13" s="87"/>
      <c r="L13" s="87"/>
      <c r="M13" s="87"/>
      <c r="W13" s="82"/>
      <c r="AQ13" s="82"/>
      <c r="AR13" s="82"/>
    </row>
    <row r="14" spans="1:44" ht="18" customHeight="1" x14ac:dyDescent="0.25">
      <c r="A14" s="8"/>
      <c r="B14" s="268" t="s">
        <v>273</v>
      </c>
      <c r="C14" s="268"/>
      <c r="D14" s="268"/>
      <c r="E14" s="268"/>
      <c r="F14" s="92"/>
      <c r="G14" s="92"/>
      <c r="H14" s="92"/>
      <c r="I14" s="87"/>
      <c r="J14" s="87"/>
      <c r="K14" s="87"/>
      <c r="L14" s="87"/>
      <c r="M14" s="87"/>
      <c r="W14" s="82"/>
      <c r="AQ14" s="82"/>
      <c r="AR14" s="82"/>
    </row>
    <row r="15" spans="1:44" ht="18" customHeight="1" x14ac:dyDescent="0.25">
      <c r="A15" s="8"/>
      <c r="B15" s="93" t="s">
        <v>274</v>
      </c>
      <c r="C15" s="84"/>
      <c r="D15" s="84"/>
      <c r="E15" s="84"/>
      <c r="F15" s="92"/>
      <c r="G15" s="92"/>
      <c r="H15" s="92"/>
      <c r="I15" s="87"/>
      <c r="J15" s="87"/>
      <c r="K15" s="87"/>
      <c r="L15" s="87"/>
      <c r="M15" s="87"/>
      <c r="W15" s="82"/>
      <c r="AQ15" s="82"/>
      <c r="AR15" s="82"/>
    </row>
    <row r="16" spans="1:44" ht="18" customHeight="1" x14ac:dyDescent="0.25">
      <c r="A16" s="8"/>
      <c r="B16" s="240"/>
      <c r="C16" s="241"/>
      <c r="D16" s="241"/>
      <c r="E16" s="242"/>
      <c r="F16" s="92"/>
      <c r="G16" s="92"/>
      <c r="H16" s="92"/>
      <c r="I16" s="87"/>
      <c r="J16" s="87"/>
      <c r="K16" s="87"/>
      <c r="L16" s="87"/>
      <c r="M16" s="87"/>
      <c r="W16" s="82"/>
      <c r="AQ16" s="82"/>
      <c r="AR16" s="82"/>
    </row>
    <row r="17" spans="1:44" ht="18" customHeight="1" x14ac:dyDescent="0.25">
      <c r="A17" s="8"/>
      <c r="B17" s="82"/>
      <c r="C17" s="82"/>
      <c r="D17" s="82"/>
      <c r="E17" s="82"/>
      <c r="F17" s="92"/>
      <c r="G17" s="92"/>
      <c r="H17" s="92"/>
      <c r="I17" s="87"/>
      <c r="J17" s="87"/>
      <c r="K17" s="87"/>
      <c r="L17" s="87"/>
      <c r="M17" s="87"/>
      <c r="W17" s="82"/>
      <c r="AQ17" s="82"/>
      <c r="AR17" s="82"/>
    </row>
    <row r="18" spans="1:44" ht="18" customHeight="1" x14ac:dyDescent="0.25">
      <c r="A18" s="94"/>
      <c r="B18" s="95" t="s">
        <v>275</v>
      </c>
      <c r="C18" s="82"/>
      <c r="D18" s="87"/>
      <c r="E18" s="87"/>
      <c r="F18" s="87"/>
      <c r="G18" s="87"/>
      <c r="H18" s="87"/>
      <c r="I18" s="82"/>
      <c r="J18" s="87"/>
      <c r="K18" s="87"/>
      <c r="L18" s="87"/>
      <c r="M18" s="87"/>
      <c r="N18" s="87"/>
      <c r="O18" s="87"/>
      <c r="P18" s="87"/>
      <c r="Q18" s="87"/>
      <c r="S18" s="87"/>
      <c r="T18" s="87"/>
      <c r="U18" s="87"/>
      <c r="V18" s="87"/>
      <c r="AG18" s="83"/>
      <c r="AH18" s="83"/>
      <c r="AI18" s="83"/>
      <c r="AL18" s="82"/>
      <c r="AM18" s="82"/>
      <c r="AN18" s="82"/>
      <c r="AO18" s="82"/>
      <c r="AQ18" s="82"/>
      <c r="AR18" s="82"/>
    </row>
    <row r="19" spans="1:44" ht="18" customHeight="1" x14ac:dyDescent="0.25">
      <c r="A19" s="8"/>
      <c r="B19" s="243"/>
      <c r="C19" s="244"/>
      <c r="D19" s="244"/>
      <c r="E19" s="244"/>
      <c r="F19" s="244"/>
      <c r="G19" s="244"/>
      <c r="H19" s="244"/>
      <c r="I19" s="244"/>
      <c r="J19" s="245"/>
      <c r="S19" s="87"/>
      <c r="T19" s="87"/>
      <c r="U19" s="87"/>
      <c r="V19" s="87"/>
      <c r="AG19" s="83"/>
      <c r="AH19" s="83"/>
      <c r="AI19" s="83"/>
      <c r="AL19" s="82"/>
      <c r="AM19" s="82"/>
      <c r="AN19" s="82"/>
      <c r="AO19" s="82"/>
      <c r="AQ19" s="82"/>
      <c r="AR19" s="82"/>
    </row>
    <row r="20" spans="1:44" ht="18" customHeight="1" x14ac:dyDescent="0.25">
      <c r="A20" s="8"/>
      <c r="B20" s="246"/>
      <c r="C20" s="247"/>
      <c r="D20" s="247"/>
      <c r="E20" s="247"/>
      <c r="F20" s="247"/>
      <c r="G20" s="247"/>
      <c r="H20" s="247"/>
      <c r="I20" s="247"/>
      <c r="J20" s="248"/>
      <c r="S20" s="87"/>
      <c r="T20" s="87"/>
      <c r="U20" s="87"/>
      <c r="V20" s="87"/>
      <c r="AG20" s="83"/>
      <c r="AH20" s="83"/>
      <c r="AI20" s="83"/>
      <c r="AL20" s="82"/>
      <c r="AM20" s="82"/>
      <c r="AN20" s="82"/>
      <c r="AO20" s="82"/>
      <c r="AQ20" s="82"/>
      <c r="AR20" s="82"/>
    </row>
    <row r="21" spans="1:44" ht="18" customHeight="1" x14ac:dyDescent="0.25">
      <c r="A21" s="8"/>
      <c r="B21" s="246"/>
      <c r="C21" s="247"/>
      <c r="D21" s="247"/>
      <c r="E21" s="247"/>
      <c r="F21" s="247"/>
      <c r="G21" s="247"/>
      <c r="H21" s="247"/>
      <c r="I21" s="247"/>
      <c r="J21" s="248"/>
      <c r="S21" s="87"/>
      <c r="T21" s="87"/>
      <c r="U21" s="87"/>
      <c r="V21" s="87"/>
      <c r="AG21" s="83"/>
      <c r="AH21" s="83"/>
      <c r="AI21" s="83"/>
      <c r="AL21" s="82"/>
      <c r="AM21" s="82"/>
      <c r="AN21" s="82"/>
      <c r="AO21" s="82"/>
      <c r="AQ21" s="82"/>
      <c r="AR21" s="82"/>
    </row>
    <row r="22" spans="1:44" ht="18" customHeight="1" x14ac:dyDescent="0.25">
      <c r="A22" s="8"/>
      <c r="B22" s="246"/>
      <c r="C22" s="247"/>
      <c r="D22" s="247"/>
      <c r="E22" s="247"/>
      <c r="F22" s="247"/>
      <c r="G22" s="247"/>
      <c r="H22" s="247"/>
      <c r="I22" s="247"/>
      <c r="J22" s="248"/>
      <c r="S22" s="87"/>
      <c r="T22" s="87"/>
      <c r="U22" s="87"/>
      <c r="V22" s="87"/>
      <c r="AG22" s="83"/>
      <c r="AH22" s="83"/>
      <c r="AI22" s="83"/>
      <c r="AL22" s="82"/>
      <c r="AM22" s="82"/>
      <c r="AN22" s="82"/>
      <c r="AO22" s="82"/>
      <c r="AQ22" s="82"/>
      <c r="AR22" s="82"/>
    </row>
    <row r="23" spans="1:44" ht="18" customHeight="1" x14ac:dyDescent="0.25">
      <c r="A23" s="8"/>
      <c r="B23" s="246"/>
      <c r="C23" s="247"/>
      <c r="D23" s="247"/>
      <c r="E23" s="247"/>
      <c r="F23" s="247"/>
      <c r="G23" s="247"/>
      <c r="H23" s="247"/>
      <c r="I23" s="247"/>
      <c r="J23" s="248"/>
      <c r="S23" s="87"/>
      <c r="T23" s="87"/>
      <c r="U23" s="87"/>
      <c r="V23" s="87"/>
      <c r="AG23" s="83"/>
      <c r="AH23" s="83"/>
      <c r="AI23" s="83"/>
      <c r="AL23" s="82"/>
      <c r="AM23" s="82"/>
      <c r="AN23" s="82"/>
      <c r="AO23" s="82"/>
      <c r="AQ23" s="82"/>
      <c r="AR23" s="82"/>
    </row>
    <row r="24" spans="1:44" ht="18" customHeight="1" x14ac:dyDescent="0.25">
      <c r="A24" s="8"/>
      <c r="B24" s="246"/>
      <c r="C24" s="247"/>
      <c r="D24" s="247"/>
      <c r="E24" s="247"/>
      <c r="F24" s="247"/>
      <c r="G24" s="247"/>
      <c r="H24" s="247"/>
      <c r="I24" s="247"/>
      <c r="J24" s="248"/>
      <c r="S24" s="87"/>
      <c r="T24" s="87"/>
      <c r="U24" s="87"/>
      <c r="V24" s="87"/>
      <c r="AG24" s="83"/>
      <c r="AH24" s="83"/>
      <c r="AI24" s="83"/>
      <c r="AL24" s="82"/>
      <c r="AM24" s="82"/>
      <c r="AN24" s="82"/>
      <c r="AO24" s="82"/>
      <c r="AQ24" s="82"/>
      <c r="AR24" s="82"/>
    </row>
    <row r="25" spans="1:44" ht="18" customHeight="1" x14ac:dyDescent="0.25">
      <c r="A25" s="8"/>
      <c r="B25" s="249"/>
      <c r="C25" s="250"/>
      <c r="D25" s="250"/>
      <c r="E25" s="250"/>
      <c r="F25" s="250"/>
      <c r="G25" s="250"/>
      <c r="H25" s="250"/>
      <c r="I25" s="250"/>
      <c r="J25" s="251"/>
      <c r="S25" s="87"/>
      <c r="T25" s="87"/>
      <c r="U25" s="87"/>
      <c r="V25" s="87"/>
      <c r="AG25" s="83"/>
      <c r="AH25" s="83"/>
      <c r="AI25" s="83"/>
      <c r="AL25" s="82"/>
      <c r="AM25" s="82"/>
      <c r="AN25" s="82"/>
      <c r="AO25" s="82"/>
      <c r="AQ25" s="82"/>
      <c r="AR25" s="82"/>
    </row>
    <row r="26" spans="1:44" ht="18" customHeight="1" x14ac:dyDescent="0.25">
      <c r="A26" s="8"/>
      <c r="F26" s="96"/>
      <c r="G26" s="97"/>
      <c r="H26" s="97"/>
      <c r="I26" s="97"/>
      <c r="J26" s="97"/>
      <c r="S26" s="87"/>
      <c r="T26" s="87"/>
      <c r="U26" s="87"/>
      <c r="V26" s="87"/>
      <c r="AG26" s="83"/>
      <c r="AH26" s="83"/>
      <c r="AI26" s="83"/>
      <c r="AL26" s="82"/>
      <c r="AM26" s="82"/>
      <c r="AN26" s="82"/>
      <c r="AO26" s="82"/>
      <c r="AQ26" s="82"/>
      <c r="AR26" s="82"/>
    </row>
    <row r="27" spans="1:44" ht="18" customHeight="1" x14ac:dyDescent="0.25">
      <c r="A27" s="94"/>
      <c r="B27" s="95" t="s">
        <v>276</v>
      </c>
      <c r="C27" s="82"/>
      <c r="D27" s="87"/>
      <c r="E27" s="87"/>
      <c r="F27" s="87"/>
      <c r="G27" s="87"/>
      <c r="H27" s="87"/>
      <c r="I27" s="82"/>
      <c r="J27" s="87"/>
      <c r="K27" s="87"/>
      <c r="L27" s="87"/>
      <c r="M27" s="87"/>
      <c r="N27" s="87"/>
      <c r="O27" s="87"/>
      <c r="P27" s="87"/>
      <c r="Q27" s="94"/>
      <c r="W27" s="82"/>
      <c r="X27" s="82"/>
      <c r="Y27" s="82"/>
      <c r="Z27" s="87"/>
      <c r="AQ27" s="82"/>
      <c r="AR27" s="82"/>
    </row>
    <row r="28" spans="1:44" s="99" customFormat="1" ht="18" customHeight="1" x14ac:dyDescent="0.25">
      <c r="A28" s="98"/>
      <c r="B28" s="252"/>
      <c r="C28" s="253"/>
      <c r="D28" s="253"/>
      <c r="E28" s="253"/>
      <c r="F28" s="253"/>
      <c r="G28" s="253"/>
      <c r="H28" s="253"/>
      <c r="I28" s="253"/>
      <c r="J28" s="254"/>
      <c r="K28" s="3"/>
      <c r="L28" s="3"/>
      <c r="M28" s="3"/>
      <c r="N28" s="3"/>
      <c r="AQ28" s="82"/>
      <c r="AR28" s="82"/>
    </row>
    <row r="29" spans="1:44" s="99" customFormat="1" ht="18" customHeight="1" x14ac:dyDescent="0.25">
      <c r="A29" s="98"/>
      <c r="B29" s="255"/>
      <c r="C29" s="256"/>
      <c r="D29" s="256"/>
      <c r="E29" s="256"/>
      <c r="F29" s="256"/>
      <c r="G29" s="256"/>
      <c r="H29" s="256"/>
      <c r="I29" s="256"/>
      <c r="J29" s="257"/>
      <c r="K29" s="3"/>
      <c r="L29" s="3"/>
      <c r="M29" s="3"/>
      <c r="N29" s="3"/>
      <c r="AQ29" s="82"/>
      <c r="AR29" s="82"/>
    </row>
    <row r="30" spans="1:44" s="99" customFormat="1" ht="18" customHeight="1" x14ac:dyDescent="0.25">
      <c r="A30" s="98"/>
      <c r="B30" s="258"/>
      <c r="C30" s="259"/>
      <c r="D30" s="259"/>
      <c r="E30" s="259"/>
      <c r="F30" s="259"/>
      <c r="G30" s="259"/>
      <c r="H30" s="259"/>
      <c r="I30" s="259"/>
      <c r="J30" s="260"/>
      <c r="K30" s="3"/>
      <c r="L30" s="3"/>
      <c r="M30" s="3"/>
      <c r="N30" s="3"/>
      <c r="AQ30" s="82"/>
      <c r="AR30" s="82"/>
    </row>
    <row r="31" spans="1:44" s="99" customFormat="1" ht="18" customHeight="1" x14ac:dyDescent="0.25">
      <c r="A31" s="98"/>
      <c r="B31" s="100"/>
      <c r="C31" s="100"/>
      <c r="D31" s="100"/>
      <c r="E31" s="100"/>
      <c r="F31" s="100"/>
      <c r="G31" s="100"/>
      <c r="H31" s="100"/>
      <c r="I31" s="100"/>
      <c r="J31" s="100"/>
      <c r="K31" s="3"/>
      <c r="L31" s="3"/>
      <c r="M31" s="3"/>
      <c r="N31" s="3"/>
      <c r="AQ31" s="82"/>
      <c r="AR31" s="82"/>
    </row>
    <row r="32" spans="1:44" s="102" customFormat="1" ht="18" customHeight="1" x14ac:dyDescent="0.25">
      <c r="A32" s="8"/>
      <c r="B32" s="93" t="s">
        <v>277</v>
      </c>
      <c r="C32" s="101"/>
      <c r="D32" s="101"/>
      <c r="E32" s="101"/>
      <c r="F32" s="101"/>
      <c r="G32" s="101"/>
      <c r="I32" s="93" t="s">
        <v>278</v>
      </c>
      <c r="J32" s="101"/>
      <c r="K32" s="75"/>
      <c r="L32" s="75"/>
      <c r="M32" s="75"/>
      <c r="N32" s="75"/>
      <c r="AQ32" s="86"/>
      <c r="AR32" s="86"/>
    </row>
    <row r="33" spans="1:44" s="99" customFormat="1" ht="18" customHeight="1" x14ac:dyDescent="0.25">
      <c r="A33" s="98"/>
      <c r="B33" s="240"/>
      <c r="C33" s="241"/>
      <c r="D33" s="241"/>
      <c r="E33" s="242"/>
      <c r="F33" s="100"/>
      <c r="G33" s="100"/>
      <c r="I33" s="261"/>
      <c r="J33" s="262"/>
      <c r="K33" s="3"/>
      <c r="L33" s="3"/>
      <c r="M33" s="3"/>
      <c r="N33" s="3"/>
      <c r="AQ33" s="82"/>
      <c r="AR33" s="82"/>
    </row>
    <row r="34" spans="1:44" s="99" customFormat="1" ht="18" customHeight="1" x14ac:dyDescent="0.25">
      <c r="A34" s="98"/>
      <c r="B34" s="100"/>
      <c r="C34" s="100"/>
      <c r="D34" s="100"/>
      <c r="E34" s="100"/>
      <c r="F34" s="100"/>
      <c r="G34" s="100"/>
      <c r="H34" s="100"/>
      <c r="I34" s="100"/>
      <c r="J34" s="100"/>
      <c r="K34" s="3"/>
      <c r="L34" s="3"/>
      <c r="M34" s="3"/>
      <c r="N34" s="3"/>
      <c r="AQ34" s="82"/>
      <c r="AR34" s="82"/>
    </row>
    <row r="35" spans="1:44" s="99" customFormat="1" ht="18" customHeight="1" x14ac:dyDescent="0.25">
      <c r="A35" s="98"/>
      <c r="B35" s="93" t="s">
        <v>279</v>
      </c>
      <c r="C35" s="100"/>
      <c r="D35" s="100"/>
      <c r="E35" s="100"/>
      <c r="F35" s="100"/>
      <c r="G35" s="100"/>
      <c r="H35" s="100"/>
      <c r="I35" s="100"/>
      <c r="J35" s="100"/>
      <c r="K35" s="3"/>
      <c r="L35" s="3"/>
      <c r="M35" s="3"/>
      <c r="N35" s="3"/>
      <c r="AQ35" s="82"/>
      <c r="AR35" s="82"/>
    </row>
    <row r="36" spans="1:44" s="99" customFormat="1" ht="18" customHeight="1" x14ac:dyDescent="0.25">
      <c r="A36" s="98"/>
      <c r="B36" s="261"/>
      <c r="C36" s="262"/>
      <c r="D36" s="103"/>
      <c r="E36" s="103"/>
      <c r="F36" s="103"/>
      <c r="G36" s="103"/>
      <c r="H36" s="103"/>
      <c r="I36" s="103"/>
      <c r="J36" s="103"/>
      <c r="K36" s="3"/>
      <c r="L36" s="3"/>
      <c r="M36" s="3"/>
      <c r="N36" s="3"/>
      <c r="AQ36" s="82"/>
      <c r="AR36" s="82"/>
    </row>
    <row r="37" spans="1:44" s="99" customFormat="1" ht="18" customHeight="1" x14ac:dyDescent="0.25">
      <c r="A37" s="3"/>
      <c r="B37" s="104"/>
      <c r="C37" s="105"/>
      <c r="D37" s="105"/>
      <c r="E37" s="105"/>
      <c r="F37" s="105"/>
      <c r="G37" s="3"/>
      <c r="H37" s="3"/>
      <c r="I37" s="3"/>
      <c r="J37" s="3"/>
      <c r="K37" s="3"/>
      <c r="L37" s="3"/>
      <c r="M37" s="3"/>
      <c r="N37" s="3"/>
      <c r="O37" s="3"/>
      <c r="AQ37" s="82"/>
      <c r="AR37" s="82"/>
    </row>
    <row r="38" spans="1:44" s="99" customFormat="1" ht="18" customHeight="1" x14ac:dyDescent="0.25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AQ38" s="82"/>
      <c r="AR38" s="82"/>
    </row>
    <row r="39" spans="1:44" s="74" customFormat="1" ht="18" customHeight="1" x14ac:dyDescent="0.25">
      <c r="B39" s="106" t="s">
        <v>280</v>
      </c>
      <c r="C39" s="107"/>
      <c r="D39" s="108"/>
      <c r="E39" s="108"/>
      <c r="F39" s="108"/>
      <c r="G39" s="108"/>
      <c r="H39" s="108"/>
      <c r="I39" s="107"/>
      <c r="J39" s="108"/>
      <c r="K39" s="108"/>
      <c r="L39" s="108"/>
      <c r="M39" s="108"/>
      <c r="N39" s="108"/>
      <c r="O39" s="108"/>
      <c r="P39" s="108"/>
      <c r="Q39" s="106"/>
      <c r="W39" s="107"/>
      <c r="X39" s="107"/>
      <c r="Y39" s="107"/>
      <c r="Z39" s="108"/>
      <c r="AQ39" s="107"/>
      <c r="AR39" s="107"/>
    </row>
    <row r="40" spans="1:44" ht="18" customHeight="1" x14ac:dyDescent="0.25">
      <c r="B40" s="75" t="s">
        <v>281</v>
      </c>
    </row>
    <row r="41" spans="1:44" ht="18" customHeight="1" x14ac:dyDescent="0.25">
      <c r="A41" s="109"/>
      <c r="B41" s="265"/>
      <c r="C41" s="266"/>
      <c r="D41" s="266"/>
      <c r="E41" s="266"/>
      <c r="F41" s="266"/>
      <c r="G41" s="266"/>
      <c r="H41" s="267"/>
    </row>
    <row r="42" spans="1:44" ht="18" customHeight="1" x14ac:dyDescent="0.25">
      <c r="A42" s="94"/>
      <c r="B42" s="110" t="s">
        <v>282</v>
      </c>
      <c r="C42" s="111"/>
      <c r="D42" s="111"/>
      <c r="E42" s="77"/>
      <c r="F42" s="77"/>
      <c r="G42" s="77"/>
    </row>
    <row r="43" spans="1:44" ht="18" customHeight="1" x14ac:dyDescent="0.25">
      <c r="A43" s="8"/>
      <c r="B43" s="265"/>
      <c r="C43" s="266"/>
      <c r="D43" s="266"/>
      <c r="E43" s="266"/>
      <c r="F43" s="266"/>
      <c r="G43" s="266"/>
      <c r="H43" s="267"/>
    </row>
    <row r="44" spans="1:44" ht="18" customHeight="1" x14ac:dyDescent="0.25">
      <c r="A44" s="8"/>
      <c r="B44" s="112" t="s">
        <v>283</v>
      </c>
      <c r="C44" s="113"/>
      <c r="D44" s="114"/>
      <c r="E44" s="87"/>
      <c r="F44" s="87"/>
      <c r="G44" s="87"/>
    </row>
    <row r="45" spans="1:44" ht="18" customHeight="1" x14ac:dyDescent="0.25">
      <c r="A45" s="115"/>
      <c r="B45" s="265"/>
      <c r="C45" s="266"/>
      <c r="D45" s="266"/>
      <c r="E45" s="267"/>
      <c r="F45" s="116"/>
      <c r="G45" s="116"/>
    </row>
    <row r="46" spans="1:44" ht="18" customHeight="1" x14ac:dyDescent="0.25">
      <c r="A46" s="115"/>
      <c r="E46" s="116"/>
      <c r="F46" s="116"/>
      <c r="G46" s="116"/>
    </row>
    <row r="47" spans="1:44" ht="18" customHeight="1" x14ac:dyDescent="0.25">
      <c r="B47" s="75" t="s">
        <v>284</v>
      </c>
      <c r="D47" s="75"/>
      <c r="E47" s="75"/>
      <c r="F47" s="75"/>
      <c r="G47" s="116"/>
      <c r="H47" s="116"/>
    </row>
    <row r="48" spans="1:44" ht="18" customHeight="1" x14ac:dyDescent="0.25">
      <c r="B48" s="8"/>
      <c r="D48" s="117" t="s">
        <v>285</v>
      </c>
      <c r="E48" s="117"/>
      <c r="F48" s="117"/>
      <c r="G48" s="118" t="s">
        <v>286</v>
      </c>
      <c r="H48" s="116"/>
    </row>
    <row r="49" spans="2:55" ht="18" customHeight="1" x14ac:dyDescent="0.25">
      <c r="B49" s="119"/>
      <c r="D49" s="120">
        <v>2000</v>
      </c>
      <c r="E49" s="121" t="str">
        <f>IF(ISBLANK(D49),"",IF(OR(NOT(ISNUMBER(D49)),NOT(ISNUMBER(G49))),"Numbers only",""))</f>
        <v/>
      </c>
      <c r="F49" s="122"/>
      <c r="G49" s="123">
        <v>2010</v>
      </c>
      <c r="H49" s="77"/>
    </row>
    <row r="50" spans="2:55" ht="18" customHeight="1" x14ac:dyDescent="0.25">
      <c r="B50" s="8"/>
      <c r="D50" s="120">
        <v>4000</v>
      </c>
      <c r="E50" s="124" t="str">
        <f>IF(ISBLANK(D50),"",IF(OR(NOT(ISNUMBER(D50)),NOT(ISNUMBER(G50))),"Numbers only",""))</f>
        <v/>
      </c>
      <c r="F50" s="122"/>
      <c r="G50" s="123">
        <v>4010</v>
      </c>
      <c r="H50" s="77"/>
    </row>
    <row r="51" spans="2:55" ht="18" customHeight="1" x14ac:dyDescent="0.25">
      <c r="B51" s="8"/>
      <c r="D51" s="120">
        <v>6000</v>
      </c>
      <c r="E51" s="124" t="str">
        <f>IF(ISBLANK(D51),"",IF(OR(NOT(ISNUMBER(D51)),NOT(ISNUMBER(G51))),"Numbers only",""))</f>
        <v/>
      </c>
      <c r="F51" s="122"/>
      <c r="G51" s="123">
        <v>6010</v>
      </c>
      <c r="H51" s="77"/>
    </row>
    <row r="52" spans="2:55" ht="18" customHeight="1" x14ac:dyDescent="0.25">
      <c r="B52" s="8"/>
      <c r="D52" s="120"/>
      <c r="E52" s="124" t="str">
        <f>IF(ISBLANK(D52),"",IF(OR(NOT(ISNUMBER(D52)),NOT(ISNUMBER(G52))),"Numbers only",""))</f>
        <v/>
      </c>
      <c r="F52" s="122"/>
      <c r="G52" s="123"/>
    </row>
    <row r="53" spans="2:55" ht="18" customHeight="1" x14ac:dyDescent="0.25">
      <c r="B53" s="8"/>
      <c r="C53" s="3" t="str">
        <f>IF(NOT(COUNT(D49:D52)=COUNT(G49:G52)),"Reference and proposed methods must have the same number of thresholds","")</f>
        <v/>
      </c>
    </row>
    <row r="54" spans="2:55" ht="18" customHeight="1" x14ac:dyDescent="0.25">
      <c r="B54" s="8"/>
      <c r="D54" s="274" t="s">
        <v>0</v>
      </c>
      <c r="E54" s="274"/>
      <c r="F54" s="274"/>
      <c r="G54" s="274" t="s">
        <v>1</v>
      </c>
      <c r="H54" s="274"/>
      <c r="I54" s="274"/>
    </row>
    <row r="55" spans="2:55" ht="18" customHeight="1" x14ac:dyDescent="0.25">
      <c r="B55" s="269" t="s">
        <v>287</v>
      </c>
      <c r="C55" s="270"/>
      <c r="D55" s="271"/>
      <c r="E55" s="271"/>
      <c r="F55" s="271"/>
      <c r="G55" s="271"/>
      <c r="H55" s="271"/>
      <c r="I55" s="271"/>
    </row>
    <row r="56" spans="2:55" ht="18" customHeight="1" x14ac:dyDescent="0.25">
      <c r="B56" s="269" t="s">
        <v>288</v>
      </c>
      <c r="C56" s="270"/>
      <c r="D56" s="271"/>
      <c r="E56" s="271"/>
      <c r="F56" s="271"/>
      <c r="G56" s="271"/>
      <c r="H56" s="271"/>
      <c r="I56" s="271"/>
    </row>
    <row r="57" spans="2:55" ht="18" customHeight="1" x14ac:dyDescent="0.25">
      <c r="B57" s="8"/>
    </row>
    <row r="58" spans="2:55" ht="18" customHeight="1" x14ac:dyDescent="0.25">
      <c r="B58" s="8"/>
    </row>
    <row r="59" spans="2:55" ht="18" customHeight="1" x14ac:dyDescent="0.25">
      <c r="B59" s="8"/>
      <c r="C59" s="94"/>
      <c r="D59" s="272" t="s">
        <v>0</v>
      </c>
      <c r="E59" s="272"/>
      <c r="F59" s="272"/>
      <c r="G59" s="272" t="s">
        <v>1</v>
      </c>
      <c r="H59" s="272"/>
      <c r="I59" s="272"/>
      <c r="J59" s="86"/>
      <c r="K59" s="86"/>
      <c r="L59" s="86"/>
      <c r="M59" s="86"/>
      <c r="O59" s="3" t="s">
        <v>0</v>
      </c>
      <c r="R59" s="3" t="s">
        <v>1</v>
      </c>
    </row>
    <row r="60" spans="2:55" ht="18" customHeight="1" x14ac:dyDescent="0.25">
      <c r="B60" s="273" t="s">
        <v>2</v>
      </c>
      <c r="C60" s="273"/>
      <c r="D60" s="125" t="s">
        <v>289</v>
      </c>
      <c r="E60" s="125" t="s">
        <v>3</v>
      </c>
      <c r="F60" s="125" t="s">
        <v>4</v>
      </c>
      <c r="G60" s="6" t="str">
        <f>D60</f>
        <v>Operator</v>
      </c>
      <c r="H60" s="125" t="s">
        <v>3</v>
      </c>
      <c r="I60" s="125" t="s">
        <v>4</v>
      </c>
      <c r="J60" s="126" t="s">
        <v>290</v>
      </c>
      <c r="K60" s="278" t="s">
        <v>291</v>
      </c>
      <c r="L60" s="279"/>
      <c r="M60" s="280"/>
      <c r="O60" s="127" t="s">
        <v>292</v>
      </c>
      <c r="P60" s="128" t="s">
        <v>293</v>
      </c>
      <c r="Q60" s="128" t="s">
        <v>294</v>
      </c>
      <c r="R60" s="128" t="s">
        <v>295</v>
      </c>
      <c r="S60" s="128" t="s">
        <v>296</v>
      </c>
      <c r="T60" s="128" t="s">
        <v>297</v>
      </c>
    </row>
    <row r="61" spans="2:55" ht="18" customHeight="1" x14ac:dyDescent="0.25">
      <c r="B61" s="275">
        <v>1000</v>
      </c>
      <c r="C61" s="276"/>
      <c r="D61" s="9"/>
      <c r="E61" s="129">
        <v>10583</v>
      </c>
      <c r="F61" s="129">
        <v>10172</v>
      </c>
      <c r="G61" s="9" t="s">
        <v>298</v>
      </c>
      <c r="H61" s="129">
        <v>10737</v>
      </c>
      <c r="I61" s="9">
        <v>10746</v>
      </c>
      <c r="J61" s="130" t="s">
        <v>299</v>
      </c>
      <c r="K61" s="277"/>
      <c r="L61" s="277"/>
      <c r="M61" s="277"/>
      <c r="O61" s="131">
        <f t="shared" ref="O61:O124" si="0">IF($J61="INCLUDE",E61,"")</f>
        <v>10583</v>
      </c>
      <c r="P61" s="132">
        <f t="shared" ref="P61:P124" si="1">IF(AND($J61="INCLUDE",ISNUMBER(F61)),F61,"")</f>
        <v>10172</v>
      </c>
      <c r="Q61" s="132">
        <f t="shared" ref="Q61:Q124" si="2">IF($J61="INCLUDE",AVERAGE(O61:P61),"")</f>
        <v>10377.5</v>
      </c>
      <c r="R61" s="132">
        <f t="shared" ref="R61:R124" si="3">IF($J61="INCLUDE",H61,"")</f>
        <v>10737</v>
      </c>
      <c r="S61" s="132">
        <f t="shared" ref="S61:S124" si="4">IF(AND($J61="INCLUDE",ISNUMBER(I61)),I61,"")</f>
        <v>10746</v>
      </c>
      <c r="T61" s="132">
        <f t="shared" ref="T61:T124" si="5">IF($J61="INCLUDE",AVERAGE(R61:S61),"")</f>
        <v>10741.5</v>
      </c>
      <c r="AP61" s="3" t="s">
        <v>95</v>
      </c>
      <c r="AQ61" s="3" t="s">
        <v>300</v>
      </c>
      <c r="AR61" s="3" t="s">
        <v>5</v>
      </c>
      <c r="AS61" s="3" t="s">
        <v>6</v>
      </c>
    </row>
    <row r="62" spans="2:55" ht="18" customHeight="1" x14ac:dyDescent="0.25">
      <c r="B62" s="275">
        <v>1001</v>
      </c>
      <c r="C62" s="276"/>
      <c r="D62" s="9"/>
      <c r="E62" s="129">
        <v>3879</v>
      </c>
      <c r="F62" s="9">
        <v>4233</v>
      </c>
      <c r="G62" s="9" t="s">
        <v>298</v>
      </c>
      <c r="H62" s="9">
        <v>3934</v>
      </c>
      <c r="I62" s="9">
        <v>3763</v>
      </c>
      <c r="J62" s="130" t="s">
        <v>299</v>
      </c>
      <c r="K62" s="277"/>
      <c r="L62" s="277"/>
      <c r="M62" s="277"/>
      <c r="O62" s="131">
        <f t="shared" si="0"/>
        <v>3879</v>
      </c>
      <c r="P62" s="132">
        <f t="shared" si="1"/>
        <v>4233</v>
      </c>
      <c r="Q62" s="132">
        <f t="shared" si="2"/>
        <v>4056</v>
      </c>
      <c r="R62" s="132">
        <f t="shared" si="3"/>
        <v>3934</v>
      </c>
      <c r="S62" s="132">
        <f t="shared" si="4"/>
        <v>3763</v>
      </c>
      <c r="T62" s="132">
        <f t="shared" si="5"/>
        <v>3848.5</v>
      </c>
      <c r="AP62" s="3">
        <v>10559.5</v>
      </c>
      <c r="AQ62" s="3">
        <v>3.4471329134902223E-2</v>
      </c>
      <c r="AR62" s="3">
        <v>10377.5</v>
      </c>
      <c r="AS62" s="3">
        <v>10741.5</v>
      </c>
      <c r="AT62" s="3">
        <v>444.75</v>
      </c>
      <c r="AU62" s="3">
        <v>2.9560018366431778E-2</v>
      </c>
      <c r="AV62" s="3">
        <v>444.75</v>
      </c>
      <c r="AW62" s="3">
        <v>0.16132419694229849</v>
      </c>
      <c r="AX62" s="3">
        <v>444.75</v>
      </c>
      <c r="AY62" s="3">
        <v>-0.10220416020943494</v>
      </c>
      <c r="AZ62" s="3">
        <v>100</v>
      </c>
      <c r="BA62" s="3">
        <v>0.1</v>
      </c>
      <c r="BB62" s="3">
        <v>100</v>
      </c>
      <c r="BC62" s="3">
        <v>-0.1</v>
      </c>
    </row>
    <row r="63" spans="2:55" ht="18" customHeight="1" x14ac:dyDescent="0.25">
      <c r="B63" s="275">
        <v>1002</v>
      </c>
      <c r="C63" s="276"/>
      <c r="D63" s="9"/>
      <c r="E63" s="129">
        <v>2674</v>
      </c>
      <c r="F63" s="9">
        <v>2634</v>
      </c>
      <c r="G63" s="9" t="s">
        <v>298</v>
      </c>
      <c r="H63" s="9">
        <v>2679</v>
      </c>
      <c r="I63" s="9">
        <v>2632</v>
      </c>
      <c r="J63" s="130" t="s">
        <v>299</v>
      </c>
      <c r="K63" s="277"/>
      <c r="L63" s="277"/>
      <c r="M63" s="277"/>
      <c r="O63" s="131">
        <f t="shared" si="0"/>
        <v>2674</v>
      </c>
      <c r="P63" s="132">
        <f t="shared" si="1"/>
        <v>2634</v>
      </c>
      <c r="Q63" s="132">
        <f t="shared" si="2"/>
        <v>2654</v>
      </c>
      <c r="R63" s="132">
        <f t="shared" si="3"/>
        <v>2679</v>
      </c>
      <c r="S63" s="132">
        <f t="shared" si="4"/>
        <v>2632</v>
      </c>
      <c r="T63" s="132">
        <f t="shared" si="5"/>
        <v>2655.5</v>
      </c>
      <c r="AP63" s="3">
        <v>3952.25</v>
      </c>
      <c r="AQ63" s="3">
        <v>-5.2501739515465877E-2</v>
      </c>
      <c r="AR63" s="3">
        <v>4056</v>
      </c>
      <c r="AS63" s="3">
        <v>3848.5</v>
      </c>
      <c r="AT63" s="3">
        <v>17217.75</v>
      </c>
      <c r="AU63" s="3">
        <v>2.9560018366431778E-2</v>
      </c>
      <c r="AV63" s="3">
        <v>17217.75</v>
      </c>
      <c r="AW63" s="3">
        <v>0.16132419694229849</v>
      </c>
      <c r="AX63" s="3">
        <v>17217.75</v>
      </c>
      <c r="AY63" s="3">
        <v>-0.10220416020943494</v>
      </c>
      <c r="AZ63" s="3">
        <v>17217.75</v>
      </c>
      <c r="BA63" s="3">
        <v>0.1</v>
      </c>
      <c r="BB63" s="3">
        <v>17217.75</v>
      </c>
      <c r="BC63" s="3">
        <v>-0.1</v>
      </c>
    </row>
    <row r="64" spans="2:55" ht="18" customHeight="1" x14ac:dyDescent="0.25">
      <c r="B64" s="275">
        <v>1003</v>
      </c>
      <c r="C64" s="276"/>
      <c r="D64" s="9"/>
      <c r="E64" s="129">
        <v>4865</v>
      </c>
      <c r="F64" s="129">
        <v>4629</v>
      </c>
      <c r="G64" s="9" t="s">
        <v>298</v>
      </c>
      <c r="H64" s="129">
        <v>4932</v>
      </c>
      <c r="I64" s="9">
        <v>5449</v>
      </c>
      <c r="J64" s="130" t="s">
        <v>299</v>
      </c>
      <c r="K64" s="277"/>
      <c r="L64" s="277"/>
      <c r="M64" s="277"/>
      <c r="O64" s="131">
        <f t="shared" si="0"/>
        <v>4865</v>
      </c>
      <c r="P64" s="132">
        <f t="shared" si="1"/>
        <v>4629</v>
      </c>
      <c r="Q64" s="132">
        <f t="shared" si="2"/>
        <v>4747</v>
      </c>
      <c r="R64" s="132">
        <f t="shared" si="3"/>
        <v>4932</v>
      </c>
      <c r="S64" s="132">
        <f t="shared" si="4"/>
        <v>5449</v>
      </c>
      <c r="T64" s="132">
        <f t="shared" si="5"/>
        <v>5190.5</v>
      </c>
      <c r="AP64" s="3">
        <v>2654.75</v>
      </c>
      <c r="AQ64" s="3">
        <v>5.6502495526885774E-4</v>
      </c>
      <c r="AR64" s="3">
        <v>2654</v>
      </c>
      <c r="AS64" s="3">
        <v>2655.5</v>
      </c>
    </row>
    <row r="65" spans="2:55" ht="18" customHeight="1" x14ac:dyDescent="0.25">
      <c r="B65" s="275">
        <v>1004</v>
      </c>
      <c r="C65" s="276"/>
      <c r="D65" s="9"/>
      <c r="E65" s="129">
        <v>1471</v>
      </c>
      <c r="F65" s="9">
        <v>1448</v>
      </c>
      <c r="G65" s="9" t="s">
        <v>298</v>
      </c>
      <c r="H65" s="9">
        <v>1546</v>
      </c>
      <c r="I65" s="9">
        <v>1563</v>
      </c>
      <c r="J65" s="130" t="s">
        <v>299</v>
      </c>
      <c r="K65" s="277"/>
      <c r="L65" s="277"/>
      <c r="M65" s="277"/>
      <c r="O65" s="131">
        <f t="shared" si="0"/>
        <v>1471</v>
      </c>
      <c r="P65" s="132">
        <f t="shared" si="1"/>
        <v>1448</v>
      </c>
      <c r="Q65" s="132">
        <f t="shared" si="2"/>
        <v>1459.5</v>
      </c>
      <c r="R65" s="132">
        <f t="shared" si="3"/>
        <v>1546</v>
      </c>
      <c r="S65" s="132">
        <f t="shared" si="4"/>
        <v>1563</v>
      </c>
      <c r="T65" s="132">
        <f t="shared" si="5"/>
        <v>1554.5</v>
      </c>
      <c r="AP65" s="3">
        <v>4968.75</v>
      </c>
      <c r="AQ65" s="3">
        <v>8.925786163522012E-2</v>
      </c>
      <c r="AR65" s="3">
        <v>4747</v>
      </c>
      <c r="AS65" s="3">
        <v>5190.5</v>
      </c>
    </row>
    <row r="66" spans="2:55" ht="18" customHeight="1" x14ac:dyDescent="0.25">
      <c r="B66" s="275">
        <v>1005</v>
      </c>
      <c r="C66" s="276"/>
      <c r="D66" s="9"/>
      <c r="E66" s="129">
        <v>6018</v>
      </c>
      <c r="F66" s="9">
        <v>5742</v>
      </c>
      <c r="G66" s="9" t="s">
        <v>298</v>
      </c>
      <c r="H66" s="9">
        <v>5985</v>
      </c>
      <c r="I66" s="9">
        <v>6065</v>
      </c>
      <c r="J66" s="130" t="s">
        <v>299</v>
      </c>
      <c r="K66" s="277"/>
      <c r="L66" s="277"/>
      <c r="M66" s="277"/>
      <c r="O66" s="131">
        <f t="shared" si="0"/>
        <v>6018</v>
      </c>
      <c r="P66" s="132">
        <f t="shared" si="1"/>
        <v>5742</v>
      </c>
      <c r="Q66" s="132">
        <f t="shared" si="2"/>
        <v>5880</v>
      </c>
      <c r="R66" s="132">
        <f t="shared" si="3"/>
        <v>5985</v>
      </c>
      <c r="S66" s="132">
        <f t="shared" si="4"/>
        <v>6065</v>
      </c>
      <c r="T66" s="132">
        <f t="shared" si="5"/>
        <v>6025</v>
      </c>
      <c r="AP66" s="3">
        <v>1507</v>
      </c>
      <c r="AQ66" s="3">
        <v>6.3039150630391505E-2</v>
      </c>
      <c r="AR66" s="3">
        <v>1459.5</v>
      </c>
      <c r="AS66" s="3">
        <v>1554.5</v>
      </c>
    </row>
    <row r="67" spans="2:55" ht="18" customHeight="1" x14ac:dyDescent="0.25">
      <c r="B67" s="275">
        <v>1006</v>
      </c>
      <c r="C67" s="276"/>
      <c r="D67" s="9"/>
      <c r="E67" s="129">
        <v>3891</v>
      </c>
      <c r="F67" s="129">
        <v>3851</v>
      </c>
      <c r="G67" s="9" t="s">
        <v>298</v>
      </c>
      <c r="H67" s="129">
        <v>3922</v>
      </c>
      <c r="I67" s="9">
        <v>3801</v>
      </c>
      <c r="J67" s="130" t="s">
        <v>299</v>
      </c>
      <c r="K67" s="277"/>
      <c r="L67" s="277"/>
      <c r="M67" s="277"/>
      <c r="O67" s="131">
        <f t="shared" si="0"/>
        <v>3891</v>
      </c>
      <c r="P67" s="132">
        <f t="shared" si="1"/>
        <v>3851</v>
      </c>
      <c r="Q67" s="132">
        <f t="shared" si="2"/>
        <v>3871</v>
      </c>
      <c r="R67" s="132">
        <f t="shared" si="3"/>
        <v>3922</v>
      </c>
      <c r="S67" s="132">
        <f t="shared" si="4"/>
        <v>3801</v>
      </c>
      <c r="T67" s="132">
        <f t="shared" si="5"/>
        <v>3861.5</v>
      </c>
      <c r="AP67" s="3">
        <v>5952.5</v>
      </c>
      <c r="AQ67" s="3">
        <v>2.4359512809743807E-2</v>
      </c>
      <c r="AR67" s="3">
        <v>5880</v>
      </c>
      <c r="AS67" s="3">
        <v>6025</v>
      </c>
    </row>
    <row r="68" spans="2:55" ht="18" customHeight="1" x14ac:dyDescent="0.25">
      <c r="B68" s="275">
        <v>1007</v>
      </c>
      <c r="C68" s="276"/>
      <c r="D68" s="9"/>
      <c r="E68" s="129">
        <v>2519</v>
      </c>
      <c r="F68" s="129">
        <v>2403</v>
      </c>
      <c r="G68" s="9" t="s">
        <v>298</v>
      </c>
      <c r="H68" s="129">
        <v>2593</v>
      </c>
      <c r="I68" s="9">
        <v>2474</v>
      </c>
      <c r="J68" s="130" t="s">
        <v>299</v>
      </c>
      <c r="K68" s="277"/>
      <c r="L68" s="277"/>
      <c r="M68" s="277"/>
      <c r="O68" s="131">
        <f t="shared" si="0"/>
        <v>2519</v>
      </c>
      <c r="P68" s="132">
        <f t="shared" si="1"/>
        <v>2403</v>
      </c>
      <c r="Q68" s="132">
        <f t="shared" si="2"/>
        <v>2461</v>
      </c>
      <c r="R68" s="132">
        <f t="shared" si="3"/>
        <v>2593</v>
      </c>
      <c r="S68" s="132">
        <f t="shared" si="4"/>
        <v>2474</v>
      </c>
      <c r="T68" s="132">
        <f t="shared" si="5"/>
        <v>2533.5</v>
      </c>
      <c r="AP68" s="3">
        <v>3866.25</v>
      </c>
      <c r="AQ68" s="3">
        <v>-2.4571613320400905E-3</v>
      </c>
      <c r="AR68" s="3">
        <v>3871</v>
      </c>
      <c r="AS68" s="3">
        <v>3861.5</v>
      </c>
    </row>
    <row r="69" spans="2:55" ht="18" customHeight="1" x14ac:dyDescent="0.25">
      <c r="B69" s="275">
        <v>1008</v>
      </c>
      <c r="C69" s="276"/>
      <c r="D69" s="9"/>
      <c r="E69" s="129">
        <v>1867</v>
      </c>
      <c r="F69" s="9">
        <v>1737</v>
      </c>
      <c r="G69" s="9" t="s">
        <v>298</v>
      </c>
      <c r="H69" s="9">
        <v>1880</v>
      </c>
      <c r="I69" s="9">
        <v>1836</v>
      </c>
      <c r="J69" s="130" t="s">
        <v>299</v>
      </c>
      <c r="K69" s="277"/>
      <c r="L69" s="277"/>
      <c r="M69" s="277"/>
      <c r="O69" s="131">
        <f t="shared" si="0"/>
        <v>1867</v>
      </c>
      <c r="P69" s="132">
        <f t="shared" si="1"/>
        <v>1737</v>
      </c>
      <c r="Q69" s="132">
        <f t="shared" si="2"/>
        <v>1802</v>
      </c>
      <c r="R69" s="132">
        <f t="shared" si="3"/>
        <v>1880</v>
      </c>
      <c r="S69" s="132">
        <f t="shared" si="4"/>
        <v>1836</v>
      </c>
      <c r="T69" s="132">
        <f t="shared" si="5"/>
        <v>1858</v>
      </c>
      <c r="AC69" s="104"/>
      <c r="AP69" s="3">
        <v>2497.25</v>
      </c>
      <c r="AQ69" s="3">
        <v>2.9031935128641505E-2</v>
      </c>
      <c r="AR69" s="3">
        <v>2461</v>
      </c>
      <c r="AS69" s="3">
        <v>2533.5</v>
      </c>
    </row>
    <row r="70" spans="2:55" ht="18" customHeight="1" x14ac:dyDescent="0.25">
      <c r="B70" s="275">
        <v>1009</v>
      </c>
      <c r="C70" s="276"/>
      <c r="D70" s="9"/>
      <c r="E70" s="129">
        <v>1565</v>
      </c>
      <c r="F70" s="129">
        <v>1650</v>
      </c>
      <c r="G70" s="9" t="s">
        <v>298</v>
      </c>
      <c r="H70" s="129">
        <v>1622</v>
      </c>
      <c r="I70" s="9">
        <v>1650</v>
      </c>
      <c r="J70" s="130" t="s">
        <v>299</v>
      </c>
      <c r="K70" s="277"/>
      <c r="L70" s="277"/>
      <c r="M70" s="277"/>
      <c r="O70" s="131">
        <f t="shared" si="0"/>
        <v>1565</v>
      </c>
      <c r="P70" s="132">
        <f t="shared" si="1"/>
        <v>1650</v>
      </c>
      <c r="Q70" s="132">
        <f t="shared" si="2"/>
        <v>1607.5</v>
      </c>
      <c r="R70" s="132">
        <f t="shared" si="3"/>
        <v>1622</v>
      </c>
      <c r="S70" s="132">
        <f t="shared" si="4"/>
        <v>1650</v>
      </c>
      <c r="T70" s="132">
        <f t="shared" si="5"/>
        <v>1636</v>
      </c>
      <c r="AC70" s="104"/>
      <c r="AP70" s="3">
        <v>1830</v>
      </c>
      <c r="AQ70" s="3">
        <v>3.0601092896174863E-2</v>
      </c>
      <c r="AR70" s="3">
        <v>1802</v>
      </c>
      <c r="AS70" s="3">
        <v>1858</v>
      </c>
    </row>
    <row r="71" spans="2:55" ht="18" customHeight="1" x14ac:dyDescent="0.25">
      <c r="B71" s="275">
        <v>1010</v>
      </c>
      <c r="C71" s="276"/>
      <c r="D71" s="9"/>
      <c r="E71" s="129">
        <v>4267</v>
      </c>
      <c r="F71" s="129">
        <v>4391</v>
      </c>
      <c r="G71" s="9" t="s">
        <v>298</v>
      </c>
      <c r="H71" s="129">
        <v>4282</v>
      </c>
      <c r="I71" s="9">
        <v>4401</v>
      </c>
      <c r="J71" s="130" t="s">
        <v>299</v>
      </c>
      <c r="K71" s="277"/>
      <c r="L71" s="277"/>
      <c r="M71" s="277"/>
      <c r="O71" s="131">
        <f t="shared" si="0"/>
        <v>4267</v>
      </c>
      <c r="P71" s="132">
        <f t="shared" si="1"/>
        <v>4391</v>
      </c>
      <c r="Q71" s="132">
        <f t="shared" si="2"/>
        <v>4329</v>
      </c>
      <c r="R71" s="132">
        <f t="shared" si="3"/>
        <v>4282</v>
      </c>
      <c r="S71" s="132">
        <f t="shared" si="4"/>
        <v>4401</v>
      </c>
      <c r="T71" s="132">
        <f t="shared" si="5"/>
        <v>4341.5</v>
      </c>
      <c r="AP71" s="3">
        <v>1621.75</v>
      </c>
      <c r="AQ71" s="3">
        <v>1.7573608755973486E-2</v>
      </c>
      <c r="AR71" s="3">
        <v>1607.5</v>
      </c>
      <c r="AS71" s="3">
        <v>1636</v>
      </c>
      <c r="AV71" s="3">
        <v>408.5</v>
      </c>
      <c r="AW71" s="3">
        <v>408.5</v>
      </c>
      <c r="AX71" s="3">
        <v>408.5</v>
      </c>
      <c r="AY71" s="3">
        <v>465.2344989898815</v>
      </c>
      <c r="AZ71" s="3">
        <v>100</v>
      </c>
      <c r="BA71" s="3">
        <v>110</v>
      </c>
      <c r="BB71" s="3">
        <v>100</v>
      </c>
      <c r="BC71" s="3">
        <v>90</v>
      </c>
    </row>
    <row r="72" spans="2:55" ht="18" customHeight="1" x14ac:dyDescent="0.25">
      <c r="B72" s="275">
        <v>1011</v>
      </c>
      <c r="C72" s="276"/>
      <c r="D72" s="9"/>
      <c r="E72" s="129">
        <v>7862</v>
      </c>
      <c r="F72" s="129">
        <v>7961</v>
      </c>
      <c r="G72" s="9" t="s">
        <v>298</v>
      </c>
      <c r="H72" s="129">
        <v>8076</v>
      </c>
      <c r="I72" s="9">
        <v>8294</v>
      </c>
      <c r="J72" s="130" t="s">
        <v>299</v>
      </c>
      <c r="K72" s="277"/>
      <c r="L72" s="277"/>
      <c r="M72" s="277"/>
      <c r="O72" s="131">
        <f t="shared" si="0"/>
        <v>7862</v>
      </c>
      <c r="P72" s="132">
        <f t="shared" si="1"/>
        <v>7961</v>
      </c>
      <c r="Q72" s="132">
        <f t="shared" si="2"/>
        <v>7911.5</v>
      </c>
      <c r="R72" s="132">
        <f t="shared" si="3"/>
        <v>8076</v>
      </c>
      <c r="S72" s="132">
        <f t="shared" si="4"/>
        <v>8294</v>
      </c>
      <c r="T72" s="132">
        <f t="shared" si="5"/>
        <v>8185</v>
      </c>
      <c r="AP72" s="3">
        <v>4335.25</v>
      </c>
      <c r="AQ72" s="3">
        <v>2.8833400611268092E-3</v>
      </c>
      <c r="AR72" s="3">
        <v>4329</v>
      </c>
      <c r="AS72" s="3">
        <v>4341.5</v>
      </c>
      <c r="AV72" s="3">
        <v>17859</v>
      </c>
      <c r="AW72" s="3">
        <v>17859</v>
      </c>
      <c r="AX72" s="3">
        <v>17859</v>
      </c>
      <c r="AY72" s="3">
        <v>17894.649250210412</v>
      </c>
      <c r="AZ72" s="3">
        <v>17859</v>
      </c>
      <c r="BA72" s="3">
        <v>19644.900000000001</v>
      </c>
      <c r="BB72" s="3">
        <v>17859</v>
      </c>
      <c r="BC72" s="3">
        <v>16073.1</v>
      </c>
    </row>
    <row r="73" spans="2:55" ht="18" customHeight="1" x14ac:dyDescent="0.25">
      <c r="B73" s="275">
        <v>1012</v>
      </c>
      <c r="C73" s="276"/>
      <c r="D73" s="9"/>
      <c r="E73" s="129">
        <v>1831</v>
      </c>
      <c r="F73" s="129">
        <v>1766</v>
      </c>
      <c r="G73" s="9" t="s">
        <v>298</v>
      </c>
      <c r="H73" s="129">
        <v>1813</v>
      </c>
      <c r="I73" s="9">
        <v>1694</v>
      </c>
      <c r="J73" s="130" t="s">
        <v>299</v>
      </c>
      <c r="K73" s="277"/>
      <c r="L73" s="277"/>
      <c r="M73" s="277"/>
      <c r="O73" s="131">
        <f t="shared" si="0"/>
        <v>1831</v>
      </c>
      <c r="P73" s="132">
        <f t="shared" si="1"/>
        <v>1766</v>
      </c>
      <c r="Q73" s="132">
        <f t="shared" si="2"/>
        <v>1798.5</v>
      </c>
      <c r="R73" s="132">
        <f t="shared" si="3"/>
        <v>1813</v>
      </c>
      <c r="S73" s="132">
        <f t="shared" si="4"/>
        <v>1694</v>
      </c>
      <c r="T73" s="132">
        <f t="shared" si="5"/>
        <v>1753.5</v>
      </c>
      <c r="AC73" s="104"/>
      <c r="AP73" s="3">
        <v>8048.25</v>
      </c>
      <c r="AQ73" s="3">
        <v>3.3982542788805019E-2</v>
      </c>
      <c r="AR73" s="3">
        <v>7911.5</v>
      </c>
      <c r="AS73" s="3">
        <v>8185</v>
      </c>
    </row>
    <row r="74" spans="2:55" ht="18" customHeight="1" x14ac:dyDescent="0.25">
      <c r="B74" s="275">
        <v>1013</v>
      </c>
      <c r="C74" s="276"/>
      <c r="D74" s="9"/>
      <c r="E74" s="129">
        <v>6651</v>
      </c>
      <c r="F74" s="9">
        <v>6357</v>
      </c>
      <c r="G74" s="9" t="s">
        <v>298</v>
      </c>
      <c r="H74" s="9">
        <v>6805</v>
      </c>
      <c r="I74" s="9">
        <v>6781</v>
      </c>
      <c r="J74" s="130" t="s">
        <v>299</v>
      </c>
      <c r="K74" s="277"/>
      <c r="L74" s="277"/>
      <c r="M74" s="277"/>
      <c r="O74" s="131">
        <f t="shared" si="0"/>
        <v>6651</v>
      </c>
      <c r="P74" s="132">
        <f t="shared" si="1"/>
        <v>6357</v>
      </c>
      <c r="Q74" s="132">
        <f t="shared" si="2"/>
        <v>6504</v>
      </c>
      <c r="R74" s="132">
        <f t="shared" si="3"/>
        <v>6805</v>
      </c>
      <c r="S74" s="132">
        <f t="shared" si="4"/>
        <v>6781</v>
      </c>
      <c r="T74" s="132">
        <f t="shared" si="5"/>
        <v>6793</v>
      </c>
      <c r="AC74" s="104"/>
      <c r="AP74" s="3">
        <v>1776</v>
      </c>
      <c r="AQ74" s="3">
        <v>-2.5337837837837839E-2</v>
      </c>
      <c r="AR74" s="3">
        <v>1798.5</v>
      </c>
      <c r="AS74" s="3">
        <v>1753.5</v>
      </c>
    </row>
    <row r="75" spans="2:55" ht="18" customHeight="1" x14ac:dyDescent="0.25">
      <c r="B75" s="275">
        <v>1014</v>
      </c>
      <c r="C75" s="276"/>
      <c r="D75" s="9"/>
      <c r="E75" s="133">
        <v>9130</v>
      </c>
      <c r="F75" s="129">
        <v>9883</v>
      </c>
      <c r="G75" s="9" t="s">
        <v>298</v>
      </c>
      <c r="H75" s="129">
        <v>9275</v>
      </c>
      <c r="I75" s="9">
        <v>8837</v>
      </c>
      <c r="J75" s="130" t="s">
        <v>299</v>
      </c>
      <c r="K75" s="277"/>
      <c r="L75" s="277"/>
      <c r="M75" s="277"/>
      <c r="O75" s="131">
        <f t="shared" si="0"/>
        <v>9130</v>
      </c>
      <c r="P75" s="132">
        <f t="shared" si="1"/>
        <v>9883</v>
      </c>
      <c r="Q75" s="132">
        <f t="shared" si="2"/>
        <v>9506.5</v>
      </c>
      <c r="R75" s="132">
        <f t="shared" si="3"/>
        <v>9275</v>
      </c>
      <c r="S75" s="132">
        <f t="shared" si="4"/>
        <v>8837</v>
      </c>
      <c r="T75" s="132">
        <f t="shared" si="5"/>
        <v>9056</v>
      </c>
      <c r="AC75" s="104"/>
      <c r="AP75" s="3">
        <v>6648.5</v>
      </c>
      <c r="AQ75" s="3">
        <v>4.3468451530420393E-2</v>
      </c>
      <c r="AR75" s="3">
        <v>6504</v>
      </c>
      <c r="AS75" s="3">
        <v>6793</v>
      </c>
    </row>
    <row r="76" spans="2:55" ht="18" customHeight="1" x14ac:dyDescent="0.25">
      <c r="B76" s="275">
        <v>1015</v>
      </c>
      <c r="C76" s="276"/>
      <c r="D76" s="9"/>
      <c r="E76" s="133">
        <v>4837</v>
      </c>
      <c r="F76" s="129">
        <v>4725</v>
      </c>
      <c r="G76" s="9" t="s">
        <v>298</v>
      </c>
      <c r="H76" s="129">
        <v>4877</v>
      </c>
      <c r="I76" s="9">
        <v>4572</v>
      </c>
      <c r="J76" s="130" t="s">
        <v>299</v>
      </c>
      <c r="K76" s="277"/>
      <c r="L76" s="277"/>
      <c r="M76" s="277"/>
      <c r="O76" s="131">
        <f t="shared" si="0"/>
        <v>4837</v>
      </c>
      <c r="P76" s="132">
        <f t="shared" si="1"/>
        <v>4725</v>
      </c>
      <c r="Q76" s="132">
        <f t="shared" si="2"/>
        <v>4781</v>
      </c>
      <c r="R76" s="132">
        <f t="shared" si="3"/>
        <v>4877</v>
      </c>
      <c r="S76" s="132">
        <f t="shared" si="4"/>
        <v>4572</v>
      </c>
      <c r="T76" s="132">
        <f t="shared" si="5"/>
        <v>4724.5</v>
      </c>
      <c r="AP76" s="3">
        <v>9281.25</v>
      </c>
      <c r="AQ76" s="3">
        <v>-4.8538720538720541E-2</v>
      </c>
      <c r="AR76" s="3">
        <v>9506.5</v>
      </c>
      <c r="AS76" s="3">
        <v>9056</v>
      </c>
    </row>
    <row r="77" spans="2:55" ht="18" customHeight="1" x14ac:dyDescent="0.25">
      <c r="B77" s="275">
        <v>1016</v>
      </c>
      <c r="C77" s="276"/>
      <c r="D77" s="9"/>
      <c r="E77" s="133">
        <v>2059</v>
      </c>
      <c r="F77" s="9">
        <v>2185</v>
      </c>
      <c r="G77" s="9" t="s">
        <v>298</v>
      </c>
      <c r="H77" s="9">
        <v>2146</v>
      </c>
      <c r="I77" s="9">
        <v>2121</v>
      </c>
      <c r="J77" s="130" t="s">
        <v>299</v>
      </c>
      <c r="K77" s="277"/>
      <c r="L77" s="277"/>
      <c r="M77" s="277"/>
      <c r="O77" s="131">
        <f t="shared" si="0"/>
        <v>2059</v>
      </c>
      <c r="P77" s="132">
        <f t="shared" si="1"/>
        <v>2185</v>
      </c>
      <c r="Q77" s="132">
        <f t="shared" si="2"/>
        <v>2122</v>
      </c>
      <c r="R77" s="132">
        <f t="shared" si="3"/>
        <v>2146</v>
      </c>
      <c r="S77" s="132">
        <f t="shared" si="4"/>
        <v>2121</v>
      </c>
      <c r="T77" s="132">
        <f t="shared" si="5"/>
        <v>2133.5</v>
      </c>
      <c r="AP77" s="3">
        <v>4752.75</v>
      </c>
      <c r="AQ77" s="3">
        <v>-1.1887854400084162E-2</v>
      </c>
      <c r="AR77" s="3">
        <v>4781</v>
      </c>
      <c r="AS77" s="3">
        <v>4724.5</v>
      </c>
    </row>
    <row r="78" spans="2:55" ht="18" customHeight="1" x14ac:dyDescent="0.25">
      <c r="B78" s="275">
        <v>1017</v>
      </c>
      <c r="C78" s="276"/>
      <c r="D78" s="9"/>
      <c r="E78" s="129">
        <v>17052</v>
      </c>
      <c r="F78" s="129">
        <v>18666</v>
      </c>
      <c r="G78" s="9" t="s">
        <v>298</v>
      </c>
      <c r="H78" s="129">
        <v>16905</v>
      </c>
      <c r="I78" s="9">
        <v>16248</v>
      </c>
      <c r="J78" s="130" t="s">
        <v>299</v>
      </c>
      <c r="K78" s="277"/>
      <c r="L78" s="277"/>
      <c r="M78" s="277"/>
      <c r="O78" s="131">
        <f t="shared" si="0"/>
        <v>17052</v>
      </c>
      <c r="P78" s="132">
        <f t="shared" si="1"/>
        <v>18666</v>
      </c>
      <c r="Q78" s="132">
        <f t="shared" si="2"/>
        <v>17859</v>
      </c>
      <c r="R78" s="132">
        <f t="shared" si="3"/>
        <v>16905</v>
      </c>
      <c r="S78" s="132">
        <f t="shared" si="4"/>
        <v>16248</v>
      </c>
      <c r="T78" s="132">
        <f t="shared" si="5"/>
        <v>16576.5</v>
      </c>
      <c r="AP78" s="3">
        <v>2127.75</v>
      </c>
      <c r="AQ78" s="3">
        <v>5.4047702972623663E-3</v>
      </c>
      <c r="AR78" s="3">
        <v>2122</v>
      </c>
      <c r="AS78" s="3">
        <v>2133.5</v>
      </c>
    </row>
    <row r="79" spans="2:55" ht="18" customHeight="1" x14ac:dyDescent="0.25">
      <c r="B79" s="275">
        <v>1018</v>
      </c>
      <c r="C79" s="276"/>
      <c r="D79" s="9"/>
      <c r="E79" s="133">
        <v>7365</v>
      </c>
      <c r="F79" s="129">
        <v>6763</v>
      </c>
      <c r="G79" s="9" t="s">
        <v>298</v>
      </c>
      <c r="H79" s="129">
        <v>7259</v>
      </c>
      <c r="I79" s="9">
        <v>6954</v>
      </c>
      <c r="J79" s="130" t="s">
        <v>299</v>
      </c>
      <c r="K79" s="277"/>
      <c r="L79" s="277"/>
      <c r="M79" s="277"/>
      <c r="O79" s="131">
        <f t="shared" si="0"/>
        <v>7365</v>
      </c>
      <c r="P79" s="132">
        <f t="shared" si="1"/>
        <v>6763</v>
      </c>
      <c r="Q79" s="132">
        <f t="shared" si="2"/>
        <v>7064</v>
      </c>
      <c r="R79" s="132">
        <f t="shared" si="3"/>
        <v>7259</v>
      </c>
      <c r="S79" s="132">
        <f t="shared" si="4"/>
        <v>6954</v>
      </c>
      <c r="T79" s="132">
        <f t="shared" si="5"/>
        <v>7106.5</v>
      </c>
      <c r="AD79" s="134"/>
      <c r="AE79" s="134"/>
      <c r="AF79" s="134"/>
      <c r="AG79" s="134"/>
      <c r="AH79" s="134"/>
      <c r="AI79" s="134"/>
      <c r="AP79" s="3">
        <v>17217.75</v>
      </c>
      <c r="AQ79" s="3">
        <v>-7.4487084549374916E-2</v>
      </c>
      <c r="AR79" s="3">
        <v>17859</v>
      </c>
      <c r="AS79" s="3">
        <v>16576.5</v>
      </c>
    </row>
    <row r="80" spans="2:55" ht="18" customHeight="1" x14ac:dyDescent="0.25">
      <c r="B80" s="275">
        <v>1019</v>
      </c>
      <c r="C80" s="276"/>
      <c r="D80" s="9"/>
      <c r="E80" s="129">
        <v>940</v>
      </c>
      <c r="F80" s="129">
        <v>987</v>
      </c>
      <c r="G80" s="9" t="s">
        <v>298</v>
      </c>
      <c r="H80" s="129">
        <v>996</v>
      </c>
      <c r="I80" s="9">
        <v>977</v>
      </c>
      <c r="J80" s="130" t="s">
        <v>299</v>
      </c>
      <c r="K80" s="277"/>
      <c r="L80" s="277"/>
      <c r="M80" s="277"/>
      <c r="O80" s="131">
        <f t="shared" si="0"/>
        <v>940</v>
      </c>
      <c r="P80" s="132">
        <f t="shared" si="1"/>
        <v>987</v>
      </c>
      <c r="Q80" s="132">
        <f t="shared" si="2"/>
        <v>963.5</v>
      </c>
      <c r="R80" s="132">
        <f t="shared" si="3"/>
        <v>996</v>
      </c>
      <c r="S80" s="132">
        <f t="shared" si="4"/>
        <v>977</v>
      </c>
      <c r="T80" s="132">
        <f t="shared" si="5"/>
        <v>986.5</v>
      </c>
      <c r="AD80" s="134"/>
      <c r="AE80" s="134"/>
      <c r="AF80" s="134"/>
      <c r="AG80" s="134"/>
      <c r="AH80" s="134"/>
      <c r="AI80" s="134"/>
      <c r="AP80" s="3">
        <v>7085.25</v>
      </c>
      <c r="AQ80" s="3">
        <v>5.9983769097773547E-3</v>
      </c>
      <c r="AR80" s="3">
        <v>7064</v>
      </c>
      <c r="AS80" s="3">
        <v>7106.5</v>
      </c>
    </row>
    <row r="81" spans="2:45" ht="18" customHeight="1" x14ac:dyDescent="0.25">
      <c r="B81" s="275">
        <v>1020</v>
      </c>
      <c r="C81" s="276"/>
      <c r="D81" s="9"/>
      <c r="E81" s="129">
        <v>434</v>
      </c>
      <c r="F81" s="9">
        <v>383</v>
      </c>
      <c r="G81" s="9" t="s">
        <v>298</v>
      </c>
      <c r="H81" s="9">
        <v>456</v>
      </c>
      <c r="I81" s="9">
        <v>506</v>
      </c>
      <c r="J81" s="130" t="s">
        <v>299</v>
      </c>
      <c r="K81" s="277"/>
      <c r="L81" s="277"/>
      <c r="M81" s="277"/>
      <c r="O81" s="131">
        <f t="shared" si="0"/>
        <v>434</v>
      </c>
      <c r="P81" s="132">
        <f t="shared" si="1"/>
        <v>383</v>
      </c>
      <c r="Q81" s="132">
        <f t="shared" si="2"/>
        <v>408.5</v>
      </c>
      <c r="R81" s="132">
        <f t="shared" si="3"/>
        <v>456</v>
      </c>
      <c r="S81" s="132">
        <f t="shared" si="4"/>
        <v>506</v>
      </c>
      <c r="T81" s="132">
        <f t="shared" si="5"/>
        <v>481</v>
      </c>
      <c r="AD81" s="134"/>
      <c r="AE81" s="134"/>
      <c r="AF81" s="134"/>
      <c r="AG81" s="134"/>
      <c r="AH81" s="134"/>
      <c r="AI81" s="134"/>
      <c r="AP81" s="3">
        <v>975</v>
      </c>
      <c r="AQ81" s="3">
        <v>2.3589743589743591E-2</v>
      </c>
      <c r="AR81" s="3">
        <v>963.5</v>
      </c>
      <c r="AS81" s="3">
        <v>986.5</v>
      </c>
    </row>
    <row r="82" spans="2:45" ht="18" customHeight="1" x14ac:dyDescent="0.25">
      <c r="B82" s="275">
        <v>1021</v>
      </c>
      <c r="C82" s="276"/>
      <c r="D82" s="9"/>
      <c r="E82" s="129">
        <v>5693</v>
      </c>
      <c r="F82" s="9">
        <v>5553</v>
      </c>
      <c r="G82" s="9" t="s">
        <v>298</v>
      </c>
      <c r="H82" s="9">
        <v>5677</v>
      </c>
      <c r="I82" s="9">
        <v>5529</v>
      </c>
      <c r="J82" s="130" t="s">
        <v>299</v>
      </c>
      <c r="K82" s="277"/>
      <c r="L82" s="277"/>
      <c r="M82" s="277"/>
      <c r="O82" s="131">
        <f t="shared" si="0"/>
        <v>5693</v>
      </c>
      <c r="P82" s="132">
        <f t="shared" si="1"/>
        <v>5553</v>
      </c>
      <c r="Q82" s="132">
        <f t="shared" si="2"/>
        <v>5623</v>
      </c>
      <c r="R82" s="132">
        <f t="shared" si="3"/>
        <v>5677</v>
      </c>
      <c r="S82" s="132">
        <f t="shared" si="4"/>
        <v>5529</v>
      </c>
      <c r="T82" s="132">
        <f t="shared" si="5"/>
        <v>5603</v>
      </c>
      <c r="AD82" s="134"/>
      <c r="AE82" s="134"/>
      <c r="AF82" s="134"/>
      <c r="AG82" s="134"/>
      <c r="AH82" s="134"/>
      <c r="AI82" s="134"/>
      <c r="AP82" s="3">
        <v>444.75</v>
      </c>
      <c r="AQ82" s="3">
        <v>0.16301292861157954</v>
      </c>
      <c r="AR82" s="3">
        <v>408.5</v>
      </c>
      <c r="AS82" s="3">
        <v>481</v>
      </c>
    </row>
    <row r="83" spans="2:45" ht="18" customHeight="1" x14ac:dyDescent="0.25">
      <c r="B83" s="275">
        <v>1022</v>
      </c>
      <c r="C83" s="276"/>
      <c r="D83" s="9"/>
      <c r="E83" s="129">
        <v>4987</v>
      </c>
      <c r="F83" s="129">
        <v>4860</v>
      </c>
      <c r="G83" s="9" t="s">
        <v>298</v>
      </c>
      <c r="H83" s="129">
        <v>5071</v>
      </c>
      <c r="I83" s="9">
        <v>5021</v>
      </c>
      <c r="J83" s="130" t="s">
        <v>299</v>
      </c>
      <c r="K83" s="277"/>
      <c r="L83" s="277"/>
      <c r="M83" s="277"/>
      <c r="O83" s="131">
        <f t="shared" si="0"/>
        <v>4987</v>
      </c>
      <c r="P83" s="132">
        <f t="shared" si="1"/>
        <v>4860</v>
      </c>
      <c r="Q83" s="132">
        <f t="shared" si="2"/>
        <v>4923.5</v>
      </c>
      <c r="R83" s="132">
        <f t="shared" si="3"/>
        <v>5071</v>
      </c>
      <c r="S83" s="132">
        <f t="shared" si="4"/>
        <v>5021</v>
      </c>
      <c r="T83" s="132">
        <f t="shared" si="5"/>
        <v>5046</v>
      </c>
      <c r="AD83" s="134"/>
      <c r="AE83" s="134"/>
      <c r="AF83" s="134"/>
      <c r="AG83" s="134"/>
      <c r="AH83" s="134"/>
      <c r="AI83" s="134"/>
      <c r="AP83" s="3">
        <v>5613</v>
      </c>
      <c r="AQ83" s="3">
        <v>-3.5631569570639585E-3</v>
      </c>
      <c r="AR83" s="3">
        <v>5623</v>
      </c>
      <c r="AS83" s="3">
        <v>5603</v>
      </c>
    </row>
    <row r="84" spans="2:45" ht="18" customHeight="1" x14ac:dyDescent="0.25">
      <c r="B84" s="275">
        <v>1023</v>
      </c>
      <c r="C84" s="276"/>
      <c r="D84" s="9"/>
      <c r="E84" s="129">
        <v>2754</v>
      </c>
      <c r="F84" s="129">
        <v>2736</v>
      </c>
      <c r="G84" s="9" t="s">
        <v>298</v>
      </c>
      <c r="H84" s="129">
        <v>2873</v>
      </c>
      <c r="I84" s="9">
        <v>2726</v>
      </c>
      <c r="J84" s="130" t="s">
        <v>299</v>
      </c>
      <c r="K84" s="277"/>
      <c r="L84" s="277"/>
      <c r="M84" s="277"/>
      <c r="O84" s="131">
        <f t="shared" si="0"/>
        <v>2754</v>
      </c>
      <c r="P84" s="132">
        <f t="shared" si="1"/>
        <v>2736</v>
      </c>
      <c r="Q84" s="132">
        <f t="shared" si="2"/>
        <v>2745</v>
      </c>
      <c r="R84" s="132">
        <f t="shared" si="3"/>
        <v>2873</v>
      </c>
      <c r="S84" s="132">
        <f t="shared" si="4"/>
        <v>2726</v>
      </c>
      <c r="T84" s="132">
        <f t="shared" si="5"/>
        <v>2799.5</v>
      </c>
      <c r="AD84" s="134"/>
      <c r="AE84" s="134"/>
      <c r="AF84" s="134"/>
      <c r="AG84" s="134"/>
      <c r="AH84" s="134"/>
      <c r="AI84" s="134"/>
      <c r="AP84" s="3">
        <v>4984.75</v>
      </c>
      <c r="AQ84" s="3">
        <v>2.4574953608505944E-2</v>
      </c>
      <c r="AR84" s="3">
        <v>4923.5</v>
      </c>
      <c r="AS84" s="3">
        <v>5046</v>
      </c>
    </row>
    <row r="85" spans="2:45" ht="18" customHeight="1" x14ac:dyDescent="0.25">
      <c r="B85" s="275">
        <v>1024</v>
      </c>
      <c r="C85" s="276"/>
      <c r="D85" s="9"/>
      <c r="E85" s="129">
        <v>1725</v>
      </c>
      <c r="F85" s="129">
        <v>1752</v>
      </c>
      <c r="G85" s="9" t="s">
        <v>298</v>
      </c>
      <c r="H85" s="129">
        <v>1775</v>
      </c>
      <c r="I85" s="9">
        <v>1668</v>
      </c>
      <c r="J85" s="130" t="s">
        <v>299</v>
      </c>
      <c r="K85" s="277"/>
      <c r="L85" s="277"/>
      <c r="M85" s="277"/>
      <c r="O85" s="131">
        <f t="shared" si="0"/>
        <v>1725</v>
      </c>
      <c r="P85" s="132">
        <f t="shared" si="1"/>
        <v>1752</v>
      </c>
      <c r="Q85" s="132">
        <f t="shared" si="2"/>
        <v>1738.5</v>
      </c>
      <c r="R85" s="132">
        <f t="shared" si="3"/>
        <v>1775</v>
      </c>
      <c r="S85" s="132">
        <f t="shared" si="4"/>
        <v>1668</v>
      </c>
      <c r="T85" s="132">
        <f t="shared" si="5"/>
        <v>1721.5</v>
      </c>
      <c r="AP85" s="3">
        <v>2772.25</v>
      </c>
      <c r="AQ85" s="3">
        <v>1.9659121652087653E-2</v>
      </c>
      <c r="AR85" s="3">
        <v>2745</v>
      </c>
      <c r="AS85" s="3">
        <v>2799.5</v>
      </c>
    </row>
    <row r="86" spans="2:45" ht="18" customHeight="1" x14ac:dyDescent="0.25">
      <c r="B86" s="275">
        <v>1025</v>
      </c>
      <c r="C86" s="276"/>
      <c r="D86" s="9"/>
      <c r="E86" s="129">
        <v>7192</v>
      </c>
      <c r="F86" s="129">
        <v>6922</v>
      </c>
      <c r="G86" s="9" t="s">
        <v>298</v>
      </c>
      <c r="H86" s="129">
        <v>7454</v>
      </c>
      <c r="I86" s="9">
        <v>7641</v>
      </c>
      <c r="J86" s="130" t="s">
        <v>299</v>
      </c>
      <c r="K86" s="277"/>
      <c r="L86" s="277"/>
      <c r="M86" s="277"/>
      <c r="O86" s="131">
        <f t="shared" si="0"/>
        <v>7192</v>
      </c>
      <c r="P86" s="132">
        <f t="shared" si="1"/>
        <v>6922</v>
      </c>
      <c r="Q86" s="132">
        <f t="shared" si="2"/>
        <v>7057</v>
      </c>
      <c r="R86" s="132">
        <f t="shared" si="3"/>
        <v>7454</v>
      </c>
      <c r="S86" s="132">
        <f t="shared" si="4"/>
        <v>7641</v>
      </c>
      <c r="T86" s="132">
        <f t="shared" si="5"/>
        <v>7547.5</v>
      </c>
      <c r="AP86" s="3">
        <v>1730</v>
      </c>
      <c r="AQ86" s="3">
        <v>-9.8265895953757246E-3</v>
      </c>
      <c r="AR86" s="3">
        <v>1738.5</v>
      </c>
      <c r="AS86" s="3">
        <v>1721.5</v>
      </c>
    </row>
    <row r="87" spans="2:45" ht="18" customHeight="1" x14ac:dyDescent="0.25">
      <c r="B87" s="275">
        <v>1026</v>
      </c>
      <c r="C87" s="276"/>
      <c r="D87" s="9"/>
      <c r="E87" s="129">
        <v>3024</v>
      </c>
      <c r="F87" s="129">
        <v>2979</v>
      </c>
      <c r="G87" s="9" t="s">
        <v>298</v>
      </c>
      <c r="H87" s="129">
        <v>3058</v>
      </c>
      <c r="I87" s="9">
        <v>2961</v>
      </c>
      <c r="J87" s="130" t="s">
        <v>299</v>
      </c>
      <c r="K87" s="277"/>
      <c r="L87" s="277"/>
      <c r="M87" s="277"/>
      <c r="O87" s="131">
        <f t="shared" si="0"/>
        <v>3024</v>
      </c>
      <c r="P87" s="132">
        <f t="shared" si="1"/>
        <v>2979</v>
      </c>
      <c r="Q87" s="132">
        <f t="shared" si="2"/>
        <v>3001.5</v>
      </c>
      <c r="R87" s="132">
        <f t="shared" si="3"/>
        <v>3058</v>
      </c>
      <c r="S87" s="132">
        <f t="shared" si="4"/>
        <v>2961</v>
      </c>
      <c r="T87" s="132">
        <f t="shared" si="5"/>
        <v>3009.5</v>
      </c>
      <c r="AP87" s="3">
        <v>7302.25</v>
      </c>
      <c r="AQ87" s="3">
        <v>6.7171077407648327E-2</v>
      </c>
      <c r="AR87" s="3">
        <v>7057</v>
      </c>
      <c r="AS87" s="3">
        <v>7547.5</v>
      </c>
    </row>
    <row r="88" spans="2:45" ht="18" customHeight="1" x14ac:dyDescent="0.25">
      <c r="B88" s="275">
        <v>1027</v>
      </c>
      <c r="C88" s="276"/>
      <c r="D88" s="9"/>
      <c r="E88" s="129">
        <v>903</v>
      </c>
      <c r="F88" s="129">
        <v>888</v>
      </c>
      <c r="G88" s="9" t="s">
        <v>298</v>
      </c>
      <c r="H88" s="129">
        <v>954</v>
      </c>
      <c r="I88" s="9">
        <v>1019</v>
      </c>
      <c r="J88" s="130" t="s">
        <v>299</v>
      </c>
      <c r="K88" s="277"/>
      <c r="L88" s="277"/>
      <c r="M88" s="277"/>
      <c r="O88" s="131">
        <f t="shared" si="0"/>
        <v>903</v>
      </c>
      <c r="P88" s="132">
        <f t="shared" si="1"/>
        <v>888</v>
      </c>
      <c r="Q88" s="132">
        <f t="shared" si="2"/>
        <v>895.5</v>
      </c>
      <c r="R88" s="132">
        <f t="shared" si="3"/>
        <v>954</v>
      </c>
      <c r="S88" s="132">
        <f t="shared" si="4"/>
        <v>1019</v>
      </c>
      <c r="T88" s="132">
        <f t="shared" si="5"/>
        <v>986.5</v>
      </c>
      <c r="AP88" s="3">
        <v>3005.5</v>
      </c>
      <c r="AQ88" s="3">
        <v>2.6617867243387125E-3</v>
      </c>
      <c r="AR88" s="3">
        <v>3001.5</v>
      </c>
      <c r="AS88" s="3">
        <v>3009.5</v>
      </c>
    </row>
    <row r="89" spans="2:45" ht="18" customHeight="1" x14ac:dyDescent="0.25">
      <c r="B89" s="275">
        <v>1028</v>
      </c>
      <c r="C89" s="276"/>
      <c r="D89" s="9"/>
      <c r="E89" s="129">
        <v>11962</v>
      </c>
      <c r="F89" s="9">
        <v>12349</v>
      </c>
      <c r="G89" s="9" t="s">
        <v>298</v>
      </c>
      <c r="H89" s="9">
        <v>11793</v>
      </c>
      <c r="I89" s="9">
        <v>11631</v>
      </c>
      <c r="J89" s="130" t="s">
        <v>299</v>
      </c>
      <c r="K89" s="277"/>
      <c r="L89" s="277"/>
      <c r="M89" s="277"/>
      <c r="O89" s="131">
        <f t="shared" si="0"/>
        <v>11962</v>
      </c>
      <c r="P89" s="132">
        <f t="shared" si="1"/>
        <v>12349</v>
      </c>
      <c r="Q89" s="132">
        <f t="shared" si="2"/>
        <v>12155.5</v>
      </c>
      <c r="R89" s="132">
        <f t="shared" si="3"/>
        <v>11793</v>
      </c>
      <c r="S89" s="132">
        <f t="shared" si="4"/>
        <v>11631</v>
      </c>
      <c r="T89" s="132">
        <f t="shared" si="5"/>
        <v>11712</v>
      </c>
      <c r="AP89" s="3">
        <v>941</v>
      </c>
      <c r="AQ89" s="3">
        <v>9.6705632306057401E-2</v>
      </c>
      <c r="AR89" s="3">
        <v>895.5</v>
      </c>
      <c r="AS89" s="3">
        <v>986.5</v>
      </c>
    </row>
    <row r="90" spans="2:45" ht="18" customHeight="1" x14ac:dyDescent="0.25">
      <c r="B90" s="275">
        <v>1029</v>
      </c>
      <c r="C90" s="276"/>
      <c r="D90" s="9"/>
      <c r="E90" s="133">
        <v>1295</v>
      </c>
      <c r="F90" s="129">
        <v>1286</v>
      </c>
      <c r="G90" s="9" t="s">
        <v>298</v>
      </c>
      <c r="H90" s="129">
        <v>1347</v>
      </c>
      <c r="I90" s="9">
        <v>1485</v>
      </c>
      <c r="J90" s="130" t="s">
        <v>299</v>
      </c>
      <c r="K90" s="277"/>
      <c r="L90" s="277"/>
      <c r="M90" s="277"/>
      <c r="O90" s="131">
        <f t="shared" si="0"/>
        <v>1295</v>
      </c>
      <c r="P90" s="132">
        <f t="shared" si="1"/>
        <v>1286</v>
      </c>
      <c r="Q90" s="132">
        <f t="shared" si="2"/>
        <v>1290.5</v>
      </c>
      <c r="R90" s="132">
        <f t="shared" si="3"/>
        <v>1347</v>
      </c>
      <c r="S90" s="132">
        <f t="shared" si="4"/>
        <v>1485</v>
      </c>
      <c r="T90" s="132">
        <f t="shared" si="5"/>
        <v>1416</v>
      </c>
      <c r="AP90" s="3">
        <v>11933.75</v>
      </c>
      <c r="AQ90" s="3">
        <v>-3.716350686079397E-2</v>
      </c>
      <c r="AR90" s="3">
        <v>12155.5</v>
      </c>
      <c r="AS90" s="3">
        <v>11712</v>
      </c>
    </row>
    <row r="91" spans="2:45" ht="18" customHeight="1" x14ac:dyDescent="0.25">
      <c r="B91" s="275">
        <v>1030</v>
      </c>
      <c r="C91" s="276"/>
      <c r="D91" s="9"/>
      <c r="E91" s="129">
        <v>948</v>
      </c>
      <c r="F91" s="129">
        <v>938</v>
      </c>
      <c r="G91" s="9" t="s">
        <v>298</v>
      </c>
      <c r="H91" s="129">
        <v>1000</v>
      </c>
      <c r="I91" s="9">
        <v>997</v>
      </c>
      <c r="J91" s="130" t="s">
        <v>299</v>
      </c>
      <c r="K91" s="277"/>
      <c r="L91" s="277"/>
      <c r="M91" s="277"/>
      <c r="O91" s="131">
        <f t="shared" si="0"/>
        <v>948</v>
      </c>
      <c r="P91" s="132">
        <f t="shared" si="1"/>
        <v>938</v>
      </c>
      <c r="Q91" s="132">
        <f t="shared" si="2"/>
        <v>943</v>
      </c>
      <c r="R91" s="132">
        <f t="shared" si="3"/>
        <v>1000</v>
      </c>
      <c r="S91" s="132">
        <f t="shared" si="4"/>
        <v>997</v>
      </c>
      <c r="T91" s="132">
        <f t="shared" si="5"/>
        <v>998.5</v>
      </c>
      <c r="AP91" s="3">
        <v>1353.25</v>
      </c>
      <c r="AQ91" s="3">
        <v>9.2739700720487719E-2</v>
      </c>
      <c r="AR91" s="3">
        <v>1290.5</v>
      </c>
      <c r="AS91" s="3">
        <v>1416</v>
      </c>
    </row>
    <row r="92" spans="2:45" ht="18" customHeight="1" x14ac:dyDescent="0.25">
      <c r="B92" s="275">
        <v>1031</v>
      </c>
      <c r="C92" s="276"/>
      <c r="D92" s="9"/>
      <c r="E92" s="129">
        <v>11643</v>
      </c>
      <c r="F92" s="9">
        <v>10982</v>
      </c>
      <c r="G92" s="9" t="s">
        <v>298</v>
      </c>
      <c r="H92" s="9">
        <v>11982</v>
      </c>
      <c r="I92" s="9">
        <v>11415</v>
      </c>
      <c r="J92" s="130" t="s">
        <v>299</v>
      </c>
      <c r="K92" s="277"/>
      <c r="L92" s="277"/>
      <c r="M92" s="277"/>
      <c r="O92" s="131">
        <f t="shared" si="0"/>
        <v>11643</v>
      </c>
      <c r="P92" s="132">
        <f t="shared" si="1"/>
        <v>10982</v>
      </c>
      <c r="Q92" s="132">
        <f t="shared" si="2"/>
        <v>11312.5</v>
      </c>
      <c r="R92" s="132">
        <f t="shared" si="3"/>
        <v>11982</v>
      </c>
      <c r="S92" s="132">
        <f t="shared" si="4"/>
        <v>11415</v>
      </c>
      <c r="T92" s="132">
        <f t="shared" si="5"/>
        <v>11698.5</v>
      </c>
      <c r="AP92" s="3">
        <v>970.75</v>
      </c>
      <c r="AQ92" s="3">
        <v>5.7172289466907028E-2</v>
      </c>
      <c r="AR92" s="3">
        <v>943</v>
      </c>
      <c r="AS92" s="3">
        <v>998.5</v>
      </c>
    </row>
    <row r="93" spans="2:45" ht="18" customHeight="1" x14ac:dyDescent="0.25">
      <c r="B93" s="275">
        <v>1032</v>
      </c>
      <c r="C93" s="276"/>
      <c r="D93" s="9"/>
      <c r="E93" s="129">
        <v>2687</v>
      </c>
      <c r="F93" s="129">
        <v>2713</v>
      </c>
      <c r="G93" s="9" t="s">
        <v>298</v>
      </c>
      <c r="H93" s="129">
        <v>2777</v>
      </c>
      <c r="I93" s="9">
        <v>2881</v>
      </c>
      <c r="J93" s="130" t="s">
        <v>299</v>
      </c>
      <c r="K93" s="277"/>
      <c r="L93" s="277"/>
      <c r="M93" s="277"/>
      <c r="O93" s="131">
        <f t="shared" si="0"/>
        <v>2687</v>
      </c>
      <c r="P93" s="132">
        <f t="shared" si="1"/>
        <v>2713</v>
      </c>
      <c r="Q93" s="132">
        <f t="shared" si="2"/>
        <v>2700</v>
      </c>
      <c r="R93" s="132">
        <f t="shared" si="3"/>
        <v>2777</v>
      </c>
      <c r="S93" s="132">
        <f t="shared" si="4"/>
        <v>2881</v>
      </c>
      <c r="T93" s="132">
        <f t="shared" si="5"/>
        <v>2829</v>
      </c>
      <c r="AP93" s="3">
        <v>11505.5</v>
      </c>
      <c r="AQ93" s="3">
        <v>3.3549172135065836E-2</v>
      </c>
      <c r="AR93" s="3">
        <v>11312.5</v>
      </c>
      <c r="AS93" s="3">
        <v>11698.5</v>
      </c>
    </row>
    <row r="94" spans="2:45" ht="18" customHeight="1" x14ac:dyDescent="0.25">
      <c r="B94" s="275">
        <v>1033</v>
      </c>
      <c r="C94" s="276"/>
      <c r="D94" s="9"/>
      <c r="E94" s="129">
        <v>3688</v>
      </c>
      <c r="F94" s="129">
        <v>3434</v>
      </c>
      <c r="G94" s="9" t="s">
        <v>298</v>
      </c>
      <c r="H94" s="129">
        <v>3714</v>
      </c>
      <c r="I94" s="9">
        <v>3839</v>
      </c>
      <c r="J94" s="130" t="s">
        <v>299</v>
      </c>
      <c r="K94" s="277"/>
      <c r="L94" s="277"/>
      <c r="M94" s="277"/>
      <c r="O94" s="131">
        <f t="shared" si="0"/>
        <v>3688</v>
      </c>
      <c r="P94" s="132">
        <f t="shared" si="1"/>
        <v>3434</v>
      </c>
      <c r="Q94" s="132">
        <f t="shared" si="2"/>
        <v>3561</v>
      </c>
      <c r="R94" s="132">
        <f t="shared" si="3"/>
        <v>3714</v>
      </c>
      <c r="S94" s="132">
        <f t="shared" si="4"/>
        <v>3839</v>
      </c>
      <c r="T94" s="132">
        <f t="shared" si="5"/>
        <v>3776.5</v>
      </c>
      <c r="AP94" s="3">
        <v>2764.5</v>
      </c>
      <c r="AQ94" s="3">
        <v>4.6663049376017361E-2</v>
      </c>
      <c r="AR94" s="3">
        <v>2700</v>
      </c>
      <c r="AS94" s="3">
        <v>2829</v>
      </c>
    </row>
    <row r="95" spans="2:45" ht="18" customHeight="1" x14ac:dyDescent="0.25">
      <c r="B95" s="275">
        <v>1034</v>
      </c>
      <c r="C95" s="276"/>
      <c r="D95" s="9"/>
      <c r="E95" s="133">
        <v>1756</v>
      </c>
      <c r="F95" s="9">
        <v>1666</v>
      </c>
      <c r="G95" s="9" t="s">
        <v>298</v>
      </c>
      <c r="H95" s="9">
        <v>1873</v>
      </c>
      <c r="I95" s="9">
        <v>1925</v>
      </c>
      <c r="J95" s="130" t="s">
        <v>299</v>
      </c>
      <c r="K95" s="277"/>
      <c r="L95" s="277"/>
      <c r="M95" s="277"/>
      <c r="O95" s="131">
        <f t="shared" si="0"/>
        <v>1756</v>
      </c>
      <c r="P95" s="132">
        <f t="shared" si="1"/>
        <v>1666</v>
      </c>
      <c r="Q95" s="132">
        <f t="shared" si="2"/>
        <v>1711</v>
      </c>
      <c r="R95" s="132">
        <f t="shared" si="3"/>
        <v>1873</v>
      </c>
      <c r="S95" s="132">
        <f t="shared" si="4"/>
        <v>1925</v>
      </c>
      <c r="T95" s="132">
        <f t="shared" si="5"/>
        <v>1899</v>
      </c>
      <c r="AP95" s="3">
        <v>3668.75</v>
      </c>
      <c r="AQ95" s="3">
        <v>5.8739352640545146E-2</v>
      </c>
      <c r="AR95" s="3">
        <v>3561</v>
      </c>
      <c r="AS95" s="3">
        <v>3776.5</v>
      </c>
    </row>
    <row r="96" spans="2:45" ht="18" customHeight="1" x14ac:dyDescent="0.25">
      <c r="B96" s="275">
        <v>1035</v>
      </c>
      <c r="C96" s="276"/>
      <c r="D96" s="9"/>
      <c r="E96" s="129">
        <v>989</v>
      </c>
      <c r="F96" s="129">
        <v>1023</v>
      </c>
      <c r="G96" s="9" t="s">
        <v>298</v>
      </c>
      <c r="H96" s="129">
        <v>1062</v>
      </c>
      <c r="I96" s="9">
        <v>1022</v>
      </c>
      <c r="J96" s="130" t="s">
        <v>299</v>
      </c>
      <c r="K96" s="277"/>
      <c r="L96" s="277"/>
      <c r="M96" s="277"/>
      <c r="O96" s="131">
        <f t="shared" si="0"/>
        <v>989</v>
      </c>
      <c r="P96" s="132">
        <f t="shared" si="1"/>
        <v>1023</v>
      </c>
      <c r="Q96" s="132">
        <f t="shared" si="2"/>
        <v>1006</v>
      </c>
      <c r="R96" s="132">
        <f t="shared" si="3"/>
        <v>1062</v>
      </c>
      <c r="S96" s="132">
        <f t="shared" si="4"/>
        <v>1022</v>
      </c>
      <c r="T96" s="132">
        <f t="shared" si="5"/>
        <v>1042</v>
      </c>
      <c r="AP96" s="3">
        <v>1805</v>
      </c>
      <c r="AQ96" s="3">
        <v>0.10415512465373961</v>
      </c>
      <c r="AR96" s="3">
        <v>1711</v>
      </c>
      <c r="AS96" s="3">
        <v>1899</v>
      </c>
    </row>
    <row r="97" spans="2:45" ht="18" customHeight="1" x14ac:dyDescent="0.25">
      <c r="B97" s="275">
        <v>1036</v>
      </c>
      <c r="C97" s="276"/>
      <c r="D97" s="9"/>
      <c r="E97" s="129">
        <v>1182</v>
      </c>
      <c r="F97" s="129">
        <v>1179</v>
      </c>
      <c r="G97" s="9" t="s">
        <v>298</v>
      </c>
      <c r="H97" s="129">
        <v>1570</v>
      </c>
      <c r="I97" s="9">
        <v>1662</v>
      </c>
      <c r="J97" s="130" t="s">
        <v>299</v>
      </c>
      <c r="K97" s="277"/>
      <c r="L97" s="277"/>
      <c r="M97" s="277"/>
      <c r="O97" s="131">
        <f t="shared" si="0"/>
        <v>1182</v>
      </c>
      <c r="P97" s="132">
        <f t="shared" si="1"/>
        <v>1179</v>
      </c>
      <c r="Q97" s="132">
        <f t="shared" si="2"/>
        <v>1180.5</v>
      </c>
      <c r="R97" s="132">
        <f t="shared" si="3"/>
        <v>1570</v>
      </c>
      <c r="S97" s="132">
        <f t="shared" si="4"/>
        <v>1662</v>
      </c>
      <c r="T97" s="132">
        <f t="shared" si="5"/>
        <v>1616</v>
      </c>
      <c r="AP97" s="3">
        <v>1024</v>
      </c>
      <c r="AQ97" s="3">
        <v>3.515625E-2</v>
      </c>
      <c r="AR97" s="3">
        <v>1006</v>
      </c>
      <c r="AS97" s="3">
        <v>1042</v>
      </c>
    </row>
    <row r="98" spans="2:45" ht="18" customHeight="1" x14ac:dyDescent="0.25">
      <c r="B98" s="275">
        <v>1037</v>
      </c>
      <c r="C98" s="276"/>
      <c r="D98" s="9"/>
      <c r="E98" s="129">
        <v>9098</v>
      </c>
      <c r="F98" s="129">
        <v>8916</v>
      </c>
      <c r="G98" s="9" t="s">
        <v>298</v>
      </c>
      <c r="H98" s="129">
        <v>9212</v>
      </c>
      <c r="I98" s="9">
        <v>9549</v>
      </c>
      <c r="J98" s="130" t="s">
        <v>299</v>
      </c>
      <c r="K98" s="277"/>
      <c r="L98" s="277"/>
      <c r="M98" s="277"/>
      <c r="O98" s="131">
        <f t="shared" si="0"/>
        <v>9098</v>
      </c>
      <c r="P98" s="132">
        <f t="shared" si="1"/>
        <v>8916</v>
      </c>
      <c r="Q98" s="132">
        <f t="shared" si="2"/>
        <v>9007</v>
      </c>
      <c r="R98" s="132">
        <f t="shared" si="3"/>
        <v>9212</v>
      </c>
      <c r="S98" s="132">
        <f t="shared" si="4"/>
        <v>9549</v>
      </c>
      <c r="T98" s="132">
        <f t="shared" si="5"/>
        <v>9380.5</v>
      </c>
      <c r="AP98" s="3">
        <v>1398.25</v>
      </c>
      <c r="AQ98" s="3">
        <v>0.31146075451457178</v>
      </c>
      <c r="AR98" s="3">
        <v>1180.5</v>
      </c>
      <c r="AS98" s="3">
        <v>1616</v>
      </c>
    </row>
    <row r="99" spans="2:45" ht="18" customHeight="1" x14ac:dyDescent="0.25">
      <c r="B99" s="275">
        <v>1038</v>
      </c>
      <c r="C99" s="276"/>
      <c r="D99" s="9"/>
      <c r="E99" s="129">
        <v>4333</v>
      </c>
      <c r="F99" s="129">
        <v>4543</v>
      </c>
      <c r="G99" s="9" t="s">
        <v>298</v>
      </c>
      <c r="H99" s="129">
        <v>4427</v>
      </c>
      <c r="I99" s="9">
        <v>4238</v>
      </c>
      <c r="J99" s="130" t="s">
        <v>299</v>
      </c>
      <c r="K99" s="277"/>
      <c r="L99" s="277"/>
      <c r="M99" s="277"/>
      <c r="O99" s="131">
        <f t="shared" si="0"/>
        <v>4333</v>
      </c>
      <c r="P99" s="132">
        <f t="shared" si="1"/>
        <v>4543</v>
      </c>
      <c r="Q99" s="132">
        <f t="shared" si="2"/>
        <v>4438</v>
      </c>
      <c r="R99" s="132">
        <f t="shared" si="3"/>
        <v>4427</v>
      </c>
      <c r="S99" s="132">
        <f t="shared" si="4"/>
        <v>4238</v>
      </c>
      <c r="T99" s="132">
        <f t="shared" si="5"/>
        <v>4332.5</v>
      </c>
      <c r="AP99" s="3">
        <v>9193.75</v>
      </c>
      <c r="AQ99" s="3">
        <v>4.0625424881033309E-2</v>
      </c>
      <c r="AR99" s="3">
        <v>9007</v>
      </c>
      <c r="AS99" s="3">
        <v>9380.5</v>
      </c>
    </row>
    <row r="100" spans="2:45" ht="18" customHeight="1" x14ac:dyDescent="0.25">
      <c r="B100" s="275">
        <v>1039</v>
      </c>
      <c r="C100" s="276"/>
      <c r="D100" s="9"/>
      <c r="E100" s="129">
        <v>3486</v>
      </c>
      <c r="F100" s="129">
        <v>3726</v>
      </c>
      <c r="G100" s="9" t="s">
        <v>298</v>
      </c>
      <c r="H100" s="129">
        <v>3516</v>
      </c>
      <c r="I100" s="9">
        <v>3101</v>
      </c>
      <c r="J100" s="130" t="s">
        <v>299</v>
      </c>
      <c r="K100" s="277"/>
      <c r="L100" s="277"/>
      <c r="M100" s="277"/>
      <c r="O100" s="131">
        <f t="shared" si="0"/>
        <v>3486</v>
      </c>
      <c r="P100" s="132">
        <f t="shared" si="1"/>
        <v>3726</v>
      </c>
      <c r="Q100" s="132">
        <f t="shared" si="2"/>
        <v>3606</v>
      </c>
      <c r="R100" s="132">
        <f t="shared" si="3"/>
        <v>3516</v>
      </c>
      <c r="S100" s="132">
        <f t="shared" si="4"/>
        <v>3101</v>
      </c>
      <c r="T100" s="132">
        <f t="shared" si="5"/>
        <v>3308.5</v>
      </c>
      <c r="AP100" s="3">
        <v>4385.25</v>
      </c>
      <c r="AQ100" s="3">
        <v>-2.4057921441194913E-2</v>
      </c>
      <c r="AR100" s="3">
        <v>4438</v>
      </c>
      <c r="AS100" s="3">
        <v>4332.5</v>
      </c>
    </row>
    <row r="101" spans="2:45" ht="18" customHeight="1" x14ac:dyDescent="0.25">
      <c r="B101" s="281"/>
      <c r="C101" s="281"/>
      <c r="D101" s="9"/>
      <c r="E101" s="129"/>
      <c r="F101" s="129"/>
      <c r="G101" s="9"/>
      <c r="H101" s="129"/>
      <c r="I101" s="9"/>
      <c r="J101" s="130" t="str">
        <f>IF(ISERROR(VLOOKUP(#REF!,#REF!,2,FALSE)),"EXCLUDE",VLOOKUP(#REF!,#REF!,2,FALSE))</f>
        <v>EXCLUDE</v>
      </c>
      <c r="K101" s="277"/>
      <c r="L101" s="277"/>
      <c r="M101" s="277"/>
      <c r="O101" s="131" t="str">
        <f t="shared" si="0"/>
        <v/>
      </c>
      <c r="P101" s="132" t="str">
        <f t="shared" si="1"/>
        <v/>
      </c>
      <c r="Q101" s="132" t="str">
        <f t="shared" si="2"/>
        <v/>
      </c>
      <c r="R101" s="132" t="str">
        <f t="shared" si="3"/>
        <v/>
      </c>
      <c r="S101" s="132" t="str">
        <f t="shared" si="4"/>
        <v/>
      </c>
      <c r="T101" s="132" t="str">
        <f t="shared" si="5"/>
        <v/>
      </c>
      <c r="AP101" s="3">
        <v>3457.25</v>
      </c>
      <c r="AQ101" s="3">
        <v>-8.6051052136813938E-2</v>
      </c>
      <c r="AR101" s="3">
        <v>3606</v>
      </c>
      <c r="AS101" s="3">
        <v>3308.5</v>
      </c>
    </row>
    <row r="102" spans="2:45" ht="18" customHeight="1" x14ac:dyDescent="0.25">
      <c r="B102" s="281"/>
      <c r="C102" s="281"/>
      <c r="D102" s="9"/>
      <c r="E102" s="129"/>
      <c r="F102" s="129"/>
      <c r="G102" s="9"/>
      <c r="H102" s="129"/>
      <c r="I102" s="9"/>
      <c r="J102" s="130" t="str">
        <f>IF(ISERROR(VLOOKUP(#REF!,#REF!,2,FALSE)),"EXCLUDE",VLOOKUP(#REF!,#REF!,2,FALSE))</f>
        <v>EXCLUDE</v>
      </c>
      <c r="K102" s="277"/>
      <c r="L102" s="277"/>
      <c r="M102" s="277"/>
      <c r="O102" s="131" t="str">
        <f t="shared" si="0"/>
        <v/>
      </c>
      <c r="P102" s="132" t="str">
        <f t="shared" si="1"/>
        <v/>
      </c>
      <c r="Q102" s="132" t="str">
        <f t="shared" si="2"/>
        <v/>
      </c>
      <c r="R102" s="132" t="str">
        <f t="shared" si="3"/>
        <v/>
      </c>
      <c r="S102" s="132" t="str">
        <f t="shared" si="4"/>
        <v/>
      </c>
      <c r="T102" s="132" t="str">
        <f t="shared" si="5"/>
        <v/>
      </c>
    </row>
    <row r="103" spans="2:45" ht="18" customHeight="1" x14ac:dyDescent="0.25">
      <c r="B103" s="281"/>
      <c r="C103" s="281"/>
      <c r="D103" s="9"/>
      <c r="E103" s="129"/>
      <c r="F103" s="129"/>
      <c r="G103" s="9"/>
      <c r="H103" s="129"/>
      <c r="I103" s="9"/>
      <c r="J103" s="130" t="str">
        <f>IF(ISERROR(VLOOKUP(#REF!,#REF!,2,FALSE)),"EXCLUDE",VLOOKUP(#REF!,#REF!,2,FALSE))</f>
        <v>EXCLUDE</v>
      </c>
      <c r="K103" s="277"/>
      <c r="L103" s="277"/>
      <c r="M103" s="277"/>
      <c r="O103" s="131" t="str">
        <f t="shared" si="0"/>
        <v/>
      </c>
      <c r="P103" s="132" t="str">
        <f t="shared" si="1"/>
        <v/>
      </c>
      <c r="Q103" s="132" t="str">
        <f t="shared" si="2"/>
        <v/>
      </c>
      <c r="R103" s="132" t="str">
        <f t="shared" si="3"/>
        <v/>
      </c>
      <c r="S103" s="132" t="str">
        <f t="shared" si="4"/>
        <v/>
      </c>
      <c r="T103" s="132" t="str">
        <f t="shared" si="5"/>
        <v/>
      </c>
    </row>
    <row r="104" spans="2:45" ht="18" customHeight="1" x14ac:dyDescent="0.25">
      <c r="B104" s="281"/>
      <c r="C104" s="281"/>
      <c r="D104" s="9"/>
      <c r="E104" s="129"/>
      <c r="F104" s="129"/>
      <c r="G104" s="9"/>
      <c r="H104" s="129"/>
      <c r="I104" s="9"/>
      <c r="J104" s="130" t="str">
        <f>IF(ISERROR(VLOOKUP(#REF!,#REF!,2,FALSE)),"EXCLUDE",VLOOKUP(#REF!,#REF!,2,FALSE))</f>
        <v>EXCLUDE</v>
      </c>
      <c r="K104" s="277"/>
      <c r="L104" s="277"/>
      <c r="M104" s="277"/>
      <c r="O104" s="131" t="str">
        <f t="shared" si="0"/>
        <v/>
      </c>
      <c r="P104" s="132" t="str">
        <f t="shared" si="1"/>
        <v/>
      </c>
      <c r="Q104" s="132" t="str">
        <f t="shared" si="2"/>
        <v/>
      </c>
      <c r="R104" s="132" t="str">
        <f t="shared" si="3"/>
        <v/>
      </c>
      <c r="S104" s="132" t="str">
        <f t="shared" si="4"/>
        <v/>
      </c>
      <c r="T104" s="132" t="str">
        <f t="shared" si="5"/>
        <v/>
      </c>
    </row>
    <row r="105" spans="2:45" ht="18" customHeight="1" x14ac:dyDescent="0.25">
      <c r="B105" s="281"/>
      <c r="C105" s="281"/>
      <c r="D105" s="9"/>
      <c r="E105" s="129"/>
      <c r="F105" s="129"/>
      <c r="G105" s="9"/>
      <c r="H105" s="129"/>
      <c r="I105" s="9"/>
      <c r="J105" s="130" t="str">
        <f>IF(ISERROR(VLOOKUP(#REF!,#REF!,2,FALSE)),"EXCLUDE",VLOOKUP(#REF!,#REF!,2,FALSE))</f>
        <v>EXCLUDE</v>
      </c>
      <c r="K105" s="277"/>
      <c r="L105" s="277"/>
      <c r="M105" s="277"/>
      <c r="O105" s="131" t="str">
        <f t="shared" si="0"/>
        <v/>
      </c>
      <c r="P105" s="132" t="str">
        <f t="shared" si="1"/>
        <v/>
      </c>
      <c r="Q105" s="132" t="str">
        <f t="shared" si="2"/>
        <v/>
      </c>
      <c r="R105" s="132" t="str">
        <f t="shared" si="3"/>
        <v/>
      </c>
      <c r="S105" s="132" t="str">
        <f t="shared" si="4"/>
        <v/>
      </c>
      <c r="T105" s="132" t="str">
        <f t="shared" si="5"/>
        <v/>
      </c>
    </row>
    <row r="106" spans="2:45" ht="18" customHeight="1" x14ac:dyDescent="0.25">
      <c r="B106" s="281"/>
      <c r="C106" s="281"/>
      <c r="D106" s="9"/>
      <c r="E106" s="129"/>
      <c r="F106" s="129"/>
      <c r="G106" s="9"/>
      <c r="H106" s="129"/>
      <c r="I106" s="9"/>
      <c r="J106" s="130" t="str">
        <f>IF(ISERROR(VLOOKUP(#REF!,#REF!,2,FALSE)),"EXCLUDE",VLOOKUP(#REF!,#REF!,2,FALSE))</f>
        <v>EXCLUDE</v>
      </c>
      <c r="K106" s="277"/>
      <c r="L106" s="277"/>
      <c r="M106" s="277"/>
      <c r="O106" s="131" t="str">
        <f t="shared" si="0"/>
        <v/>
      </c>
      <c r="P106" s="132" t="str">
        <f t="shared" si="1"/>
        <v/>
      </c>
      <c r="Q106" s="132" t="str">
        <f t="shared" si="2"/>
        <v/>
      </c>
      <c r="R106" s="132" t="str">
        <f t="shared" si="3"/>
        <v/>
      </c>
      <c r="S106" s="132" t="str">
        <f t="shared" si="4"/>
        <v/>
      </c>
      <c r="T106" s="132" t="str">
        <f t="shared" si="5"/>
        <v/>
      </c>
    </row>
    <row r="107" spans="2:45" ht="18" customHeight="1" x14ac:dyDescent="0.25">
      <c r="B107" s="281"/>
      <c r="C107" s="281"/>
      <c r="D107" s="9"/>
      <c r="E107" s="129"/>
      <c r="F107" s="9"/>
      <c r="G107" s="9"/>
      <c r="H107" s="9"/>
      <c r="I107" s="9"/>
      <c r="J107" s="130" t="str">
        <f>IF(ISERROR(VLOOKUP(#REF!,#REF!,2,FALSE)),"EXCLUDE",VLOOKUP(#REF!,#REF!,2,FALSE))</f>
        <v>EXCLUDE</v>
      </c>
      <c r="K107" s="277"/>
      <c r="L107" s="277"/>
      <c r="M107" s="277"/>
      <c r="O107" s="131" t="str">
        <f t="shared" si="0"/>
        <v/>
      </c>
      <c r="P107" s="132" t="str">
        <f t="shared" si="1"/>
        <v/>
      </c>
      <c r="Q107" s="132" t="str">
        <f t="shared" si="2"/>
        <v/>
      </c>
      <c r="R107" s="132" t="str">
        <f t="shared" si="3"/>
        <v/>
      </c>
      <c r="S107" s="132" t="str">
        <f t="shared" si="4"/>
        <v/>
      </c>
      <c r="T107" s="132" t="str">
        <f t="shared" si="5"/>
        <v/>
      </c>
    </row>
    <row r="108" spans="2:45" ht="18" customHeight="1" x14ac:dyDescent="0.25">
      <c r="B108" s="281"/>
      <c r="C108" s="281"/>
      <c r="D108" s="9"/>
      <c r="E108" s="129"/>
      <c r="F108" s="9"/>
      <c r="G108" s="9"/>
      <c r="H108" s="9"/>
      <c r="I108" s="9"/>
      <c r="J108" s="130" t="str">
        <f>IF(ISERROR(VLOOKUP(#REF!,#REF!,2,FALSE)),"EXCLUDE",VLOOKUP(#REF!,#REF!,2,FALSE))</f>
        <v>EXCLUDE</v>
      </c>
      <c r="K108" s="277"/>
      <c r="L108" s="277"/>
      <c r="M108" s="277"/>
      <c r="O108" s="131" t="str">
        <f t="shared" si="0"/>
        <v/>
      </c>
      <c r="P108" s="132" t="str">
        <f t="shared" si="1"/>
        <v/>
      </c>
      <c r="Q108" s="132" t="str">
        <f t="shared" si="2"/>
        <v/>
      </c>
      <c r="R108" s="132" t="str">
        <f t="shared" si="3"/>
        <v/>
      </c>
      <c r="S108" s="132" t="str">
        <f t="shared" si="4"/>
        <v/>
      </c>
      <c r="T108" s="132" t="str">
        <f t="shared" si="5"/>
        <v/>
      </c>
    </row>
    <row r="109" spans="2:45" ht="18" customHeight="1" x14ac:dyDescent="0.25">
      <c r="B109" s="281"/>
      <c r="C109" s="281"/>
      <c r="D109" s="9"/>
      <c r="E109" s="129"/>
      <c r="F109" s="129"/>
      <c r="G109" s="9"/>
      <c r="H109" s="129"/>
      <c r="I109" s="9"/>
      <c r="J109" s="130" t="str">
        <f>IF(ISERROR(VLOOKUP(#REF!,#REF!,2,FALSE)),"EXCLUDE",VLOOKUP(#REF!,#REF!,2,FALSE))</f>
        <v>EXCLUDE</v>
      </c>
      <c r="K109" s="277"/>
      <c r="L109" s="277"/>
      <c r="M109" s="277"/>
      <c r="O109" s="131" t="str">
        <f t="shared" si="0"/>
        <v/>
      </c>
      <c r="P109" s="132" t="str">
        <f t="shared" si="1"/>
        <v/>
      </c>
      <c r="Q109" s="132" t="str">
        <f t="shared" si="2"/>
        <v/>
      </c>
      <c r="R109" s="132" t="str">
        <f t="shared" si="3"/>
        <v/>
      </c>
      <c r="S109" s="132" t="str">
        <f t="shared" si="4"/>
        <v/>
      </c>
      <c r="T109" s="132" t="str">
        <f t="shared" si="5"/>
        <v/>
      </c>
    </row>
    <row r="110" spans="2:45" ht="18" customHeight="1" x14ac:dyDescent="0.25">
      <c r="B110" s="281"/>
      <c r="C110" s="281"/>
      <c r="D110" s="9"/>
      <c r="E110" s="129"/>
      <c r="F110" s="9"/>
      <c r="G110" s="9"/>
      <c r="H110" s="9"/>
      <c r="I110" s="9"/>
      <c r="J110" s="130" t="str">
        <f>IF(ISERROR(VLOOKUP(#REF!,#REF!,2,FALSE)),"EXCLUDE",VLOOKUP(#REF!,#REF!,2,FALSE))</f>
        <v>EXCLUDE</v>
      </c>
      <c r="K110" s="277"/>
      <c r="L110" s="277"/>
      <c r="M110" s="277"/>
      <c r="O110" s="131" t="str">
        <f t="shared" si="0"/>
        <v/>
      </c>
      <c r="P110" s="132" t="str">
        <f t="shared" si="1"/>
        <v/>
      </c>
      <c r="Q110" s="132" t="str">
        <f t="shared" si="2"/>
        <v/>
      </c>
      <c r="R110" s="132" t="str">
        <f t="shared" si="3"/>
        <v/>
      </c>
      <c r="S110" s="132" t="str">
        <f t="shared" si="4"/>
        <v/>
      </c>
      <c r="T110" s="132" t="str">
        <f t="shared" si="5"/>
        <v/>
      </c>
    </row>
    <row r="111" spans="2:45" ht="18" customHeight="1" x14ac:dyDescent="0.25">
      <c r="B111" s="281"/>
      <c r="C111" s="281"/>
      <c r="D111" s="9"/>
      <c r="E111" s="129"/>
      <c r="F111" s="9"/>
      <c r="G111" s="9"/>
      <c r="H111" s="9"/>
      <c r="I111" s="9"/>
      <c r="J111" s="130" t="str">
        <f>IF(ISERROR(VLOOKUP(#REF!,#REF!,2,FALSE)),"EXCLUDE",VLOOKUP(#REF!,#REF!,2,FALSE))</f>
        <v>EXCLUDE</v>
      </c>
      <c r="K111" s="277"/>
      <c r="L111" s="277"/>
      <c r="M111" s="277"/>
      <c r="O111" s="131" t="str">
        <f t="shared" si="0"/>
        <v/>
      </c>
      <c r="P111" s="132" t="str">
        <f t="shared" si="1"/>
        <v/>
      </c>
      <c r="Q111" s="132" t="str">
        <f t="shared" si="2"/>
        <v/>
      </c>
      <c r="R111" s="132" t="str">
        <f t="shared" si="3"/>
        <v/>
      </c>
      <c r="S111" s="132" t="str">
        <f t="shared" si="4"/>
        <v/>
      </c>
      <c r="T111" s="132" t="str">
        <f t="shared" si="5"/>
        <v/>
      </c>
    </row>
    <row r="112" spans="2:45" ht="18" customHeight="1" x14ac:dyDescent="0.25">
      <c r="B112" s="281"/>
      <c r="C112" s="281"/>
      <c r="D112" s="9"/>
      <c r="E112" s="129"/>
      <c r="F112" s="129"/>
      <c r="G112" s="9"/>
      <c r="H112" s="129"/>
      <c r="I112" s="9"/>
      <c r="J112" s="130" t="str">
        <f>IF(ISERROR(VLOOKUP(#REF!,#REF!,2,FALSE)),"EXCLUDE",VLOOKUP(#REF!,#REF!,2,FALSE))</f>
        <v>EXCLUDE</v>
      </c>
      <c r="K112" s="277"/>
      <c r="L112" s="277"/>
      <c r="M112" s="277"/>
      <c r="O112" s="131" t="str">
        <f t="shared" si="0"/>
        <v/>
      </c>
      <c r="P112" s="132" t="str">
        <f t="shared" si="1"/>
        <v/>
      </c>
      <c r="Q112" s="132" t="str">
        <f t="shared" si="2"/>
        <v/>
      </c>
      <c r="R112" s="132" t="str">
        <f t="shared" si="3"/>
        <v/>
      </c>
      <c r="S112" s="132" t="str">
        <f t="shared" si="4"/>
        <v/>
      </c>
      <c r="T112" s="132" t="str">
        <f t="shared" si="5"/>
        <v/>
      </c>
    </row>
    <row r="113" spans="2:20" ht="18" customHeight="1" x14ac:dyDescent="0.25">
      <c r="B113" s="281"/>
      <c r="C113" s="281"/>
      <c r="D113" s="9"/>
      <c r="E113" s="129"/>
      <c r="F113" s="129"/>
      <c r="G113" s="9"/>
      <c r="H113" s="129"/>
      <c r="I113" s="9"/>
      <c r="J113" s="130" t="str">
        <f>IF(ISERROR(VLOOKUP(#REF!,#REF!,2,FALSE)),"EXCLUDE",VLOOKUP(#REF!,#REF!,2,FALSE))</f>
        <v>EXCLUDE</v>
      </c>
      <c r="K113" s="277"/>
      <c r="L113" s="277"/>
      <c r="M113" s="277"/>
      <c r="O113" s="131" t="str">
        <f t="shared" si="0"/>
        <v/>
      </c>
      <c r="P113" s="132" t="str">
        <f t="shared" si="1"/>
        <v/>
      </c>
      <c r="Q113" s="132" t="str">
        <f t="shared" si="2"/>
        <v/>
      </c>
      <c r="R113" s="132" t="str">
        <f t="shared" si="3"/>
        <v/>
      </c>
      <c r="S113" s="132" t="str">
        <f t="shared" si="4"/>
        <v/>
      </c>
      <c r="T113" s="132" t="str">
        <f t="shared" si="5"/>
        <v/>
      </c>
    </row>
    <row r="114" spans="2:20" ht="18" customHeight="1" x14ac:dyDescent="0.25">
      <c r="B114" s="281"/>
      <c r="C114" s="281"/>
      <c r="D114" s="9"/>
      <c r="E114" s="129"/>
      <c r="F114" s="9"/>
      <c r="G114" s="9"/>
      <c r="H114" s="9"/>
      <c r="I114" s="9"/>
      <c r="J114" s="130" t="str">
        <f>IF(ISERROR(VLOOKUP(#REF!,#REF!,2,FALSE)),"EXCLUDE",VLOOKUP(#REF!,#REF!,2,FALSE))</f>
        <v>EXCLUDE</v>
      </c>
      <c r="K114" s="277"/>
      <c r="L114" s="277"/>
      <c r="M114" s="277"/>
      <c r="O114" s="131" t="str">
        <f t="shared" si="0"/>
        <v/>
      </c>
      <c r="P114" s="132" t="str">
        <f t="shared" si="1"/>
        <v/>
      </c>
      <c r="Q114" s="132" t="str">
        <f t="shared" si="2"/>
        <v/>
      </c>
      <c r="R114" s="132" t="str">
        <f t="shared" si="3"/>
        <v/>
      </c>
      <c r="S114" s="132" t="str">
        <f t="shared" si="4"/>
        <v/>
      </c>
      <c r="T114" s="132" t="str">
        <f t="shared" si="5"/>
        <v/>
      </c>
    </row>
    <row r="115" spans="2:20" ht="18" customHeight="1" x14ac:dyDescent="0.25">
      <c r="B115" s="281"/>
      <c r="C115" s="281"/>
      <c r="D115" s="9"/>
      <c r="E115" s="129"/>
      <c r="F115" s="129"/>
      <c r="G115" s="9"/>
      <c r="H115" s="129"/>
      <c r="I115" s="9"/>
      <c r="J115" s="130" t="str">
        <f>IF(ISERROR(VLOOKUP(#REF!,#REF!,2,FALSE)),"EXCLUDE",VLOOKUP(#REF!,#REF!,2,FALSE))</f>
        <v>EXCLUDE</v>
      </c>
      <c r="K115" s="277"/>
      <c r="L115" s="277"/>
      <c r="M115" s="277"/>
      <c r="O115" s="131" t="str">
        <f t="shared" si="0"/>
        <v/>
      </c>
      <c r="P115" s="132" t="str">
        <f t="shared" si="1"/>
        <v/>
      </c>
      <c r="Q115" s="132" t="str">
        <f t="shared" si="2"/>
        <v/>
      </c>
      <c r="R115" s="132" t="str">
        <f t="shared" si="3"/>
        <v/>
      </c>
      <c r="S115" s="132" t="str">
        <f t="shared" si="4"/>
        <v/>
      </c>
      <c r="T115" s="132" t="str">
        <f t="shared" si="5"/>
        <v/>
      </c>
    </row>
    <row r="116" spans="2:20" ht="18" customHeight="1" x14ac:dyDescent="0.25">
      <c r="B116" s="281"/>
      <c r="C116" s="281"/>
      <c r="D116" s="9"/>
      <c r="E116" s="129"/>
      <c r="F116" s="9"/>
      <c r="G116" s="9"/>
      <c r="H116" s="9"/>
      <c r="I116" s="9"/>
      <c r="J116" s="130" t="str">
        <f>IF(ISERROR(VLOOKUP(#REF!,#REF!,2,FALSE)),"EXCLUDE",VLOOKUP(#REF!,#REF!,2,FALSE))</f>
        <v>EXCLUDE</v>
      </c>
      <c r="K116" s="277"/>
      <c r="L116" s="277"/>
      <c r="M116" s="277"/>
      <c r="O116" s="131" t="str">
        <f t="shared" si="0"/>
        <v/>
      </c>
      <c r="P116" s="132" t="str">
        <f t="shared" si="1"/>
        <v/>
      </c>
      <c r="Q116" s="132" t="str">
        <f t="shared" si="2"/>
        <v/>
      </c>
      <c r="R116" s="132" t="str">
        <f t="shared" si="3"/>
        <v/>
      </c>
      <c r="S116" s="132" t="str">
        <f t="shared" si="4"/>
        <v/>
      </c>
      <c r="T116" s="132" t="str">
        <f t="shared" si="5"/>
        <v/>
      </c>
    </row>
    <row r="117" spans="2:20" ht="18" customHeight="1" x14ac:dyDescent="0.25">
      <c r="B117" s="281"/>
      <c r="C117" s="281"/>
      <c r="D117" s="9"/>
      <c r="E117" s="129"/>
      <c r="F117" s="9"/>
      <c r="G117" s="9"/>
      <c r="H117" s="9"/>
      <c r="I117" s="9"/>
      <c r="J117" s="130" t="str">
        <f>IF(ISERROR(VLOOKUP(#REF!,#REF!,2,FALSE)),"EXCLUDE",VLOOKUP(#REF!,#REF!,2,FALSE))</f>
        <v>EXCLUDE</v>
      </c>
      <c r="K117" s="277"/>
      <c r="L117" s="277"/>
      <c r="M117" s="277"/>
      <c r="O117" s="131" t="str">
        <f t="shared" si="0"/>
        <v/>
      </c>
      <c r="P117" s="132" t="str">
        <f t="shared" si="1"/>
        <v/>
      </c>
      <c r="Q117" s="132" t="str">
        <f t="shared" si="2"/>
        <v/>
      </c>
      <c r="R117" s="132" t="str">
        <f t="shared" si="3"/>
        <v/>
      </c>
      <c r="S117" s="132" t="str">
        <f t="shared" si="4"/>
        <v/>
      </c>
      <c r="T117" s="132" t="str">
        <f t="shared" si="5"/>
        <v/>
      </c>
    </row>
    <row r="118" spans="2:20" ht="18" customHeight="1" x14ac:dyDescent="0.25">
      <c r="B118" s="281"/>
      <c r="C118" s="281"/>
      <c r="D118" s="9"/>
      <c r="E118" s="129"/>
      <c r="F118" s="129"/>
      <c r="G118" s="9"/>
      <c r="H118" s="129"/>
      <c r="I118" s="9"/>
      <c r="J118" s="130" t="str">
        <f>IF(ISERROR(VLOOKUP(#REF!,#REF!,2,FALSE)),"EXCLUDE",VLOOKUP(#REF!,#REF!,2,FALSE))</f>
        <v>EXCLUDE</v>
      </c>
      <c r="K118" s="277"/>
      <c r="L118" s="277"/>
      <c r="M118" s="277"/>
      <c r="O118" s="131" t="str">
        <f t="shared" si="0"/>
        <v/>
      </c>
      <c r="P118" s="132" t="str">
        <f t="shared" si="1"/>
        <v/>
      </c>
      <c r="Q118" s="132" t="str">
        <f t="shared" si="2"/>
        <v/>
      </c>
      <c r="R118" s="132" t="str">
        <f t="shared" si="3"/>
        <v/>
      </c>
      <c r="S118" s="132" t="str">
        <f t="shared" si="4"/>
        <v/>
      </c>
      <c r="T118" s="132" t="str">
        <f t="shared" si="5"/>
        <v/>
      </c>
    </row>
    <row r="119" spans="2:20" ht="18" customHeight="1" x14ac:dyDescent="0.25">
      <c r="B119" s="281"/>
      <c r="C119" s="281"/>
      <c r="D119" s="9"/>
      <c r="E119" s="129"/>
      <c r="F119" s="9"/>
      <c r="G119" s="9"/>
      <c r="H119" s="9"/>
      <c r="I119" s="9"/>
      <c r="J119" s="130" t="str">
        <f>IF(ISERROR(VLOOKUP(#REF!,#REF!,2,FALSE)),"EXCLUDE",VLOOKUP(#REF!,#REF!,2,FALSE))</f>
        <v>EXCLUDE</v>
      </c>
      <c r="K119" s="277"/>
      <c r="L119" s="277"/>
      <c r="M119" s="277"/>
      <c r="O119" s="131" t="str">
        <f t="shared" si="0"/>
        <v/>
      </c>
      <c r="P119" s="132" t="str">
        <f t="shared" si="1"/>
        <v/>
      </c>
      <c r="Q119" s="132" t="str">
        <f t="shared" si="2"/>
        <v/>
      </c>
      <c r="R119" s="132" t="str">
        <f t="shared" si="3"/>
        <v/>
      </c>
      <c r="S119" s="132" t="str">
        <f t="shared" si="4"/>
        <v/>
      </c>
      <c r="T119" s="132" t="str">
        <f t="shared" si="5"/>
        <v/>
      </c>
    </row>
    <row r="120" spans="2:20" ht="18" customHeight="1" x14ac:dyDescent="0.25">
      <c r="B120" s="281"/>
      <c r="C120" s="281"/>
      <c r="D120" s="9"/>
      <c r="E120" s="129"/>
      <c r="F120" s="9"/>
      <c r="G120" s="9"/>
      <c r="H120" s="9"/>
      <c r="I120" s="9"/>
      <c r="J120" s="130" t="str">
        <f>IF(ISERROR(VLOOKUP(#REF!,#REF!,2,FALSE)),"EXCLUDE",VLOOKUP(#REF!,#REF!,2,FALSE))</f>
        <v>EXCLUDE</v>
      </c>
      <c r="K120" s="277"/>
      <c r="L120" s="277"/>
      <c r="M120" s="277"/>
      <c r="O120" s="131" t="str">
        <f t="shared" si="0"/>
        <v/>
      </c>
      <c r="P120" s="132" t="str">
        <f t="shared" si="1"/>
        <v/>
      </c>
      <c r="Q120" s="132" t="str">
        <f t="shared" si="2"/>
        <v/>
      </c>
      <c r="R120" s="132" t="str">
        <f t="shared" si="3"/>
        <v/>
      </c>
      <c r="S120" s="132" t="str">
        <f t="shared" si="4"/>
        <v/>
      </c>
      <c r="T120" s="132" t="str">
        <f t="shared" si="5"/>
        <v/>
      </c>
    </row>
    <row r="121" spans="2:20" ht="18" customHeight="1" x14ac:dyDescent="0.25">
      <c r="B121" s="281"/>
      <c r="C121" s="281"/>
      <c r="D121" s="9"/>
      <c r="E121" s="129"/>
      <c r="F121" s="129"/>
      <c r="G121" s="9"/>
      <c r="H121" s="129"/>
      <c r="I121" s="9"/>
      <c r="J121" s="130" t="str">
        <f>IF(ISERROR(VLOOKUP(#REF!,#REF!,2,FALSE)),"EXCLUDE",VLOOKUP(#REF!,#REF!,2,FALSE))</f>
        <v>EXCLUDE</v>
      </c>
      <c r="K121" s="277"/>
      <c r="L121" s="277"/>
      <c r="M121" s="277"/>
      <c r="O121" s="131" t="str">
        <f t="shared" si="0"/>
        <v/>
      </c>
      <c r="P121" s="132" t="str">
        <f t="shared" si="1"/>
        <v/>
      </c>
      <c r="Q121" s="132" t="str">
        <f t="shared" si="2"/>
        <v/>
      </c>
      <c r="R121" s="132" t="str">
        <f t="shared" si="3"/>
        <v/>
      </c>
      <c r="S121" s="132" t="str">
        <f t="shared" si="4"/>
        <v/>
      </c>
      <c r="T121" s="132" t="str">
        <f t="shared" si="5"/>
        <v/>
      </c>
    </row>
    <row r="122" spans="2:20" ht="18" customHeight="1" x14ac:dyDescent="0.25">
      <c r="B122" s="281"/>
      <c r="C122" s="281"/>
      <c r="D122" s="9"/>
      <c r="E122" s="129"/>
      <c r="F122" s="129"/>
      <c r="G122" s="9"/>
      <c r="H122" s="129"/>
      <c r="I122" s="9"/>
      <c r="J122" s="130" t="str">
        <f>IF(ISERROR(VLOOKUP(#REF!,#REF!,2,FALSE)),"EXCLUDE",VLOOKUP(#REF!,#REF!,2,FALSE))</f>
        <v>EXCLUDE</v>
      </c>
      <c r="K122" s="277"/>
      <c r="L122" s="277"/>
      <c r="M122" s="277"/>
      <c r="O122" s="131" t="str">
        <f t="shared" si="0"/>
        <v/>
      </c>
      <c r="P122" s="132" t="str">
        <f t="shared" si="1"/>
        <v/>
      </c>
      <c r="Q122" s="132" t="str">
        <f t="shared" si="2"/>
        <v/>
      </c>
      <c r="R122" s="132" t="str">
        <f t="shared" si="3"/>
        <v/>
      </c>
      <c r="S122" s="132" t="str">
        <f t="shared" si="4"/>
        <v/>
      </c>
      <c r="T122" s="132" t="str">
        <f t="shared" si="5"/>
        <v/>
      </c>
    </row>
    <row r="123" spans="2:20" ht="18" customHeight="1" x14ac:dyDescent="0.25">
      <c r="B123" s="281"/>
      <c r="C123" s="281"/>
      <c r="D123" s="9"/>
      <c r="E123" s="129"/>
      <c r="F123" s="129"/>
      <c r="G123" s="9"/>
      <c r="H123" s="129"/>
      <c r="I123" s="9"/>
      <c r="J123" s="130" t="str">
        <f>IF(ISERROR(VLOOKUP(#REF!,#REF!,2,FALSE)),"EXCLUDE",VLOOKUP(#REF!,#REF!,2,FALSE))</f>
        <v>EXCLUDE</v>
      </c>
      <c r="K123" s="277"/>
      <c r="L123" s="277"/>
      <c r="M123" s="277"/>
      <c r="O123" s="131" t="str">
        <f t="shared" si="0"/>
        <v/>
      </c>
      <c r="P123" s="132" t="str">
        <f t="shared" si="1"/>
        <v/>
      </c>
      <c r="Q123" s="132" t="str">
        <f t="shared" si="2"/>
        <v/>
      </c>
      <c r="R123" s="132" t="str">
        <f t="shared" si="3"/>
        <v/>
      </c>
      <c r="S123" s="132" t="str">
        <f t="shared" si="4"/>
        <v/>
      </c>
      <c r="T123" s="132" t="str">
        <f t="shared" si="5"/>
        <v/>
      </c>
    </row>
    <row r="124" spans="2:20" ht="18" customHeight="1" x14ac:dyDescent="0.25">
      <c r="B124" s="281"/>
      <c r="C124" s="281"/>
      <c r="D124" s="9"/>
      <c r="E124" s="129"/>
      <c r="F124" s="129"/>
      <c r="G124" s="9"/>
      <c r="H124" s="129"/>
      <c r="I124" s="9"/>
      <c r="J124" s="130" t="str">
        <f>IF(ISERROR(VLOOKUP(#REF!,#REF!,2,FALSE)),"EXCLUDE",VLOOKUP(#REF!,#REF!,2,FALSE))</f>
        <v>EXCLUDE</v>
      </c>
      <c r="K124" s="277"/>
      <c r="L124" s="277"/>
      <c r="M124" s="277"/>
      <c r="O124" s="131" t="str">
        <f t="shared" si="0"/>
        <v/>
      </c>
      <c r="P124" s="132" t="str">
        <f t="shared" si="1"/>
        <v/>
      </c>
      <c r="Q124" s="132" t="str">
        <f t="shared" si="2"/>
        <v/>
      </c>
      <c r="R124" s="132" t="str">
        <f t="shared" si="3"/>
        <v/>
      </c>
      <c r="S124" s="132" t="str">
        <f t="shared" si="4"/>
        <v/>
      </c>
      <c r="T124" s="132" t="str">
        <f t="shared" si="5"/>
        <v/>
      </c>
    </row>
    <row r="125" spans="2:20" ht="18" customHeight="1" x14ac:dyDescent="0.25">
      <c r="B125" s="281"/>
      <c r="C125" s="281"/>
      <c r="D125" s="9"/>
      <c r="E125" s="129"/>
      <c r="F125" s="129"/>
      <c r="G125" s="9"/>
      <c r="H125" s="129"/>
      <c r="I125" s="9"/>
      <c r="J125" s="130" t="str">
        <f>IF(ISERROR(VLOOKUP(#REF!,#REF!,2,FALSE)),"EXCLUDE",VLOOKUP(#REF!,#REF!,2,FALSE))</f>
        <v>EXCLUDE</v>
      </c>
      <c r="K125" s="277"/>
      <c r="L125" s="277"/>
      <c r="M125" s="277"/>
      <c r="O125" s="131" t="str">
        <f t="shared" ref="O125:O160" si="6">IF($J125="INCLUDE",E125,"")</f>
        <v/>
      </c>
      <c r="P125" s="132" t="str">
        <f t="shared" ref="P125:P160" si="7">IF(AND($J125="INCLUDE",ISNUMBER(F125)),F125,"")</f>
        <v/>
      </c>
      <c r="Q125" s="132" t="str">
        <f t="shared" ref="Q125:Q160" si="8">IF($J125="INCLUDE",AVERAGE(O125:P125),"")</f>
        <v/>
      </c>
      <c r="R125" s="132" t="str">
        <f t="shared" ref="R125:R160" si="9">IF($J125="INCLUDE",H125,"")</f>
        <v/>
      </c>
      <c r="S125" s="132" t="str">
        <f t="shared" ref="S125:S160" si="10">IF(AND($J125="INCLUDE",ISNUMBER(I125)),I125,"")</f>
        <v/>
      </c>
      <c r="T125" s="132" t="str">
        <f t="shared" ref="T125:T160" si="11">IF($J125="INCLUDE",AVERAGE(R125:S125),"")</f>
        <v/>
      </c>
    </row>
    <row r="126" spans="2:20" ht="18" customHeight="1" x14ac:dyDescent="0.25">
      <c r="B126" s="281"/>
      <c r="C126" s="281"/>
      <c r="D126" s="9"/>
      <c r="E126" s="129"/>
      <c r="F126" s="9"/>
      <c r="G126" s="9"/>
      <c r="H126" s="9"/>
      <c r="I126" s="9"/>
      <c r="J126" s="130" t="str">
        <f>IF(ISERROR(VLOOKUP(#REF!,#REF!,2,FALSE)),"EXCLUDE",VLOOKUP(#REF!,#REF!,2,FALSE))</f>
        <v>EXCLUDE</v>
      </c>
      <c r="K126" s="277"/>
      <c r="L126" s="277"/>
      <c r="M126" s="277"/>
      <c r="O126" s="131" t="str">
        <f t="shared" si="6"/>
        <v/>
      </c>
      <c r="P126" s="132" t="str">
        <f t="shared" si="7"/>
        <v/>
      </c>
      <c r="Q126" s="132" t="str">
        <f t="shared" si="8"/>
        <v/>
      </c>
      <c r="R126" s="132" t="str">
        <f t="shared" si="9"/>
        <v/>
      </c>
      <c r="S126" s="132" t="str">
        <f t="shared" si="10"/>
        <v/>
      </c>
      <c r="T126" s="132" t="str">
        <f t="shared" si="11"/>
        <v/>
      </c>
    </row>
    <row r="127" spans="2:20" ht="18" customHeight="1" x14ac:dyDescent="0.25">
      <c r="B127" s="281"/>
      <c r="C127" s="281"/>
      <c r="D127" s="9"/>
      <c r="E127" s="129"/>
      <c r="F127" s="9"/>
      <c r="G127" s="9"/>
      <c r="H127" s="9"/>
      <c r="I127" s="9"/>
      <c r="J127" s="130" t="str">
        <f>IF(ISERROR(VLOOKUP(#REF!,#REF!,2,FALSE)),"EXCLUDE",VLOOKUP(#REF!,#REF!,2,FALSE))</f>
        <v>EXCLUDE</v>
      </c>
      <c r="K127" s="277"/>
      <c r="L127" s="277"/>
      <c r="M127" s="277"/>
      <c r="O127" s="131" t="str">
        <f t="shared" si="6"/>
        <v/>
      </c>
      <c r="P127" s="132" t="str">
        <f t="shared" si="7"/>
        <v/>
      </c>
      <c r="Q127" s="132" t="str">
        <f t="shared" si="8"/>
        <v/>
      </c>
      <c r="R127" s="132" t="str">
        <f t="shared" si="9"/>
        <v/>
      </c>
      <c r="S127" s="132" t="str">
        <f t="shared" si="10"/>
        <v/>
      </c>
      <c r="T127" s="132" t="str">
        <f t="shared" si="11"/>
        <v/>
      </c>
    </row>
    <row r="128" spans="2:20" ht="18" customHeight="1" x14ac:dyDescent="0.25">
      <c r="B128" s="281"/>
      <c r="C128" s="281"/>
      <c r="D128" s="9"/>
      <c r="E128" s="129"/>
      <c r="F128" s="129"/>
      <c r="G128" s="9"/>
      <c r="H128" s="129"/>
      <c r="I128" s="9"/>
      <c r="J128" s="130" t="str">
        <f>IF(ISERROR(VLOOKUP(#REF!,#REF!,2,FALSE)),"EXCLUDE",VLOOKUP(#REF!,#REF!,2,FALSE))</f>
        <v>EXCLUDE</v>
      </c>
      <c r="K128" s="277"/>
      <c r="L128" s="277"/>
      <c r="M128" s="277"/>
      <c r="O128" s="131" t="str">
        <f t="shared" si="6"/>
        <v/>
      </c>
      <c r="P128" s="132" t="str">
        <f t="shared" si="7"/>
        <v/>
      </c>
      <c r="Q128" s="132" t="str">
        <f t="shared" si="8"/>
        <v/>
      </c>
      <c r="R128" s="132" t="str">
        <f t="shared" si="9"/>
        <v/>
      </c>
      <c r="S128" s="132" t="str">
        <f t="shared" si="10"/>
        <v/>
      </c>
      <c r="T128" s="132" t="str">
        <f t="shared" si="11"/>
        <v/>
      </c>
    </row>
    <row r="129" spans="2:20" ht="18" customHeight="1" x14ac:dyDescent="0.25">
      <c r="B129" s="281"/>
      <c r="C129" s="281"/>
      <c r="D129" s="9"/>
      <c r="E129" s="129"/>
      <c r="F129" s="129"/>
      <c r="G129" s="9"/>
      <c r="H129" s="129"/>
      <c r="I129" s="9"/>
      <c r="J129" s="130" t="str">
        <f>IF(ISERROR(VLOOKUP(#REF!,#REF!,2,FALSE)),"EXCLUDE",VLOOKUP(#REF!,#REF!,2,FALSE))</f>
        <v>EXCLUDE</v>
      </c>
      <c r="K129" s="277"/>
      <c r="L129" s="277"/>
      <c r="M129" s="277"/>
      <c r="O129" s="131" t="str">
        <f t="shared" si="6"/>
        <v/>
      </c>
      <c r="P129" s="132" t="str">
        <f t="shared" si="7"/>
        <v/>
      </c>
      <c r="Q129" s="132" t="str">
        <f t="shared" si="8"/>
        <v/>
      </c>
      <c r="R129" s="132" t="str">
        <f t="shared" si="9"/>
        <v/>
      </c>
      <c r="S129" s="132" t="str">
        <f t="shared" si="10"/>
        <v/>
      </c>
      <c r="T129" s="132" t="str">
        <f t="shared" si="11"/>
        <v/>
      </c>
    </row>
    <row r="130" spans="2:20" ht="18" customHeight="1" x14ac:dyDescent="0.25">
      <c r="B130" s="281"/>
      <c r="C130" s="281"/>
      <c r="D130" s="9"/>
      <c r="E130" s="129"/>
      <c r="F130" s="129"/>
      <c r="G130" s="9"/>
      <c r="H130" s="129"/>
      <c r="I130" s="9"/>
      <c r="J130" s="130" t="str">
        <f>IF(ISERROR(VLOOKUP(#REF!,#REF!,2,FALSE)),"EXCLUDE",VLOOKUP(#REF!,#REF!,2,FALSE))</f>
        <v>EXCLUDE</v>
      </c>
      <c r="K130" s="277"/>
      <c r="L130" s="277"/>
      <c r="M130" s="277"/>
      <c r="O130" s="131" t="str">
        <f t="shared" si="6"/>
        <v/>
      </c>
      <c r="P130" s="132" t="str">
        <f t="shared" si="7"/>
        <v/>
      </c>
      <c r="Q130" s="132" t="str">
        <f t="shared" si="8"/>
        <v/>
      </c>
      <c r="R130" s="132" t="str">
        <f t="shared" si="9"/>
        <v/>
      </c>
      <c r="S130" s="132" t="str">
        <f t="shared" si="10"/>
        <v/>
      </c>
      <c r="T130" s="132" t="str">
        <f t="shared" si="11"/>
        <v/>
      </c>
    </row>
    <row r="131" spans="2:20" ht="18" customHeight="1" x14ac:dyDescent="0.25">
      <c r="B131" s="281"/>
      <c r="C131" s="281"/>
      <c r="D131" s="9"/>
      <c r="E131" s="129"/>
      <c r="F131" s="129"/>
      <c r="G131" s="9"/>
      <c r="H131" s="129"/>
      <c r="I131" s="9"/>
      <c r="J131" s="130" t="str">
        <f>IF(ISERROR(VLOOKUP(#REF!,#REF!,2,FALSE)),"EXCLUDE",VLOOKUP(#REF!,#REF!,2,FALSE))</f>
        <v>EXCLUDE</v>
      </c>
      <c r="K131" s="277"/>
      <c r="L131" s="277"/>
      <c r="M131" s="277"/>
      <c r="O131" s="131" t="str">
        <f t="shared" si="6"/>
        <v/>
      </c>
      <c r="P131" s="132" t="str">
        <f t="shared" si="7"/>
        <v/>
      </c>
      <c r="Q131" s="132" t="str">
        <f t="shared" si="8"/>
        <v/>
      </c>
      <c r="R131" s="132" t="str">
        <f t="shared" si="9"/>
        <v/>
      </c>
      <c r="S131" s="132" t="str">
        <f t="shared" si="10"/>
        <v/>
      </c>
      <c r="T131" s="132" t="str">
        <f t="shared" si="11"/>
        <v/>
      </c>
    </row>
    <row r="132" spans="2:20" ht="18" customHeight="1" x14ac:dyDescent="0.25">
      <c r="B132" s="281"/>
      <c r="C132" s="281"/>
      <c r="D132" s="9"/>
      <c r="E132" s="129"/>
      <c r="F132" s="129"/>
      <c r="G132" s="9"/>
      <c r="H132" s="129"/>
      <c r="I132" s="9"/>
      <c r="J132" s="130" t="str">
        <f>IF(ISERROR(VLOOKUP(#REF!,#REF!,2,FALSE)),"EXCLUDE",VLOOKUP(#REF!,#REF!,2,FALSE))</f>
        <v>EXCLUDE</v>
      </c>
      <c r="K132" s="277"/>
      <c r="L132" s="277"/>
      <c r="M132" s="277"/>
      <c r="O132" s="131" t="str">
        <f t="shared" si="6"/>
        <v/>
      </c>
      <c r="P132" s="132" t="str">
        <f t="shared" si="7"/>
        <v/>
      </c>
      <c r="Q132" s="132" t="str">
        <f t="shared" si="8"/>
        <v/>
      </c>
      <c r="R132" s="132" t="str">
        <f t="shared" si="9"/>
        <v/>
      </c>
      <c r="S132" s="132" t="str">
        <f t="shared" si="10"/>
        <v/>
      </c>
      <c r="T132" s="132" t="str">
        <f t="shared" si="11"/>
        <v/>
      </c>
    </row>
    <row r="133" spans="2:20" ht="18" customHeight="1" x14ac:dyDescent="0.25">
      <c r="B133" s="281"/>
      <c r="C133" s="281"/>
      <c r="D133" s="9"/>
      <c r="E133" s="129"/>
      <c r="F133" s="129"/>
      <c r="G133" s="9"/>
      <c r="H133" s="129"/>
      <c r="I133" s="9"/>
      <c r="J133" s="130" t="str">
        <f>IF(ISERROR(VLOOKUP(#REF!,#REF!,2,FALSE)),"EXCLUDE",VLOOKUP(#REF!,#REF!,2,FALSE))</f>
        <v>EXCLUDE</v>
      </c>
      <c r="K133" s="277"/>
      <c r="L133" s="277"/>
      <c r="M133" s="277"/>
      <c r="O133" s="131" t="str">
        <f t="shared" si="6"/>
        <v/>
      </c>
      <c r="P133" s="132" t="str">
        <f t="shared" si="7"/>
        <v/>
      </c>
      <c r="Q133" s="132" t="str">
        <f t="shared" si="8"/>
        <v/>
      </c>
      <c r="R133" s="132" t="str">
        <f t="shared" si="9"/>
        <v/>
      </c>
      <c r="S133" s="132" t="str">
        <f t="shared" si="10"/>
        <v/>
      </c>
      <c r="T133" s="132" t="str">
        <f t="shared" si="11"/>
        <v/>
      </c>
    </row>
    <row r="134" spans="2:20" ht="18" customHeight="1" x14ac:dyDescent="0.25">
      <c r="B134" s="281"/>
      <c r="C134" s="281"/>
      <c r="D134" s="9"/>
      <c r="E134" s="129"/>
      <c r="F134" s="129"/>
      <c r="G134" s="9"/>
      <c r="H134" s="129"/>
      <c r="I134" s="9"/>
      <c r="J134" s="130" t="str">
        <f>IF(ISERROR(VLOOKUP(#REF!,#REF!,2,FALSE)),"EXCLUDE",VLOOKUP(#REF!,#REF!,2,FALSE))</f>
        <v>EXCLUDE</v>
      </c>
      <c r="K134" s="277"/>
      <c r="L134" s="277"/>
      <c r="M134" s="277"/>
      <c r="O134" s="131" t="str">
        <f t="shared" si="6"/>
        <v/>
      </c>
      <c r="P134" s="132" t="str">
        <f t="shared" si="7"/>
        <v/>
      </c>
      <c r="Q134" s="132" t="str">
        <f t="shared" si="8"/>
        <v/>
      </c>
      <c r="R134" s="132" t="str">
        <f t="shared" si="9"/>
        <v/>
      </c>
      <c r="S134" s="132" t="str">
        <f t="shared" si="10"/>
        <v/>
      </c>
      <c r="T134" s="132" t="str">
        <f t="shared" si="11"/>
        <v/>
      </c>
    </row>
    <row r="135" spans="2:20" ht="18" customHeight="1" x14ac:dyDescent="0.25">
      <c r="B135" s="281"/>
      <c r="C135" s="281"/>
      <c r="D135" s="9"/>
      <c r="E135" s="129"/>
      <c r="F135" s="129"/>
      <c r="G135" s="9"/>
      <c r="H135" s="129"/>
      <c r="I135" s="9"/>
      <c r="J135" s="130" t="str">
        <f>IF(ISERROR(VLOOKUP(#REF!,#REF!,2,FALSE)),"EXCLUDE",VLOOKUP(#REF!,#REF!,2,FALSE))</f>
        <v>EXCLUDE</v>
      </c>
      <c r="K135" s="277"/>
      <c r="L135" s="277"/>
      <c r="M135" s="277"/>
      <c r="O135" s="131" t="str">
        <f t="shared" si="6"/>
        <v/>
      </c>
      <c r="P135" s="132" t="str">
        <f t="shared" si="7"/>
        <v/>
      </c>
      <c r="Q135" s="132" t="str">
        <f t="shared" si="8"/>
        <v/>
      </c>
      <c r="R135" s="132" t="str">
        <f t="shared" si="9"/>
        <v/>
      </c>
      <c r="S135" s="132" t="str">
        <f t="shared" si="10"/>
        <v/>
      </c>
      <c r="T135" s="132" t="str">
        <f t="shared" si="11"/>
        <v/>
      </c>
    </row>
    <row r="136" spans="2:20" ht="18" customHeight="1" x14ac:dyDescent="0.25">
      <c r="B136" s="281"/>
      <c r="C136" s="281"/>
      <c r="D136" s="9"/>
      <c r="E136" s="129"/>
      <c r="F136" s="129"/>
      <c r="G136" s="9"/>
      <c r="H136" s="129"/>
      <c r="I136" s="9"/>
      <c r="J136" s="130" t="str">
        <f>IF(ISERROR(VLOOKUP(#REF!,#REF!,2,FALSE)),"EXCLUDE",VLOOKUP(#REF!,#REF!,2,FALSE))</f>
        <v>EXCLUDE</v>
      </c>
      <c r="K136" s="277"/>
      <c r="L136" s="277"/>
      <c r="M136" s="277"/>
      <c r="O136" s="131" t="str">
        <f t="shared" si="6"/>
        <v/>
      </c>
      <c r="P136" s="132" t="str">
        <f t="shared" si="7"/>
        <v/>
      </c>
      <c r="Q136" s="132" t="str">
        <f t="shared" si="8"/>
        <v/>
      </c>
      <c r="R136" s="132" t="str">
        <f t="shared" si="9"/>
        <v/>
      </c>
      <c r="S136" s="132" t="str">
        <f t="shared" si="10"/>
        <v/>
      </c>
      <c r="T136" s="132" t="str">
        <f t="shared" si="11"/>
        <v/>
      </c>
    </row>
    <row r="137" spans="2:20" ht="18" customHeight="1" x14ac:dyDescent="0.25">
      <c r="B137" s="281"/>
      <c r="C137" s="281"/>
      <c r="D137" s="9"/>
      <c r="E137" s="129"/>
      <c r="F137" s="129"/>
      <c r="G137" s="9"/>
      <c r="H137" s="129"/>
      <c r="I137" s="9"/>
      <c r="J137" s="130" t="str">
        <f>IF(ISERROR(VLOOKUP(#REF!,#REF!,2,FALSE)),"EXCLUDE",VLOOKUP(#REF!,#REF!,2,FALSE))</f>
        <v>EXCLUDE</v>
      </c>
      <c r="K137" s="277"/>
      <c r="L137" s="277"/>
      <c r="M137" s="277"/>
      <c r="O137" s="131" t="str">
        <f t="shared" si="6"/>
        <v/>
      </c>
      <c r="P137" s="132" t="str">
        <f t="shared" si="7"/>
        <v/>
      </c>
      <c r="Q137" s="132" t="str">
        <f t="shared" si="8"/>
        <v/>
      </c>
      <c r="R137" s="132" t="str">
        <f t="shared" si="9"/>
        <v/>
      </c>
      <c r="S137" s="132" t="str">
        <f t="shared" si="10"/>
        <v/>
      </c>
      <c r="T137" s="132" t="str">
        <f t="shared" si="11"/>
        <v/>
      </c>
    </row>
    <row r="138" spans="2:20" ht="18" customHeight="1" x14ac:dyDescent="0.25">
      <c r="B138" s="281"/>
      <c r="C138" s="281"/>
      <c r="D138" s="9"/>
      <c r="E138" s="129"/>
      <c r="F138" s="129"/>
      <c r="G138" s="9"/>
      <c r="H138" s="129"/>
      <c r="I138" s="9"/>
      <c r="J138" s="130" t="str">
        <f>IF(ISERROR(VLOOKUP(#REF!,#REF!,2,FALSE)),"EXCLUDE",VLOOKUP(#REF!,#REF!,2,FALSE))</f>
        <v>EXCLUDE</v>
      </c>
      <c r="K138" s="277"/>
      <c r="L138" s="277"/>
      <c r="M138" s="277"/>
      <c r="O138" s="131" t="str">
        <f t="shared" si="6"/>
        <v/>
      </c>
      <c r="P138" s="132" t="str">
        <f t="shared" si="7"/>
        <v/>
      </c>
      <c r="Q138" s="132" t="str">
        <f t="shared" si="8"/>
        <v/>
      </c>
      <c r="R138" s="132" t="str">
        <f t="shared" si="9"/>
        <v/>
      </c>
      <c r="S138" s="132" t="str">
        <f t="shared" si="10"/>
        <v/>
      </c>
      <c r="T138" s="132" t="str">
        <f t="shared" si="11"/>
        <v/>
      </c>
    </row>
    <row r="139" spans="2:20" ht="18" customHeight="1" x14ac:dyDescent="0.25">
      <c r="B139" s="281"/>
      <c r="C139" s="281"/>
      <c r="D139" s="9"/>
      <c r="E139" s="129"/>
      <c r="F139" s="129"/>
      <c r="G139" s="9"/>
      <c r="H139" s="129"/>
      <c r="I139" s="9"/>
      <c r="J139" s="130" t="str">
        <f>IF(ISERROR(VLOOKUP(#REF!,#REF!,2,FALSE)),"EXCLUDE",VLOOKUP(#REF!,#REF!,2,FALSE))</f>
        <v>EXCLUDE</v>
      </c>
      <c r="K139" s="277"/>
      <c r="L139" s="277"/>
      <c r="M139" s="277"/>
      <c r="O139" s="131" t="str">
        <f t="shared" si="6"/>
        <v/>
      </c>
      <c r="P139" s="132" t="str">
        <f t="shared" si="7"/>
        <v/>
      </c>
      <c r="Q139" s="132" t="str">
        <f t="shared" si="8"/>
        <v/>
      </c>
      <c r="R139" s="132" t="str">
        <f t="shared" si="9"/>
        <v/>
      </c>
      <c r="S139" s="132" t="str">
        <f t="shared" si="10"/>
        <v/>
      </c>
      <c r="T139" s="132" t="str">
        <f t="shared" si="11"/>
        <v/>
      </c>
    </row>
    <row r="140" spans="2:20" ht="18" customHeight="1" x14ac:dyDescent="0.25">
      <c r="B140" s="281"/>
      <c r="C140" s="281"/>
      <c r="D140" s="9"/>
      <c r="E140" s="129"/>
      <c r="F140" s="129"/>
      <c r="G140" s="9"/>
      <c r="H140" s="129"/>
      <c r="I140" s="9"/>
      <c r="J140" s="130" t="str">
        <f>IF(ISERROR(VLOOKUP(#REF!,#REF!,2,FALSE)),"EXCLUDE",VLOOKUP(#REF!,#REF!,2,FALSE))</f>
        <v>EXCLUDE</v>
      </c>
      <c r="K140" s="277"/>
      <c r="L140" s="277"/>
      <c r="M140" s="277"/>
      <c r="O140" s="131" t="str">
        <f t="shared" si="6"/>
        <v/>
      </c>
      <c r="P140" s="132" t="str">
        <f t="shared" si="7"/>
        <v/>
      </c>
      <c r="Q140" s="132" t="str">
        <f t="shared" si="8"/>
        <v/>
      </c>
      <c r="R140" s="132" t="str">
        <f t="shared" si="9"/>
        <v/>
      </c>
      <c r="S140" s="132" t="str">
        <f t="shared" si="10"/>
        <v/>
      </c>
      <c r="T140" s="132" t="str">
        <f t="shared" si="11"/>
        <v/>
      </c>
    </row>
    <row r="141" spans="2:20" ht="18" customHeight="1" x14ac:dyDescent="0.25">
      <c r="B141" s="281"/>
      <c r="C141" s="281"/>
      <c r="D141" s="9"/>
      <c r="E141" s="129"/>
      <c r="F141" s="129"/>
      <c r="G141" s="9"/>
      <c r="H141" s="129"/>
      <c r="I141" s="9"/>
      <c r="J141" s="130" t="str">
        <f>IF(ISERROR(VLOOKUP(#REF!,#REF!,2,FALSE)),"EXCLUDE",VLOOKUP(#REF!,#REF!,2,FALSE))</f>
        <v>EXCLUDE</v>
      </c>
      <c r="K141" s="277"/>
      <c r="L141" s="277"/>
      <c r="M141" s="277"/>
      <c r="O141" s="131" t="str">
        <f t="shared" si="6"/>
        <v/>
      </c>
      <c r="P141" s="132" t="str">
        <f t="shared" si="7"/>
        <v/>
      </c>
      <c r="Q141" s="132" t="str">
        <f t="shared" si="8"/>
        <v/>
      </c>
      <c r="R141" s="132" t="str">
        <f t="shared" si="9"/>
        <v/>
      </c>
      <c r="S141" s="132" t="str">
        <f t="shared" si="10"/>
        <v/>
      </c>
      <c r="T141" s="132" t="str">
        <f t="shared" si="11"/>
        <v/>
      </c>
    </row>
    <row r="142" spans="2:20" ht="18" customHeight="1" x14ac:dyDescent="0.25">
      <c r="B142" s="281"/>
      <c r="C142" s="281"/>
      <c r="D142" s="9"/>
      <c r="E142" s="129"/>
      <c r="F142" s="129"/>
      <c r="G142" s="9"/>
      <c r="H142" s="129"/>
      <c r="I142" s="9"/>
      <c r="J142" s="130" t="str">
        <f>IF(ISERROR(VLOOKUP(#REF!,#REF!,2,FALSE)),"EXCLUDE",VLOOKUP(#REF!,#REF!,2,FALSE))</f>
        <v>EXCLUDE</v>
      </c>
      <c r="K142" s="277"/>
      <c r="L142" s="277"/>
      <c r="M142" s="277"/>
      <c r="O142" s="131" t="str">
        <f t="shared" si="6"/>
        <v/>
      </c>
      <c r="P142" s="132" t="str">
        <f t="shared" si="7"/>
        <v/>
      </c>
      <c r="Q142" s="132" t="str">
        <f t="shared" si="8"/>
        <v/>
      </c>
      <c r="R142" s="132" t="str">
        <f t="shared" si="9"/>
        <v/>
      </c>
      <c r="S142" s="132" t="str">
        <f t="shared" si="10"/>
        <v/>
      </c>
      <c r="T142" s="132" t="str">
        <f t="shared" si="11"/>
        <v/>
      </c>
    </row>
    <row r="143" spans="2:20" ht="18" customHeight="1" x14ac:dyDescent="0.25">
      <c r="B143" s="281"/>
      <c r="C143" s="281"/>
      <c r="D143" s="9"/>
      <c r="E143" s="129"/>
      <c r="F143" s="129"/>
      <c r="G143" s="9"/>
      <c r="H143" s="129"/>
      <c r="I143" s="9"/>
      <c r="J143" s="130" t="str">
        <f>IF(ISERROR(VLOOKUP(#REF!,#REF!,2,FALSE)),"EXCLUDE",VLOOKUP(#REF!,#REF!,2,FALSE))</f>
        <v>EXCLUDE</v>
      </c>
      <c r="K143" s="277"/>
      <c r="L143" s="277"/>
      <c r="M143" s="277"/>
      <c r="O143" s="131" t="str">
        <f t="shared" si="6"/>
        <v/>
      </c>
      <c r="P143" s="132" t="str">
        <f t="shared" si="7"/>
        <v/>
      </c>
      <c r="Q143" s="132" t="str">
        <f t="shared" si="8"/>
        <v/>
      </c>
      <c r="R143" s="132" t="str">
        <f t="shared" si="9"/>
        <v/>
      </c>
      <c r="S143" s="132" t="str">
        <f t="shared" si="10"/>
        <v/>
      </c>
      <c r="T143" s="132" t="str">
        <f t="shared" si="11"/>
        <v/>
      </c>
    </row>
    <row r="144" spans="2:20" ht="18" customHeight="1" x14ac:dyDescent="0.25">
      <c r="B144" s="281"/>
      <c r="C144" s="281"/>
      <c r="D144" s="9"/>
      <c r="E144" s="129"/>
      <c r="F144" s="129"/>
      <c r="G144" s="9"/>
      <c r="H144" s="129"/>
      <c r="I144" s="9"/>
      <c r="J144" s="130" t="str">
        <f>IF(ISERROR(VLOOKUP(#REF!,#REF!,2,FALSE)),"EXCLUDE",VLOOKUP(#REF!,#REF!,2,FALSE))</f>
        <v>EXCLUDE</v>
      </c>
      <c r="K144" s="277"/>
      <c r="L144" s="277"/>
      <c r="M144" s="277"/>
      <c r="O144" s="131" t="str">
        <f t="shared" si="6"/>
        <v/>
      </c>
      <c r="P144" s="132" t="str">
        <f t="shared" si="7"/>
        <v/>
      </c>
      <c r="Q144" s="132" t="str">
        <f t="shared" si="8"/>
        <v/>
      </c>
      <c r="R144" s="132" t="str">
        <f t="shared" si="9"/>
        <v/>
      </c>
      <c r="S144" s="132" t="str">
        <f t="shared" si="10"/>
        <v/>
      </c>
      <c r="T144" s="132" t="str">
        <f t="shared" si="11"/>
        <v/>
      </c>
    </row>
    <row r="145" spans="2:20" ht="18" customHeight="1" x14ac:dyDescent="0.25">
      <c r="B145" s="281"/>
      <c r="C145" s="281"/>
      <c r="D145" s="9"/>
      <c r="E145" s="129"/>
      <c r="F145" s="9"/>
      <c r="G145" s="9"/>
      <c r="H145" s="9"/>
      <c r="I145" s="9"/>
      <c r="J145" s="130" t="str">
        <f>IF(ISERROR(VLOOKUP(#REF!,#REF!,2,FALSE)),"EXCLUDE",VLOOKUP(#REF!,#REF!,2,FALSE))</f>
        <v>EXCLUDE</v>
      </c>
      <c r="K145" s="277"/>
      <c r="L145" s="277"/>
      <c r="M145" s="277"/>
      <c r="O145" s="131" t="str">
        <f t="shared" si="6"/>
        <v/>
      </c>
      <c r="P145" s="132" t="str">
        <f t="shared" si="7"/>
        <v/>
      </c>
      <c r="Q145" s="132" t="str">
        <f t="shared" si="8"/>
        <v/>
      </c>
      <c r="R145" s="132" t="str">
        <f t="shared" si="9"/>
        <v/>
      </c>
      <c r="S145" s="132" t="str">
        <f t="shared" si="10"/>
        <v/>
      </c>
      <c r="T145" s="132" t="str">
        <f t="shared" si="11"/>
        <v/>
      </c>
    </row>
    <row r="146" spans="2:20" ht="18" customHeight="1" x14ac:dyDescent="0.25">
      <c r="B146" s="281"/>
      <c r="C146" s="281"/>
      <c r="D146" s="9"/>
      <c r="E146" s="129"/>
      <c r="F146" s="9"/>
      <c r="G146" s="9"/>
      <c r="H146" s="9"/>
      <c r="I146" s="9"/>
      <c r="J146" s="130" t="str">
        <f>IF(ISERROR(VLOOKUP(#REF!,#REF!,2,FALSE)),"EXCLUDE",VLOOKUP(#REF!,#REF!,2,FALSE))</f>
        <v>EXCLUDE</v>
      </c>
      <c r="K146" s="277"/>
      <c r="L146" s="277"/>
      <c r="M146" s="277"/>
      <c r="O146" s="131" t="str">
        <f t="shared" si="6"/>
        <v/>
      </c>
      <c r="P146" s="132" t="str">
        <f t="shared" si="7"/>
        <v/>
      </c>
      <c r="Q146" s="132" t="str">
        <f t="shared" si="8"/>
        <v/>
      </c>
      <c r="R146" s="132" t="str">
        <f t="shared" si="9"/>
        <v/>
      </c>
      <c r="S146" s="132" t="str">
        <f t="shared" si="10"/>
        <v/>
      </c>
      <c r="T146" s="132" t="str">
        <f t="shared" si="11"/>
        <v/>
      </c>
    </row>
    <row r="147" spans="2:20" ht="18" customHeight="1" x14ac:dyDescent="0.25">
      <c r="B147" s="281"/>
      <c r="C147" s="281"/>
      <c r="D147" s="9"/>
      <c r="E147" s="129"/>
      <c r="F147" s="129"/>
      <c r="G147" s="9"/>
      <c r="H147" s="129"/>
      <c r="I147" s="9"/>
      <c r="J147" s="130" t="str">
        <f>IF(ISERROR(VLOOKUP(#REF!,#REF!,2,FALSE)),"EXCLUDE",VLOOKUP(#REF!,#REF!,2,FALSE))</f>
        <v>EXCLUDE</v>
      </c>
      <c r="K147" s="277"/>
      <c r="L147" s="277"/>
      <c r="M147" s="277"/>
      <c r="O147" s="131" t="str">
        <f t="shared" si="6"/>
        <v/>
      </c>
      <c r="P147" s="132" t="str">
        <f t="shared" si="7"/>
        <v/>
      </c>
      <c r="Q147" s="132" t="str">
        <f t="shared" si="8"/>
        <v/>
      </c>
      <c r="R147" s="132" t="str">
        <f t="shared" si="9"/>
        <v/>
      </c>
      <c r="S147" s="132" t="str">
        <f t="shared" si="10"/>
        <v/>
      </c>
      <c r="T147" s="132" t="str">
        <f t="shared" si="11"/>
        <v/>
      </c>
    </row>
    <row r="148" spans="2:20" ht="18" customHeight="1" x14ac:dyDescent="0.25">
      <c r="B148" s="281"/>
      <c r="C148" s="281"/>
      <c r="D148" s="9"/>
      <c r="E148" s="129"/>
      <c r="F148" s="9"/>
      <c r="G148" s="9"/>
      <c r="H148" s="9"/>
      <c r="I148" s="9"/>
      <c r="J148" s="130" t="str">
        <f>IF(ISERROR(VLOOKUP(#REF!,#REF!,2,FALSE)),"EXCLUDE",VLOOKUP(#REF!,#REF!,2,FALSE))</f>
        <v>EXCLUDE</v>
      </c>
      <c r="K148" s="277"/>
      <c r="L148" s="277"/>
      <c r="M148" s="277"/>
      <c r="O148" s="131" t="str">
        <f t="shared" si="6"/>
        <v/>
      </c>
      <c r="P148" s="132" t="str">
        <f t="shared" si="7"/>
        <v/>
      </c>
      <c r="Q148" s="132" t="str">
        <f t="shared" si="8"/>
        <v/>
      </c>
      <c r="R148" s="132" t="str">
        <f t="shared" si="9"/>
        <v/>
      </c>
      <c r="S148" s="132" t="str">
        <f t="shared" si="10"/>
        <v/>
      </c>
      <c r="T148" s="132" t="str">
        <f t="shared" si="11"/>
        <v/>
      </c>
    </row>
    <row r="149" spans="2:20" ht="18" customHeight="1" x14ac:dyDescent="0.25">
      <c r="B149" s="281"/>
      <c r="C149" s="281"/>
      <c r="D149" s="9"/>
      <c r="E149" s="129"/>
      <c r="F149" s="9"/>
      <c r="G149" s="9"/>
      <c r="H149" s="9"/>
      <c r="I149" s="9"/>
      <c r="J149" s="130" t="str">
        <f>IF(ISERROR(VLOOKUP(#REF!,#REF!,2,FALSE)),"EXCLUDE",VLOOKUP(#REF!,#REF!,2,FALSE))</f>
        <v>EXCLUDE</v>
      </c>
      <c r="K149" s="277"/>
      <c r="L149" s="277"/>
      <c r="M149" s="277"/>
      <c r="O149" s="131" t="str">
        <f t="shared" si="6"/>
        <v/>
      </c>
      <c r="P149" s="132" t="str">
        <f t="shared" si="7"/>
        <v/>
      </c>
      <c r="Q149" s="132" t="str">
        <f t="shared" si="8"/>
        <v/>
      </c>
      <c r="R149" s="132" t="str">
        <f t="shared" si="9"/>
        <v/>
      </c>
      <c r="S149" s="132" t="str">
        <f t="shared" si="10"/>
        <v/>
      </c>
      <c r="T149" s="132" t="str">
        <f t="shared" si="11"/>
        <v/>
      </c>
    </row>
    <row r="150" spans="2:20" ht="18" customHeight="1" x14ac:dyDescent="0.25">
      <c r="B150" s="281"/>
      <c r="C150" s="281"/>
      <c r="D150" s="9"/>
      <c r="E150" s="129"/>
      <c r="F150" s="129"/>
      <c r="G150" s="9"/>
      <c r="H150" s="129"/>
      <c r="I150" s="9"/>
      <c r="J150" s="130" t="str">
        <f>IF(ISERROR(VLOOKUP(#REF!,#REF!,2,FALSE)),"EXCLUDE",VLOOKUP(#REF!,#REF!,2,FALSE))</f>
        <v>EXCLUDE</v>
      </c>
      <c r="K150" s="277"/>
      <c r="L150" s="277"/>
      <c r="M150" s="277"/>
      <c r="O150" s="131" t="str">
        <f t="shared" si="6"/>
        <v/>
      </c>
      <c r="P150" s="132" t="str">
        <f t="shared" si="7"/>
        <v/>
      </c>
      <c r="Q150" s="132" t="str">
        <f t="shared" si="8"/>
        <v/>
      </c>
      <c r="R150" s="132" t="str">
        <f t="shared" si="9"/>
        <v/>
      </c>
      <c r="S150" s="132" t="str">
        <f t="shared" si="10"/>
        <v/>
      </c>
      <c r="T150" s="132" t="str">
        <f t="shared" si="11"/>
        <v/>
      </c>
    </row>
    <row r="151" spans="2:20" ht="18" customHeight="1" x14ac:dyDescent="0.25">
      <c r="B151" s="281"/>
      <c r="C151" s="281"/>
      <c r="D151" s="9"/>
      <c r="E151" s="129"/>
      <c r="F151" s="129"/>
      <c r="G151" s="9"/>
      <c r="H151" s="129"/>
      <c r="I151" s="9"/>
      <c r="J151" s="130" t="str">
        <f>IF(ISERROR(VLOOKUP(#REF!,#REF!,2,FALSE)),"EXCLUDE",VLOOKUP(#REF!,#REF!,2,FALSE))</f>
        <v>EXCLUDE</v>
      </c>
      <c r="K151" s="277"/>
      <c r="L151" s="277"/>
      <c r="M151" s="277"/>
      <c r="O151" s="131" t="str">
        <f t="shared" si="6"/>
        <v/>
      </c>
      <c r="P151" s="132" t="str">
        <f t="shared" si="7"/>
        <v/>
      </c>
      <c r="Q151" s="132" t="str">
        <f t="shared" si="8"/>
        <v/>
      </c>
      <c r="R151" s="132" t="str">
        <f t="shared" si="9"/>
        <v/>
      </c>
      <c r="S151" s="132" t="str">
        <f t="shared" si="10"/>
        <v/>
      </c>
      <c r="T151" s="132" t="str">
        <f t="shared" si="11"/>
        <v/>
      </c>
    </row>
    <row r="152" spans="2:20" ht="18" customHeight="1" x14ac:dyDescent="0.25">
      <c r="B152" s="281"/>
      <c r="C152" s="281"/>
      <c r="D152" s="9"/>
      <c r="E152" s="129"/>
      <c r="F152" s="129"/>
      <c r="G152" s="9"/>
      <c r="H152" s="129"/>
      <c r="I152" s="9"/>
      <c r="J152" s="130" t="str">
        <f>IF(ISERROR(VLOOKUP(#REF!,#REF!,2,FALSE)),"EXCLUDE",VLOOKUP(#REF!,#REF!,2,FALSE))</f>
        <v>EXCLUDE</v>
      </c>
      <c r="K152" s="277"/>
      <c r="L152" s="277"/>
      <c r="M152" s="277"/>
      <c r="O152" s="131" t="str">
        <f t="shared" si="6"/>
        <v/>
      </c>
      <c r="P152" s="132" t="str">
        <f t="shared" si="7"/>
        <v/>
      </c>
      <c r="Q152" s="132" t="str">
        <f t="shared" si="8"/>
        <v/>
      </c>
      <c r="R152" s="132" t="str">
        <f t="shared" si="9"/>
        <v/>
      </c>
      <c r="S152" s="132" t="str">
        <f t="shared" si="10"/>
        <v/>
      </c>
      <c r="T152" s="132" t="str">
        <f t="shared" si="11"/>
        <v/>
      </c>
    </row>
    <row r="153" spans="2:20" ht="18" customHeight="1" x14ac:dyDescent="0.25">
      <c r="B153" s="281"/>
      <c r="C153" s="281"/>
      <c r="D153" s="9"/>
      <c r="E153" s="129"/>
      <c r="F153" s="129"/>
      <c r="G153" s="9"/>
      <c r="H153" s="129"/>
      <c r="I153" s="9"/>
      <c r="J153" s="130" t="str">
        <f>IF(ISERROR(VLOOKUP(#REF!,#REF!,2,FALSE)),"EXCLUDE",VLOOKUP(#REF!,#REF!,2,FALSE))</f>
        <v>EXCLUDE</v>
      </c>
      <c r="K153" s="277"/>
      <c r="L153" s="277"/>
      <c r="M153" s="277"/>
      <c r="O153" s="131" t="str">
        <f t="shared" si="6"/>
        <v/>
      </c>
      <c r="P153" s="132" t="str">
        <f t="shared" si="7"/>
        <v/>
      </c>
      <c r="Q153" s="132" t="str">
        <f t="shared" si="8"/>
        <v/>
      </c>
      <c r="R153" s="132" t="str">
        <f t="shared" si="9"/>
        <v/>
      </c>
      <c r="S153" s="132" t="str">
        <f t="shared" si="10"/>
        <v/>
      </c>
      <c r="T153" s="132" t="str">
        <f t="shared" si="11"/>
        <v/>
      </c>
    </row>
    <row r="154" spans="2:20" ht="18" customHeight="1" x14ac:dyDescent="0.25">
      <c r="B154" s="281"/>
      <c r="C154" s="281"/>
      <c r="D154" s="9"/>
      <c r="E154" s="129"/>
      <c r="F154" s="9"/>
      <c r="G154" s="9"/>
      <c r="H154" s="9"/>
      <c r="I154" s="9"/>
      <c r="J154" s="130" t="str">
        <f>IF(ISERROR(VLOOKUP(#REF!,#REF!,2,FALSE)),"EXCLUDE",VLOOKUP(#REF!,#REF!,2,FALSE))</f>
        <v>EXCLUDE</v>
      </c>
      <c r="K154" s="277"/>
      <c r="L154" s="277"/>
      <c r="M154" s="277"/>
      <c r="O154" s="131" t="str">
        <f t="shared" si="6"/>
        <v/>
      </c>
      <c r="P154" s="132" t="str">
        <f t="shared" si="7"/>
        <v/>
      </c>
      <c r="Q154" s="132" t="str">
        <f t="shared" si="8"/>
        <v/>
      </c>
      <c r="R154" s="132" t="str">
        <f t="shared" si="9"/>
        <v/>
      </c>
      <c r="S154" s="132" t="str">
        <f t="shared" si="10"/>
        <v/>
      </c>
      <c r="T154" s="132" t="str">
        <f t="shared" si="11"/>
        <v/>
      </c>
    </row>
    <row r="155" spans="2:20" ht="18" customHeight="1" x14ac:dyDescent="0.25">
      <c r="B155" s="281"/>
      <c r="C155" s="281"/>
      <c r="D155" s="9"/>
      <c r="E155" s="129"/>
      <c r="F155" s="129"/>
      <c r="G155" s="9"/>
      <c r="H155" s="129"/>
      <c r="I155" s="9"/>
      <c r="J155" s="130" t="str">
        <f>IF(ISERROR(VLOOKUP(#REF!,#REF!,2,FALSE)),"EXCLUDE",VLOOKUP(#REF!,#REF!,2,FALSE))</f>
        <v>EXCLUDE</v>
      </c>
      <c r="K155" s="277"/>
      <c r="L155" s="277"/>
      <c r="M155" s="277"/>
      <c r="O155" s="131" t="str">
        <f t="shared" si="6"/>
        <v/>
      </c>
      <c r="P155" s="132" t="str">
        <f t="shared" si="7"/>
        <v/>
      </c>
      <c r="Q155" s="132" t="str">
        <f t="shared" si="8"/>
        <v/>
      </c>
      <c r="R155" s="132" t="str">
        <f t="shared" si="9"/>
        <v/>
      </c>
      <c r="S155" s="132" t="str">
        <f t="shared" si="10"/>
        <v/>
      </c>
      <c r="T155" s="132" t="str">
        <f t="shared" si="11"/>
        <v/>
      </c>
    </row>
    <row r="156" spans="2:20" ht="18" customHeight="1" x14ac:dyDescent="0.25">
      <c r="B156" s="281"/>
      <c r="C156" s="281"/>
      <c r="D156" s="9"/>
      <c r="E156" s="129"/>
      <c r="F156" s="9"/>
      <c r="G156" s="9"/>
      <c r="H156" s="9"/>
      <c r="I156" s="9"/>
      <c r="J156" s="130" t="str">
        <f>IF(ISERROR(VLOOKUP(#REF!,#REF!,2,FALSE)),"EXCLUDE",VLOOKUP(#REF!,#REF!,2,FALSE))</f>
        <v>EXCLUDE</v>
      </c>
      <c r="K156" s="277"/>
      <c r="L156" s="277"/>
      <c r="M156" s="277"/>
      <c r="O156" s="131" t="str">
        <f t="shared" si="6"/>
        <v/>
      </c>
      <c r="P156" s="132" t="str">
        <f t="shared" si="7"/>
        <v/>
      </c>
      <c r="Q156" s="132" t="str">
        <f t="shared" si="8"/>
        <v/>
      </c>
      <c r="R156" s="132" t="str">
        <f t="shared" si="9"/>
        <v/>
      </c>
      <c r="S156" s="132" t="str">
        <f t="shared" si="10"/>
        <v/>
      </c>
      <c r="T156" s="132" t="str">
        <f t="shared" si="11"/>
        <v/>
      </c>
    </row>
    <row r="157" spans="2:20" ht="18" customHeight="1" x14ac:dyDescent="0.25">
      <c r="B157" s="281"/>
      <c r="C157" s="281"/>
      <c r="D157" s="9"/>
      <c r="E157" s="129"/>
      <c r="F157" s="9"/>
      <c r="G157" s="9"/>
      <c r="H157" s="9"/>
      <c r="I157" s="9"/>
      <c r="J157" s="130" t="str">
        <f>IF(ISERROR(VLOOKUP(#REF!,#REF!,2,FALSE)),"EXCLUDE",VLOOKUP(#REF!,#REF!,2,FALSE))</f>
        <v>EXCLUDE</v>
      </c>
      <c r="K157" s="277"/>
      <c r="L157" s="277"/>
      <c r="M157" s="277"/>
      <c r="O157" s="131" t="str">
        <f t="shared" si="6"/>
        <v/>
      </c>
      <c r="P157" s="132" t="str">
        <f t="shared" si="7"/>
        <v/>
      </c>
      <c r="Q157" s="132" t="str">
        <f t="shared" si="8"/>
        <v/>
      </c>
      <c r="R157" s="132" t="str">
        <f t="shared" si="9"/>
        <v/>
      </c>
      <c r="S157" s="132" t="str">
        <f t="shared" si="10"/>
        <v/>
      </c>
      <c r="T157" s="132" t="str">
        <f t="shared" si="11"/>
        <v/>
      </c>
    </row>
    <row r="158" spans="2:20" ht="18" customHeight="1" x14ac:dyDescent="0.25">
      <c r="B158" s="281"/>
      <c r="C158" s="281"/>
      <c r="D158" s="9"/>
      <c r="E158" s="129"/>
      <c r="F158" s="129"/>
      <c r="G158" s="9"/>
      <c r="H158" s="129"/>
      <c r="I158" s="9"/>
      <c r="J158" s="130" t="str">
        <f>IF(ISERROR(VLOOKUP(#REF!,#REF!,2,FALSE)),"EXCLUDE",VLOOKUP(#REF!,#REF!,2,FALSE))</f>
        <v>EXCLUDE</v>
      </c>
      <c r="K158" s="277"/>
      <c r="L158" s="277"/>
      <c r="M158" s="277"/>
      <c r="O158" s="131" t="str">
        <f t="shared" si="6"/>
        <v/>
      </c>
      <c r="P158" s="132" t="str">
        <f t="shared" si="7"/>
        <v/>
      </c>
      <c r="Q158" s="132" t="str">
        <f t="shared" si="8"/>
        <v/>
      </c>
      <c r="R158" s="132" t="str">
        <f t="shared" si="9"/>
        <v/>
      </c>
      <c r="S158" s="132" t="str">
        <f t="shared" si="10"/>
        <v/>
      </c>
      <c r="T158" s="132" t="str">
        <f t="shared" si="11"/>
        <v/>
      </c>
    </row>
    <row r="159" spans="2:20" ht="18" customHeight="1" x14ac:dyDescent="0.25">
      <c r="B159" s="281"/>
      <c r="C159" s="281"/>
      <c r="D159" s="9"/>
      <c r="E159" s="129"/>
      <c r="F159" s="9"/>
      <c r="G159" s="9"/>
      <c r="H159" s="9"/>
      <c r="I159" s="9"/>
      <c r="J159" s="130" t="str">
        <f>IF(ISERROR(VLOOKUP(#REF!,#REF!,2,FALSE)),"EXCLUDE",VLOOKUP(#REF!,#REF!,2,FALSE))</f>
        <v>EXCLUDE</v>
      </c>
      <c r="K159" s="277"/>
      <c r="L159" s="277"/>
      <c r="M159" s="277"/>
      <c r="O159" s="131" t="str">
        <f t="shared" si="6"/>
        <v/>
      </c>
      <c r="P159" s="132" t="str">
        <f t="shared" si="7"/>
        <v/>
      </c>
      <c r="Q159" s="132" t="str">
        <f t="shared" si="8"/>
        <v/>
      </c>
      <c r="R159" s="132" t="str">
        <f t="shared" si="9"/>
        <v/>
      </c>
      <c r="S159" s="132" t="str">
        <f t="shared" si="10"/>
        <v/>
      </c>
      <c r="T159" s="132" t="str">
        <f t="shared" si="11"/>
        <v/>
      </c>
    </row>
    <row r="160" spans="2:20" ht="18" customHeight="1" x14ac:dyDescent="0.25">
      <c r="B160" s="281"/>
      <c r="C160" s="281"/>
      <c r="D160" s="9"/>
      <c r="E160" s="129"/>
      <c r="F160" s="9"/>
      <c r="G160" s="9"/>
      <c r="H160" s="9"/>
      <c r="I160" s="9"/>
      <c r="J160" s="130" t="str">
        <f>IF(ISERROR(VLOOKUP(#REF!,#REF!,2,FALSE)),"EXCLUDE",VLOOKUP(#REF!,#REF!,2,FALSE))</f>
        <v>EXCLUDE</v>
      </c>
      <c r="K160" s="277"/>
      <c r="L160" s="277"/>
      <c r="M160" s="277"/>
      <c r="O160" s="136" t="str">
        <f t="shared" si="6"/>
        <v/>
      </c>
      <c r="P160" s="137" t="str">
        <f t="shared" si="7"/>
        <v/>
      </c>
      <c r="Q160" s="137" t="str">
        <f t="shared" si="8"/>
        <v/>
      </c>
      <c r="R160" s="137" t="str">
        <f t="shared" si="9"/>
        <v/>
      </c>
      <c r="S160" s="137" t="str">
        <f t="shared" si="10"/>
        <v/>
      </c>
      <c r="T160" s="137" t="str">
        <f t="shared" si="11"/>
        <v/>
      </c>
    </row>
    <row r="161" spans="2:35" ht="18" customHeight="1" x14ac:dyDescent="0.25">
      <c r="AA161" s="104"/>
      <c r="AI161" s="138"/>
    </row>
    <row r="162" spans="2:35" ht="18" customHeight="1" x14ac:dyDescent="0.25">
      <c r="N162" s="139"/>
      <c r="O162" s="139"/>
      <c r="P162" s="139"/>
      <c r="Q162" s="139"/>
      <c r="R162" s="139"/>
      <c r="S162" s="139"/>
      <c r="T162" s="139"/>
      <c r="U162" s="139"/>
      <c r="AA162" s="104"/>
      <c r="AI162" s="138"/>
    </row>
    <row r="163" spans="2:35" ht="18" customHeight="1" x14ac:dyDescent="0.25">
      <c r="C163" s="75"/>
      <c r="D163" s="140" t="s">
        <v>22</v>
      </c>
      <c r="E163" s="140" t="s">
        <v>21</v>
      </c>
      <c r="G163" s="104"/>
      <c r="I163" s="141" t="s">
        <v>301</v>
      </c>
      <c r="J163" s="142">
        <f>IF(D164=0,"",CORREL(Q61:Q160,T61:T160))</f>
        <v>0.99715519767165495</v>
      </c>
      <c r="N163" s="139"/>
      <c r="O163" s="139"/>
      <c r="P163" s="139"/>
      <c r="Q163" s="139"/>
      <c r="R163" s="139"/>
      <c r="S163" s="139"/>
      <c r="T163" s="139"/>
      <c r="U163" s="139"/>
      <c r="AA163" s="104"/>
      <c r="AI163" s="138"/>
    </row>
    <row r="164" spans="2:35" ht="18" customHeight="1" x14ac:dyDescent="0.25">
      <c r="C164" s="8" t="s">
        <v>139</v>
      </c>
      <c r="D164" s="132">
        <f>COUNT(Q61:Q160)</f>
        <v>40</v>
      </c>
      <c r="E164" s="132">
        <f>COUNT(T61:T160)</f>
        <v>40</v>
      </c>
      <c r="G164" s="104"/>
      <c r="I164" s="141" t="s">
        <v>302</v>
      </c>
      <c r="J164" s="142">
        <f>IF(D164=0,"",J163^2)</f>
        <v>0.99431848824359725</v>
      </c>
      <c r="N164" s="139"/>
      <c r="O164" s="139"/>
      <c r="P164" s="139"/>
      <c r="Q164" s="139"/>
      <c r="R164" s="139"/>
      <c r="S164" s="139"/>
      <c r="T164" s="139"/>
      <c r="U164" s="139"/>
      <c r="AA164" s="104"/>
      <c r="AI164" s="138"/>
    </row>
    <row r="165" spans="2:35" ht="18" customHeight="1" x14ac:dyDescent="0.25">
      <c r="C165" s="10" t="s">
        <v>95</v>
      </c>
      <c r="D165" s="142">
        <f>IF(ISERROR(AVERAGE(Q61:Q160)),"",AVERAGE(Q61:Q160))</f>
        <v>4526.45</v>
      </c>
      <c r="E165" s="142">
        <f>IF(ISERROR(AVERAGE(T61:T160)),"",AVERAGE(T61:T160))</f>
        <v>4569.1125000000002</v>
      </c>
      <c r="N165" s="139"/>
      <c r="O165" s="139"/>
      <c r="P165" s="139"/>
      <c r="Q165" s="139"/>
      <c r="R165" s="139"/>
      <c r="S165" s="139"/>
      <c r="T165" s="139"/>
      <c r="U165" s="139"/>
      <c r="AA165" s="104"/>
      <c r="AI165" s="138"/>
    </row>
    <row r="166" spans="2:35" ht="18" customHeight="1" x14ac:dyDescent="0.25">
      <c r="N166" s="139"/>
      <c r="O166" s="139"/>
      <c r="P166" s="139"/>
      <c r="Q166" s="139"/>
      <c r="R166" s="139"/>
      <c r="S166" s="139"/>
      <c r="T166" s="139"/>
      <c r="U166" s="139"/>
      <c r="AA166" s="104"/>
      <c r="AI166" s="138"/>
    </row>
    <row r="167" spans="2:35" ht="18" customHeight="1" x14ac:dyDescent="0.25">
      <c r="B167" s="143"/>
      <c r="C167" s="75" t="s">
        <v>303</v>
      </c>
      <c r="D167" s="75"/>
      <c r="E167" s="75"/>
      <c r="F167" s="75" t="s">
        <v>545</v>
      </c>
      <c r="G167" s="75"/>
      <c r="H167" s="144"/>
      <c r="J167" s="76"/>
      <c r="N167" s="139"/>
      <c r="O167" s="139"/>
      <c r="P167" s="139"/>
      <c r="Q167" s="139"/>
      <c r="R167" s="139"/>
      <c r="S167" s="139"/>
      <c r="T167" s="139"/>
      <c r="U167" s="139"/>
      <c r="AA167" s="104"/>
      <c r="AI167" s="138"/>
    </row>
    <row r="168" spans="2:35" ht="18" customHeight="1" x14ac:dyDescent="0.25">
      <c r="C168" s="145"/>
      <c r="D168" s="146" t="s">
        <v>305</v>
      </c>
      <c r="E168" s="13" t="s">
        <v>246</v>
      </c>
      <c r="F168" s="13" t="s">
        <v>247</v>
      </c>
      <c r="G168" s="13"/>
      <c r="N168" s="139"/>
      <c r="O168" s="139"/>
      <c r="P168" s="139"/>
      <c r="Q168" s="139"/>
      <c r="R168" s="139"/>
      <c r="S168" s="139"/>
      <c r="T168" s="139"/>
      <c r="U168" s="139"/>
      <c r="AA168" s="104"/>
      <c r="AI168" s="138"/>
    </row>
    <row r="169" spans="2:35" ht="18" customHeight="1" x14ac:dyDescent="0.25">
      <c r="C169" s="10" t="s">
        <v>13</v>
      </c>
      <c r="D169" s="147">
        <v>0.9987917109091734</v>
      </c>
      <c r="E169" s="147">
        <v>0.97105585403679417</v>
      </c>
      <c r="F169" s="147">
        <v>1.0276964905040973</v>
      </c>
      <c r="G169" s="147"/>
      <c r="N169" s="139"/>
      <c r="O169" s="139"/>
      <c r="P169" s="139"/>
      <c r="Q169" s="139"/>
      <c r="R169" s="139"/>
      <c r="S169" s="139"/>
      <c r="T169" s="139"/>
      <c r="U169" s="139"/>
      <c r="AA169" s="104"/>
      <c r="AI169" s="138"/>
    </row>
    <row r="170" spans="2:35" ht="18" customHeight="1" x14ac:dyDescent="0.25">
      <c r="B170" s="75"/>
      <c r="C170" s="10" t="s">
        <v>12</v>
      </c>
      <c r="D170" s="147">
        <v>57.228085083484189</v>
      </c>
      <c r="E170" s="147">
        <v>-8.7746197988104768</v>
      </c>
      <c r="F170" s="147">
        <v>125.43558168952536</v>
      </c>
      <c r="G170" s="147"/>
      <c r="N170" s="139"/>
      <c r="O170" s="139"/>
      <c r="P170" s="139"/>
      <c r="Q170" s="139"/>
      <c r="R170" s="139"/>
      <c r="S170" s="139"/>
      <c r="T170" s="139"/>
      <c r="U170" s="139"/>
      <c r="AA170" s="104"/>
      <c r="AI170" s="138"/>
    </row>
    <row r="171" spans="2:35" ht="18" customHeight="1" x14ac:dyDescent="0.25">
      <c r="B171" s="75"/>
      <c r="C171" s="10"/>
      <c r="D171" s="148"/>
      <c r="E171" s="148"/>
      <c r="F171" s="148"/>
      <c r="G171" s="148"/>
      <c r="N171" s="139"/>
      <c r="O171" s="139"/>
      <c r="P171" s="139"/>
      <c r="Q171" s="139"/>
      <c r="R171" s="139"/>
      <c r="S171" s="139"/>
      <c r="T171" s="139"/>
      <c r="U171" s="139"/>
      <c r="AA171" s="104"/>
      <c r="AI171" s="138"/>
    </row>
    <row r="172" spans="2:35" ht="18" customHeight="1" x14ac:dyDescent="0.25">
      <c r="B172" s="75"/>
      <c r="C172" s="10"/>
      <c r="D172" s="148"/>
      <c r="E172" s="148"/>
      <c r="F172" s="148"/>
      <c r="G172" s="148"/>
      <c r="N172" s="139"/>
      <c r="O172" s="139"/>
      <c r="P172" s="139"/>
      <c r="Q172" s="139"/>
      <c r="R172" s="139"/>
      <c r="S172" s="139"/>
      <c r="T172" s="139"/>
      <c r="U172" s="139"/>
      <c r="AA172" s="104"/>
      <c r="AI172" s="138"/>
    </row>
    <row r="173" spans="2:35" ht="18" customHeight="1" x14ac:dyDescent="0.25">
      <c r="B173" s="75"/>
      <c r="C173" s="10"/>
      <c r="D173" s="148"/>
      <c r="E173" s="148"/>
      <c r="F173" s="148"/>
      <c r="G173" s="148"/>
      <c r="N173" s="139"/>
      <c r="O173" s="139"/>
      <c r="P173" s="139"/>
      <c r="Q173" s="139"/>
      <c r="R173" s="139"/>
      <c r="S173" s="139"/>
      <c r="T173" s="139"/>
      <c r="U173" s="139"/>
      <c r="AA173" s="104"/>
      <c r="AI173" s="138"/>
    </row>
    <row r="174" spans="2:35" s="151" customFormat="1" ht="18" customHeight="1" x14ac:dyDescent="0.25">
      <c r="B174" s="149" t="s">
        <v>306</v>
      </c>
      <c r="C174" s="150"/>
      <c r="N174" s="152"/>
      <c r="O174" s="152"/>
      <c r="P174" s="152"/>
      <c r="Q174" s="152"/>
      <c r="R174" s="152"/>
      <c r="S174" s="152"/>
      <c r="T174" s="152"/>
      <c r="U174" s="152"/>
      <c r="Z174" s="153"/>
      <c r="AH174" s="154"/>
    </row>
    <row r="175" spans="2:35" ht="18" customHeight="1" x14ac:dyDescent="0.25">
      <c r="C175" s="75" t="s">
        <v>307</v>
      </c>
      <c r="N175" s="139"/>
      <c r="O175" s="139"/>
      <c r="P175" s="139"/>
      <c r="Q175" s="139"/>
      <c r="R175" s="139"/>
      <c r="S175" s="139"/>
      <c r="T175" s="139"/>
      <c r="U175" s="139"/>
      <c r="Z175" s="104"/>
      <c r="AH175" s="138"/>
    </row>
    <row r="176" spans="2:35" ht="18" customHeight="1" x14ac:dyDescent="0.25">
      <c r="C176" s="132"/>
      <c r="D176" s="140" t="s">
        <v>308</v>
      </c>
      <c r="E176" s="140" t="s">
        <v>309</v>
      </c>
      <c r="F176" s="140" t="s">
        <v>310</v>
      </c>
      <c r="G176" s="140" t="s">
        <v>546</v>
      </c>
      <c r="H176" s="140" t="s">
        <v>547</v>
      </c>
      <c r="I176" s="140" t="s">
        <v>167</v>
      </c>
      <c r="Z176" s="104"/>
      <c r="AH176" s="138"/>
    </row>
    <row r="177" spans="3:34" ht="18" customHeight="1" x14ac:dyDescent="0.25">
      <c r="C177" s="132" t="s">
        <v>308</v>
      </c>
      <c r="D177" s="140">
        <v>13</v>
      </c>
      <c r="E177" s="140">
        <v>0</v>
      </c>
      <c r="F177" s="140">
        <v>0</v>
      </c>
      <c r="G177" s="140">
        <v>0</v>
      </c>
      <c r="H177" s="140">
        <v>0</v>
      </c>
      <c r="I177" s="140">
        <v>13</v>
      </c>
      <c r="N177" s="139"/>
      <c r="O177" s="139"/>
      <c r="P177" s="139"/>
      <c r="Q177" s="139"/>
      <c r="R177" s="139"/>
      <c r="S177" s="139"/>
      <c r="T177" s="139"/>
      <c r="U177" s="139"/>
      <c r="Z177" s="104"/>
      <c r="AH177" s="138"/>
    </row>
    <row r="178" spans="3:34" ht="18" customHeight="1" x14ac:dyDescent="0.25">
      <c r="C178" s="132" t="s">
        <v>309</v>
      </c>
      <c r="D178" s="140">
        <v>0</v>
      </c>
      <c r="E178" s="140">
        <v>9</v>
      </c>
      <c r="F178" s="140">
        <v>0</v>
      </c>
      <c r="G178" s="140">
        <v>0</v>
      </c>
      <c r="H178" s="140">
        <v>0</v>
      </c>
      <c r="I178" s="140">
        <v>9</v>
      </c>
      <c r="N178" s="139"/>
      <c r="O178" s="139"/>
      <c r="P178" s="139"/>
      <c r="Q178" s="139"/>
      <c r="R178" s="139"/>
      <c r="S178" s="139"/>
      <c r="T178" s="139"/>
      <c r="U178" s="139"/>
      <c r="Z178" s="104"/>
      <c r="AH178" s="138"/>
    </row>
    <row r="179" spans="3:34" ht="18" customHeight="1" x14ac:dyDescent="0.25">
      <c r="C179" s="132" t="s">
        <v>310</v>
      </c>
      <c r="D179" s="140">
        <v>0</v>
      </c>
      <c r="E179" s="140">
        <v>1</v>
      </c>
      <c r="F179" s="140">
        <v>6</v>
      </c>
      <c r="G179" s="140">
        <v>1</v>
      </c>
      <c r="H179" s="140">
        <v>0</v>
      </c>
      <c r="I179" s="140">
        <v>8</v>
      </c>
      <c r="N179" s="139"/>
      <c r="O179" s="139"/>
      <c r="P179" s="139"/>
      <c r="Q179" s="139"/>
      <c r="R179" s="139"/>
      <c r="S179" s="139"/>
      <c r="T179" s="139"/>
      <c r="U179" s="139"/>
      <c r="Z179" s="104"/>
      <c r="AH179" s="138"/>
    </row>
    <row r="180" spans="3:34" ht="18" customHeight="1" x14ac:dyDescent="0.25">
      <c r="C180" s="132" t="s">
        <v>546</v>
      </c>
      <c r="D180" s="140">
        <v>0</v>
      </c>
      <c r="E180" s="140">
        <v>0</v>
      </c>
      <c r="F180" s="140">
        <v>0</v>
      </c>
      <c r="G180" s="140">
        <v>6</v>
      </c>
      <c r="H180" s="140">
        <v>0</v>
      </c>
      <c r="I180" s="140">
        <v>6</v>
      </c>
      <c r="N180" s="139"/>
      <c r="O180" s="139"/>
      <c r="P180" s="139"/>
      <c r="Q180" s="139"/>
      <c r="R180" s="139"/>
      <c r="S180" s="139"/>
      <c r="T180" s="139"/>
      <c r="U180" s="139"/>
      <c r="Z180" s="104"/>
      <c r="AH180" s="138"/>
    </row>
    <row r="181" spans="3:34" ht="18" customHeight="1" x14ac:dyDescent="0.25">
      <c r="C181" s="132" t="s">
        <v>547</v>
      </c>
      <c r="D181" s="140">
        <v>0</v>
      </c>
      <c r="E181" s="140">
        <v>0</v>
      </c>
      <c r="F181" s="140">
        <v>0</v>
      </c>
      <c r="G181" s="140">
        <v>0</v>
      </c>
      <c r="H181" s="140">
        <v>4</v>
      </c>
      <c r="I181" s="140">
        <v>4</v>
      </c>
      <c r="N181" s="139"/>
      <c r="O181" s="139"/>
      <c r="P181" s="139"/>
      <c r="Q181" s="139"/>
      <c r="R181" s="139"/>
      <c r="S181" s="139"/>
      <c r="T181" s="139"/>
      <c r="U181" s="139"/>
      <c r="Z181" s="104"/>
      <c r="AH181" s="138"/>
    </row>
    <row r="182" spans="3:34" ht="18" customHeight="1" x14ac:dyDescent="0.25">
      <c r="C182" s="132" t="s">
        <v>167</v>
      </c>
      <c r="D182" s="140">
        <v>13</v>
      </c>
      <c r="E182" s="140">
        <v>10</v>
      </c>
      <c r="F182" s="140">
        <v>6</v>
      </c>
      <c r="G182" s="140">
        <v>7</v>
      </c>
      <c r="H182" s="140">
        <v>4</v>
      </c>
      <c r="I182" s="140">
        <v>40</v>
      </c>
      <c r="N182" s="139"/>
      <c r="O182" s="139"/>
      <c r="P182" s="139"/>
      <c r="Q182" s="139"/>
      <c r="R182" s="139"/>
      <c r="S182" s="139"/>
      <c r="T182" s="139"/>
      <c r="U182" s="139"/>
      <c r="Z182" s="104"/>
      <c r="AH182" s="138"/>
    </row>
    <row r="183" spans="3:34" ht="18" customHeight="1" x14ac:dyDescent="0.25">
      <c r="N183" s="139"/>
      <c r="O183" s="139"/>
      <c r="P183" s="139"/>
      <c r="Q183" s="139"/>
      <c r="R183" s="139"/>
      <c r="S183" s="139"/>
      <c r="T183" s="139"/>
      <c r="U183" s="139"/>
      <c r="Z183" s="104"/>
      <c r="AH183" s="138"/>
    </row>
    <row r="184" spans="3:34" ht="18" customHeight="1" x14ac:dyDescent="0.25">
      <c r="C184" s="10" t="s">
        <v>242</v>
      </c>
      <c r="D184" s="142">
        <v>0.95</v>
      </c>
      <c r="N184" s="139"/>
      <c r="O184" s="139"/>
      <c r="P184" s="139"/>
      <c r="Q184" s="139"/>
      <c r="R184" s="139"/>
      <c r="S184" s="139"/>
      <c r="T184" s="139"/>
      <c r="U184" s="139"/>
      <c r="Z184" s="104"/>
      <c r="AH184" s="138"/>
    </row>
    <row r="185" spans="3:34" ht="18" customHeight="1" x14ac:dyDescent="0.25">
      <c r="C185" s="10" t="s">
        <v>243</v>
      </c>
      <c r="D185" s="142">
        <v>0.22812499999999999</v>
      </c>
      <c r="N185" s="139"/>
      <c r="O185" s="139"/>
      <c r="P185" s="139"/>
      <c r="Q185" s="139"/>
      <c r="R185" s="139"/>
      <c r="S185" s="139"/>
      <c r="T185" s="139"/>
      <c r="U185" s="139"/>
      <c r="Z185" s="104"/>
      <c r="AH185" s="138"/>
    </row>
    <row r="186" spans="3:34" ht="18" customHeight="1" x14ac:dyDescent="0.25">
      <c r="C186" s="10" t="s">
        <v>244</v>
      </c>
      <c r="D186" s="155">
        <v>0.93522267206477716</v>
      </c>
      <c r="E186" s="3" t="str">
        <f>IF(NOT(ISNUMBER(D184)),"",IF(D184&lt;0.5,"Poor agreement",IF(D184&gt;=0.85,"Good agreement","Fair agreement")))</f>
        <v>Good agreement</v>
      </c>
      <c r="N186" s="139"/>
      <c r="O186" s="139"/>
      <c r="P186" s="139"/>
      <c r="Q186" s="139"/>
      <c r="R186" s="139"/>
      <c r="S186" s="139"/>
      <c r="T186" s="139"/>
      <c r="U186" s="139"/>
      <c r="Z186" s="104"/>
      <c r="AH186" s="138"/>
    </row>
    <row r="187" spans="3:34" ht="18" customHeight="1" x14ac:dyDescent="0.25">
      <c r="C187" s="10" t="s">
        <v>245</v>
      </c>
      <c r="D187" s="142">
        <v>4.4334793451755297E-2</v>
      </c>
      <c r="N187" s="139"/>
      <c r="O187" s="139"/>
      <c r="P187" s="139"/>
      <c r="Q187" s="139"/>
      <c r="R187" s="139"/>
      <c r="S187" s="139"/>
      <c r="T187" s="139"/>
      <c r="U187" s="139"/>
      <c r="Z187" s="104"/>
      <c r="AH187" s="156"/>
    </row>
    <row r="188" spans="3:34" ht="18" customHeight="1" x14ac:dyDescent="0.25">
      <c r="C188" s="10" t="s">
        <v>246</v>
      </c>
      <c r="D188" s="142">
        <v>0.84832807363731466</v>
      </c>
      <c r="N188" s="139"/>
      <c r="O188" s="139"/>
      <c r="P188" s="139"/>
      <c r="Q188" s="139"/>
      <c r="R188" s="139"/>
      <c r="S188" s="139"/>
      <c r="T188" s="139"/>
      <c r="U188" s="139"/>
      <c r="Z188" s="104"/>
      <c r="AH188" s="156"/>
    </row>
    <row r="189" spans="3:34" ht="18" customHeight="1" x14ac:dyDescent="0.25">
      <c r="C189" s="10" t="s">
        <v>247</v>
      </c>
      <c r="D189" s="142">
        <v>1.0221172704922401</v>
      </c>
      <c r="N189" s="152"/>
      <c r="O189" s="152"/>
      <c r="P189" s="152"/>
      <c r="Q189" s="152"/>
      <c r="R189" s="152"/>
      <c r="S189" s="152"/>
      <c r="T189" s="152"/>
      <c r="U189" s="152"/>
      <c r="Z189" s="104"/>
      <c r="AH189" s="156"/>
    </row>
    <row r="190" spans="3:34" ht="18" customHeight="1" x14ac:dyDescent="0.25">
      <c r="N190" s="139"/>
      <c r="O190" s="139"/>
      <c r="P190" s="139"/>
      <c r="Q190" s="139"/>
      <c r="R190" s="139"/>
      <c r="S190" s="139"/>
      <c r="T190" s="139"/>
      <c r="U190" s="139"/>
      <c r="Z190" s="104"/>
    </row>
    <row r="191" spans="3:34" ht="18" customHeight="1" x14ac:dyDescent="0.25">
      <c r="Z191" s="104"/>
    </row>
    <row r="193" spans="1:19" s="106" customFormat="1" ht="18" customHeight="1" x14ac:dyDescent="0.25">
      <c r="B193" s="157" t="s">
        <v>311</v>
      </c>
    </row>
    <row r="195" spans="1:19" ht="18" customHeight="1" x14ac:dyDescent="0.25">
      <c r="B195" s="158" t="s">
        <v>312</v>
      </c>
    </row>
    <row r="197" spans="1:19" ht="18" customHeight="1" x14ac:dyDescent="0.25">
      <c r="B197" s="75" t="s">
        <v>313</v>
      </c>
    </row>
    <row r="198" spans="1:19" ht="18" customHeight="1" x14ac:dyDescent="0.25">
      <c r="B198" s="282"/>
      <c r="C198" s="282"/>
      <c r="D198" s="282"/>
      <c r="E198" s="282"/>
      <c r="F198" s="282"/>
      <c r="G198" s="282"/>
      <c r="H198" s="282"/>
    </row>
    <row r="199" spans="1:19" ht="18" customHeight="1" x14ac:dyDescent="0.25">
      <c r="B199" s="75" t="s">
        <v>314</v>
      </c>
    </row>
    <row r="200" spans="1:19" ht="18" customHeight="1" x14ac:dyDescent="0.25">
      <c r="B200" s="283"/>
      <c r="C200" s="284"/>
      <c r="D200" s="159"/>
      <c r="E200" s="159"/>
      <c r="F200" s="159"/>
      <c r="G200" s="159"/>
      <c r="H200" s="159"/>
    </row>
    <row r="201" spans="1:19" ht="18" customHeight="1" x14ac:dyDescent="0.25">
      <c r="B201" s="75" t="s">
        <v>315</v>
      </c>
    </row>
    <row r="202" spans="1:19" ht="18" customHeight="1" x14ac:dyDescent="0.25">
      <c r="A202" s="98"/>
      <c r="B202" s="285"/>
      <c r="C202" s="286"/>
      <c r="D202" s="286"/>
      <c r="E202" s="287"/>
    </row>
    <row r="203" spans="1:19" ht="18" customHeight="1" x14ac:dyDescent="0.25">
      <c r="A203" s="98"/>
      <c r="B203" s="75" t="s">
        <v>316</v>
      </c>
    </row>
    <row r="204" spans="1:19" ht="18" customHeight="1" x14ac:dyDescent="0.25">
      <c r="A204" s="98"/>
      <c r="B204" s="283"/>
      <c r="C204" s="288"/>
      <c r="D204" s="288"/>
      <c r="E204" s="284"/>
      <c r="F204" s="159"/>
      <c r="G204" s="159"/>
      <c r="H204" s="159"/>
    </row>
    <row r="205" spans="1:19" ht="18" customHeight="1" x14ac:dyDescent="0.25">
      <c r="A205" s="98"/>
      <c r="B205" s="75" t="s">
        <v>317</v>
      </c>
    </row>
    <row r="206" spans="1:19" ht="18" customHeight="1" x14ac:dyDescent="0.25">
      <c r="A206" s="98"/>
      <c r="B206" s="283"/>
      <c r="C206" s="288"/>
      <c r="D206" s="288"/>
      <c r="E206" s="284"/>
      <c r="F206" s="159"/>
      <c r="G206" s="159"/>
      <c r="H206" s="159"/>
    </row>
    <row r="207" spans="1:19" ht="18" customHeight="1" x14ac:dyDescent="0.25">
      <c r="A207" s="10"/>
      <c r="B207" s="160"/>
      <c r="C207" s="161"/>
      <c r="D207" s="161"/>
      <c r="E207" s="161"/>
    </row>
    <row r="208" spans="1:19" ht="18" customHeight="1" x14ac:dyDescent="0.25">
      <c r="A208" s="75"/>
      <c r="B208" s="162" t="s">
        <v>318</v>
      </c>
      <c r="C208" s="163"/>
      <c r="D208" s="163"/>
      <c r="E208" s="163"/>
      <c r="F208" s="163"/>
      <c r="G208" s="163"/>
      <c r="H208" s="163"/>
      <c r="I208" s="164"/>
      <c r="J208" s="164"/>
      <c r="K208" s="164"/>
      <c r="L208" s="164"/>
      <c r="M208" s="164"/>
      <c r="S208" s="75" t="s">
        <v>319</v>
      </c>
    </row>
    <row r="209" spans="1:26" ht="18" customHeight="1" x14ac:dyDescent="0.25">
      <c r="A209" s="75"/>
      <c r="B209" s="165"/>
      <c r="C209" s="165"/>
      <c r="D209" s="165"/>
      <c r="E209" s="165"/>
      <c r="F209" s="165"/>
      <c r="G209" s="165"/>
      <c r="H209" s="165"/>
      <c r="I209" s="82"/>
      <c r="J209" s="82"/>
      <c r="K209" s="82"/>
      <c r="S209" s="166" t="s">
        <v>320</v>
      </c>
      <c r="T209" s="167"/>
      <c r="U209" s="167"/>
      <c r="V209" s="168"/>
      <c r="W209" s="166" t="s">
        <v>321</v>
      </c>
      <c r="X209" s="168"/>
    </row>
    <row r="210" spans="1:26" ht="18" customHeight="1" x14ac:dyDescent="0.25">
      <c r="A210" s="75"/>
      <c r="B210" s="273" t="s">
        <v>2</v>
      </c>
      <c r="C210" s="289" t="s">
        <v>322</v>
      </c>
      <c r="D210" s="289" t="s">
        <v>323</v>
      </c>
      <c r="E210" s="289" t="s">
        <v>324</v>
      </c>
      <c r="F210" s="289" t="s">
        <v>325</v>
      </c>
      <c r="G210" s="273" t="s">
        <v>95</v>
      </c>
      <c r="H210" s="289" t="s">
        <v>326</v>
      </c>
      <c r="I210" s="82"/>
      <c r="J210" s="82"/>
      <c r="K210" s="82"/>
      <c r="S210" s="166"/>
      <c r="T210" s="167"/>
      <c r="U210" s="167"/>
      <c r="V210" s="168"/>
      <c r="W210" s="166"/>
      <c r="X210" s="168"/>
    </row>
    <row r="211" spans="1:26" ht="18" customHeight="1" x14ac:dyDescent="0.25">
      <c r="A211" s="75"/>
      <c r="B211" s="273"/>
      <c r="C211" s="289"/>
      <c r="D211" s="289"/>
      <c r="E211" s="289"/>
      <c r="F211" s="289"/>
      <c r="G211" s="273"/>
      <c r="H211" s="289"/>
      <c r="I211" s="82"/>
      <c r="J211" s="82"/>
      <c r="K211" s="82"/>
      <c r="S211" s="166"/>
      <c r="T211" s="167"/>
      <c r="U211" s="167"/>
      <c r="V211" s="168"/>
      <c r="W211" s="166"/>
      <c r="X211" s="168"/>
    </row>
    <row r="212" spans="1:26" ht="18" customHeight="1" x14ac:dyDescent="0.25">
      <c r="A212" s="8"/>
      <c r="B212" s="273"/>
      <c r="C212" s="289"/>
      <c r="D212" s="289"/>
      <c r="E212" s="289"/>
      <c r="F212" s="289"/>
      <c r="G212" s="273"/>
      <c r="H212" s="289"/>
      <c r="I212" s="170"/>
      <c r="S212" s="6" t="s">
        <v>327</v>
      </c>
      <c r="T212" s="6" t="s">
        <v>328</v>
      </c>
      <c r="U212" s="6" t="s">
        <v>329</v>
      </c>
      <c r="V212" s="6" t="s">
        <v>330</v>
      </c>
      <c r="W212" s="6" t="s">
        <v>331</v>
      </c>
      <c r="X212" s="6" t="s">
        <v>332</v>
      </c>
      <c r="Z212" s="13" t="s">
        <v>218</v>
      </c>
    </row>
    <row r="213" spans="1:26" ht="18" customHeight="1" x14ac:dyDescent="0.25">
      <c r="A213" s="104"/>
      <c r="B213" s="171" t="s">
        <v>333</v>
      </c>
      <c r="C213" s="172">
        <v>200</v>
      </c>
      <c r="D213" s="172">
        <v>195</v>
      </c>
      <c r="E213" s="172">
        <v>190</v>
      </c>
      <c r="F213" s="172">
        <v>190</v>
      </c>
      <c r="G213" s="173">
        <f>IF(OR(ISNUMBER(E213),ISNUMBER(F213)),AVERAGE(E213:F213),"")</f>
        <v>190</v>
      </c>
      <c r="H213" s="174" t="str">
        <f t="shared" ref="H213:H220" si="12">IF(ISNUMBER($G213),IF(AND(ISNUMBER(W213),ISNUMBER(X213),G213&gt;W213,G213&lt;X213),"Pass","Fail"),"")</f>
        <v>Pass</v>
      </c>
      <c r="I213" s="97"/>
      <c r="S213" s="175">
        <f t="shared" ref="S213:S220" si="13">IF(ISERROR(STDEV(E213:F213)),0,(STDEV(E213:F213)))</f>
        <v>0</v>
      </c>
      <c r="T213" s="175">
        <f t="shared" ref="T213:T220" si="14">IF(ISERROR(SQRT((S213^2)/$H$225)),"",(SQRT((S213^2)/$H$225)))</f>
        <v>0</v>
      </c>
      <c r="U213" s="176">
        <f t="shared" ref="U213:U220" si="15">IF(ISNUMBER(D213),IF(ISNUMBER(G213),G213-D213,""),"")</f>
        <v>-5</v>
      </c>
      <c r="V213" s="176">
        <f t="shared" ref="V213:V220" si="16">IF(ISNUMBER(D213),IF(ISNUMBER(G213),100*((G213-D213)/D213),""),"")</f>
        <v>-2.5641025641025639</v>
      </c>
      <c r="W213" s="175">
        <f t="shared" ref="W213:W220" si="17">IF(ISERROR(D213-(D213*2*$B$223/SQRT(Z213))),"",D213-(D213*2*$B$223/SQRT(Z213)))</f>
        <v>186.72685066011741</v>
      </c>
      <c r="X213" s="175">
        <f t="shared" ref="X213:X220" si="18">IF(ISERROR(D213+(D213*2*$B$223/SQRT(Z213))),"",D213+(D213*2*$B$223/SQRT(Z213)))</f>
        <v>203.27314933988259</v>
      </c>
      <c r="Z213" s="140">
        <f>COUNT(E213:F213)</f>
        <v>2</v>
      </c>
    </row>
    <row r="214" spans="1:26" ht="18" customHeight="1" x14ac:dyDescent="0.25">
      <c r="A214" s="104"/>
      <c r="B214" s="171" t="s">
        <v>334</v>
      </c>
      <c r="C214" s="172">
        <v>250</v>
      </c>
      <c r="D214" s="172">
        <v>230</v>
      </c>
      <c r="E214" s="172">
        <v>232</v>
      </c>
      <c r="F214" s="172">
        <v>232</v>
      </c>
      <c r="G214" s="173">
        <f t="shared" ref="G214:G220" si="19">IF(OR(ISNUMBER(E214),ISNUMBER(F214)),AVERAGE(E214:F214),"")</f>
        <v>232</v>
      </c>
      <c r="H214" s="174" t="str">
        <f t="shared" si="12"/>
        <v>Pass</v>
      </c>
      <c r="I214" s="97"/>
      <c r="S214" s="175">
        <f t="shared" si="13"/>
        <v>0</v>
      </c>
      <c r="T214" s="175">
        <f t="shared" si="14"/>
        <v>0</v>
      </c>
      <c r="U214" s="176">
        <f t="shared" si="15"/>
        <v>2</v>
      </c>
      <c r="V214" s="176">
        <f t="shared" si="16"/>
        <v>0.86956521739130432</v>
      </c>
      <c r="W214" s="175">
        <f t="shared" si="17"/>
        <v>220.24192641962566</v>
      </c>
      <c r="X214" s="175">
        <f t="shared" si="18"/>
        <v>239.75807358037434</v>
      </c>
      <c r="Z214" s="140">
        <f t="shared" ref="Z214:Z220" si="20">COUNT(E214:F214)</f>
        <v>2</v>
      </c>
    </row>
    <row r="215" spans="1:26" ht="18" customHeight="1" x14ac:dyDescent="0.25">
      <c r="A215" s="104"/>
      <c r="B215" s="171" t="s">
        <v>335</v>
      </c>
      <c r="C215" s="172">
        <v>10</v>
      </c>
      <c r="D215" s="172">
        <v>20</v>
      </c>
      <c r="E215" s="172">
        <v>15</v>
      </c>
      <c r="F215" s="172"/>
      <c r="G215" s="173">
        <f t="shared" si="19"/>
        <v>15</v>
      </c>
      <c r="H215" s="174" t="str">
        <f t="shared" si="12"/>
        <v>Fail</v>
      </c>
      <c r="I215" s="97"/>
      <c r="S215" s="175">
        <f t="shared" si="13"/>
        <v>0</v>
      </c>
      <c r="T215" s="175">
        <f t="shared" si="14"/>
        <v>0</v>
      </c>
      <c r="U215" s="176">
        <f t="shared" si="15"/>
        <v>-5</v>
      </c>
      <c r="V215" s="176">
        <f t="shared" si="16"/>
        <v>-25</v>
      </c>
      <c r="W215" s="175">
        <f t="shared" si="17"/>
        <v>18.8</v>
      </c>
      <c r="X215" s="175">
        <f t="shared" si="18"/>
        <v>21.2</v>
      </c>
      <c r="Z215" s="140">
        <f t="shared" si="20"/>
        <v>1</v>
      </c>
    </row>
    <row r="216" spans="1:26" ht="18" customHeight="1" x14ac:dyDescent="0.25">
      <c r="A216" s="104"/>
      <c r="B216" s="171" t="s">
        <v>336</v>
      </c>
      <c r="C216" s="172">
        <v>35</v>
      </c>
      <c r="D216" s="172">
        <v>38</v>
      </c>
      <c r="E216" s="172">
        <v>35</v>
      </c>
      <c r="F216" s="172">
        <v>35</v>
      </c>
      <c r="G216" s="173">
        <f t="shared" si="19"/>
        <v>35</v>
      </c>
      <c r="H216" s="174" t="str">
        <f t="shared" si="12"/>
        <v>Fail</v>
      </c>
      <c r="I216" s="97"/>
      <c r="S216" s="175">
        <f t="shared" si="13"/>
        <v>0</v>
      </c>
      <c r="T216" s="175">
        <f t="shared" si="14"/>
        <v>0</v>
      </c>
      <c r="U216" s="176">
        <f t="shared" si="15"/>
        <v>-3</v>
      </c>
      <c r="V216" s="176">
        <f t="shared" si="16"/>
        <v>-7.8947368421052628</v>
      </c>
      <c r="W216" s="175">
        <f t="shared" si="17"/>
        <v>36.387796538894669</v>
      </c>
      <c r="X216" s="175">
        <f t="shared" si="18"/>
        <v>39.612203461105331</v>
      </c>
      <c r="Z216" s="140">
        <f t="shared" si="20"/>
        <v>2</v>
      </c>
    </row>
    <row r="217" spans="1:26" ht="18" customHeight="1" x14ac:dyDescent="0.25">
      <c r="A217" s="104"/>
      <c r="B217" s="171" t="s">
        <v>337</v>
      </c>
      <c r="C217" s="172">
        <v>90</v>
      </c>
      <c r="D217" s="172">
        <v>91</v>
      </c>
      <c r="E217" s="172">
        <v>89</v>
      </c>
      <c r="F217" s="172">
        <v>89</v>
      </c>
      <c r="G217" s="173">
        <f t="shared" si="19"/>
        <v>89</v>
      </c>
      <c r="H217" s="174" t="str">
        <f t="shared" si="12"/>
        <v>Pass</v>
      </c>
      <c r="I217" s="97"/>
      <c r="M217" s="97"/>
      <c r="S217" s="175">
        <f t="shared" si="13"/>
        <v>0</v>
      </c>
      <c r="T217" s="175">
        <f t="shared" si="14"/>
        <v>0</v>
      </c>
      <c r="U217" s="176">
        <f t="shared" si="15"/>
        <v>-2</v>
      </c>
      <c r="V217" s="176">
        <f t="shared" si="16"/>
        <v>-2.197802197802198</v>
      </c>
      <c r="W217" s="175">
        <f t="shared" si="17"/>
        <v>87.139196974721457</v>
      </c>
      <c r="X217" s="175">
        <f t="shared" si="18"/>
        <v>94.860803025278543</v>
      </c>
      <c r="Z217" s="140">
        <f t="shared" si="20"/>
        <v>2</v>
      </c>
    </row>
    <row r="218" spans="1:26" ht="18" customHeight="1" x14ac:dyDescent="0.25">
      <c r="A218" s="104"/>
      <c r="B218" s="171" t="s">
        <v>338</v>
      </c>
      <c r="C218" s="172">
        <v>75</v>
      </c>
      <c r="D218" s="172">
        <v>70</v>
      </c>
      <c r="E218" s="172">
        <v>68</v>
      </c>
      <c r="F218" s="172">
        <v>67</v>
      </c>
      <c r="G218" s="173">
        <f t="shared" si="19"/>
        <v>67.5</v>
      </c>
      <c r="H218" s="174" t="str">
        <f t="shared" si="12"/>
        <v>Pass</v>
      </c>
      <c r="I218" s="97"/>
      <c r="M218" s="97"/>
      <c r="S218" s="175">
        <f t="shared" si="13"/>
        <v>0.70710678118654757</v>
      </c>
      <c r="T218" s="175">
        <f t="shared" si="14"/>
        <v>0.2672612419124244</v>
      </c>
      <c r="U218" s="176">
        <f t="shared" si="15"/>
        <v>-2.5</v>
      </c>
      <c r="V218" s="176">
        <f t="shared" si="16"/>
        <v>-3.5714285714285712</v>
      </c>
      <c r="W218" s="175">
        <f t="shared" si="17"/>
        <v>67.030151519016499</v>
      </c>
      <c r="X218" s="175">
        <f t="shared" si="18"/>
        <v>72.969848480983501</v>
      </c>
      <c r="Z218" s="140">
        <f t="shared" si="20"/>
        <v>2</v>
      </c>
    </row>
    <row r="219" spans="1:26" ht="18" customHeight="1" x14ac:dyDescent="0.25">
      <c r="A219" s="104"/>
      <c r="B219" s="171" t="s">
        <v>339</v>
      </c>
      <c r="C219" s="172">
        <v>100</v>
      </c>
      <c r="D219" s="172">
        <v>100</v>
      </c>
      <c r="E219" s="172">
        <v>95</v>
      </c>
      <c r="F219" s="172">
        <v>95</v>
      </c>
      <c r="G219" s="173">
        <f t="shared" si="19"/>
        <v>95</v>
      </c>
      <c r="H219" s="174" t="str">
        <f t="shared" si="12"/>
        <v>Fail</v>
      </c>
      <c r="I219" s="97"/>
      <c r="M219" s="97"/>
      <c r="S219" s="175">
        <f t="shared" si="13"/>
        <v>0</v>
      </c>
      <c r="T219" s="175">
        <f t="shared" si="14"/>
        <v>0</v>
      </c>
      <c r="U219" s="176">
        <f t="shared" si="15"/>
        <v>-5</v>
      </c>
      <c r="V219" s="176">
        <f t="shared" si="16"/>
        <v>-5</v>
      </c>
      <c r="W219" s="175">
        <f t="shared" si="17"/>
        <v>95.757359312880709</v>
      </c>
      <c r="X219" s="175">
        <f t="shared" si="18"/>
        <v>104.24264068711929</v>
      </c>
      <c r="Z219" s="140">
        <f t="shared" si="20"/>
        <v>2</v>
      </c>
    </row>
    <row r="220" spans="1:26" ht="18" customHeight="1" x14ac:dyDescent="0.25">
      <c r="A220" s="104"/>
      <c r="B220" s="171" t="s">
        <v>340</v>
      </c>
      <c r="C220" s="172">
        <v>200</v>
      </c>
      <c r="D220" s="172">
        <v>205</v>
      </c>
      <c r="E220" s="172"/>
      <c r="F220" s="172"/>
      <c r="G220" s="173" t="str">
        <f t="shared" si="19"/>
        <v/>
      </c>
      <c r="H220" s="174" t="str">
        <f t="shared" si="12"/>
        <v/>
      </c>
      <c r="I220" s="97"/>
      <c r="M220" s="97"/>
      <c r="S220" s="175">
        <f t="shared" si="13"/>
        <v>0</v>
      </c>
      <c r="T220" s="175">
        <f t="shared" si="14"/>
        <v>0</v>
      </c>
      <c r="U220" s="176" t="str">
        <f t="shared" si="15"/>
        <v/>
      </c>
      <c r="V220" s="176" t="str">
        <f t="shared" si="16"/>
        <v/>
      </c>
      <c r="W220" s="175" t="str">
        <f t="shared" si="17"/>
        <v/>
      </c>
      <c r="X220" s="175" t="str">
        <f t="shared" si="18"/>
        <v/>
      </c>
      <c r="Z220" s="140">
        <f t="shared" si="20"/>
        <v>0</v>
      </c>
    </row>
    <row r="221" spans="1:26" ht="18" customHeight="1" x14ac:dyDescent="0.25">
      <c r="A221" s="104"/>
      <c r="B221" s="177"/>
      <c r="C221" s="177"/>
      <c r="D221" s="177"/>
      <c r="E221" s="177"/>
      <c r="F221" s="177"/>
      <c r="G221" s="86"/>
      <c r="H221" s="97"/>
      <c r="I221" s="97"/>
      <c r="M221" s="97"/>
    </row>
    <row r="222" spans="1:26" ht="18" customHeight="1" x14ac:dyDescent="0.25">
      <c r="B222" s="75" t="s">
        <v>341</v>
      </c>
      <c r="C222" s="4"/>
      <c r="D222" s="177"/>
      <c r="E222" s="177"/>
      <c r="F222" s="177"/>
      <c r="G222" s="86"/>
      <c r="H222" s="97"/>
      <c r="I222" s="97"/>
      <c r="M222" s="97"/>
      <c r="T222" s="8"/>
    </row>
    <row r="223" spans="1:26" ht="18" customHeight="1" x14ac:dyDescent="0.25">
      <c r="A223" s="98"/>
      <c r="B223" s="178">
        <v>0.03</v>
      </c>
      <c r="C223" s="4"/>
      <c r="T223" s="8"/>
    </row>
    <row r="224" spans="1:26" ht="18" customHeight="1" x14ac:dyDescent="0.25">
      <c r="A224" s="98"/>
      <c r="B224" s="75" t="s">
        <v>342</v>
      </c>
      <c r="G224" s="8" t="s">
        <v>343</v>
      </c>
      <c r="H224" s="176">
        <f>IF(ISNUMBER(B223),IF(ISNUMBER(B225),B223/(B225^0.5),""),"")</f>
        <v>1.3416407864998738E-2</v>
      </c>
      <c r="T224" s="8"/>
    </row>
    <row r="225" spans="2:27" ht="18" customHeight="1" x14ac:dyDescent="0.25">
      <c r="B225" s="172">
        <v>5</v>
      </c>
      <c r="G225" s="8" t="s">
        <v>344</v>
      </c>
      <c r="H225" s="179">
        <f>COUNT(E213:E220)</f>
        <v>7</v>
      </c>
      <c r="T225" s="8"/>
    </row>
    <row r="226" spans="2:27" ht="18" customHeight="1" x14ac:dyDescent="0.25">
      <c r="G226" s="8" t="s">
        <v>345</v>
      </c>
      <c r="H226" s="180">
        <f>IF(F213="",1,2)</f>
        <v>2</v>
      </c>
    </row>
    <row r="228" spans="2:27" ht="18" customHeight="1" x14ac:dyDescent="0.25">
      <c r="B228" s="158" t="s">
        <v>346</v>
      </c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30" spans="2:27" ht="18" customHeight="1" x14ac:dyDescent="0.25">
      <c r="B230" s="3" t="s">
        <v>347</v>
      </c>
    </row>
    <row r="231" spans="2:27" ht="18" customHeight="1" x14ac:dyDescent="0.25">
      <c r="B231" s="3" t="s">
        <v>348</v>
      </c>
    </row>
    <row r="232" spans="2:27" ht="18" customHeight="1" x14ac:dyDescent="0.25">
      <c r="B232" s="3" t="s">
        <v>349</v>
      </c>
    </row>
    <row r="233" spans="2:27" ht="18" customHeight="1" x14ac:dyDescent="0.25">
      <c r="B233" s="3" t="s">
        <v>350</v>
      </c>
    </row>
    <row r="234" spans="2:27" ht="18" customHeight="1" x14ac:dyDescent="0.25">
      <c r="B234" s="3" t="s">
        <v>351</v>
      </c>
    </row>
    <row r="235" spans="2:27" ht="18" customHeight="1" x14ac:dyDescent="0.25">
      <c r="B235" s="3" t="s">
        <v>352</v>
      </c>
    </row>
    <row r="237" spans="2:27" ht="18" customHeight="1" x14ac:dyDescent="0.25">
      <c r="B237" s="75" t="s">
        <v>353</v>
      </c>
    </row>
    <row r="238" spans="2:27" ht="18" customHeight="1" x14ac:dyDescent="0.25">
      <c r="B238" s="282"/>
      <c r="C238" s="282"/>
      <c r="D238" s="282"/>
      <c r="E238" s="282"/>
      <c r="F238" s="282"/>
      <c r="G238" s="282"/>
      <c r="H238" s="282"/>
    </row>
    <row r="239" spans="2:27" ht="18" customHeight="1" x14ac:dyDescent="0.25">
      <c r="B239" s="75" t="s">
        <v>314</v>
      </c>
    </row>
    <row r="240" spans="2:27" ht="18" customHeight="1" x14ac:dyDescent="0.25">
      <c r="B240" s="283"/>
      <c r="C240" s="284"/>
      <c r="D240" s="159"/>
      <c r="E240" s="159"/>
      <c r="F240" s="159"/>
      <c r="G240" s="159"/>
      <c r="H240" s="159"/>
    </row>
    <row r="241" spans="1:25" ht="18" customHeight="1" x14ac:dyDescent="0.25">
      <c r="B241" s="75" t="s">
        <v>315</v>
      </c>
    </row>
    <row r="242" spans="1:25" ht="18" customHeight="1" x14ac:dyDescent="0.25">
      <c r="B242" s="290"/>
      <c r="C242" s="291"/>
      <c r="D242" s="291"/>
      <c r="E242" s="292"/>
    </row>
    <row r="243" spans="1:25" ht="18" customHeight="1" x14ac:dyDescent="0.25">
      <c r="B243" s="75" t="s">
        <v>316</v>
      </c>
    </row>
    <row r="244" spans="1:25" ht="18" customHeight="1" x14ac:dyDescent="0.25">
      <c r="A244" s="98"/>
      <c r="B244" s="283"/>
      <c r="C244" s="288"/>
      <c r="D244" s="288"/>
      <c r="E244" s="284"/>
      <c r="F244" s="159"/>
      <c r="G244" s="159"/>
      <c r="H244" s="159"/>
      <c r="P244" s="82"/>
      <c r="Q244" s="82"/>
      <c r="R244" s="82"/>
      <c r="S244" s="82"/>
      <c r="T244" s="82"/>
    </row>
    <row r="245" spans="1:25" ht="18" customHeight="1" x14ac:dyDescent="0.25">
      <c r="A245" s="98"/>
      <c r="B245" s="75" t="s">
        <v>317</v>
      </c>
      <c r="P245" s="82"/>
      <c r="Q245" s="82"/>
      <c r="R245" s="82"/>
      <c r="S245" s="82"/>
      <c r="T245" s="82"/>
    </row>
    <row r="246" spans="1:25" ht="18" customHeight="1" x14ac:dyDescent="0.25">
      <c r="A246" s="98"/>
      <c r="B246" s="283"/>
      <c r="C246" s="288"/>
      <c r="D246" s="288"/>
      <c r="E246" s="284"/>
      <c r="F246" s="159"/>
      <c r="G246" s="159"/>
      <c r="H246" s="159"/>
      <c r="P246" s="82"/>
      <c r="Q246" s="82"/>
      <c r="R246" s="82"/>
      <c r="S246" s="82"/>
      <c r="T246" s="82"/>
    </row>
    <row r="247" spans="1:25" ht="18" customHeight="1" x14ac:dyDescent="0.25">
      <c r="A247" s="98"/>
      <c r="B247" s="159"/>
      <c r="C247" s="159"/>
      <c r="D247" s="159"/>
      <c r="E247" s="159"/>
      <c r="F247" s="159"/>
      <c r="G247" s="159"/>
      <c r="H247" s="159"/>
      <c r="P247" s="82"/>
      <c r="Q247" s="82"/>
      <c r="R247" s="82"/>
      <c r="S247" s="82"/>
      <c r="T247" s="82"/>
    </row>
    <row r="248" spans="1:25" ht="18" customHeight="1" x14ac:dyDescent="0.25">
      <c r="A248" s="75"/>
      <c r="B248" s="181" t="s">
        <v>354</v>
      </c>
      <c r="C248" s="181"/>
      <c r="D248" s="181"/>
      <c r="E248" s="181"/>
      <c r="F248" s="181"/>
      <c r="G248" s="181"/>
      <c r="H248" s="181"/>
      <c r="P248" s="82"/>
      <c r="Q248" s="82"/>
      <c r="R248" s="82"/>
      <c r="S248" s="82"/>
      <c r="T248" s="82"/>
    </row>
    <row r="249" spans="1:25" ht="18" customHeight="1" x14ac:dyDescent="0.25">
      <c r="B249" s="4"/>
      <c r="C249" s="4"/>
      <c r="D249" s="4"/>
      <c r="E249" s="4"/>
      <c r="F249" s="4" t="s">
        <v>177</v>
      </c>
      <c r="G249" s="4"/>
      <c r="H249" s="4"/>
      <c r="I249" s="4"/>
      <c r="J249" s="4"/>
      <c r="M249" s="4"/>
      <c r="N249" s="4"/>
      <c r="P249" s="82"/>
      <c r="Q249" s="82"/>
      <c r="R249" s="82"/>
      <c r="S249" s="82"/>
      <c r="T249" s="82"/>
    </row>
    <row r="250" spans="1:25" ht="18" customHeight="1" x14ac:dyDescent="0.25">
      <c r="B250" s="273" t="s">
        <v>355</v>
      </c>
      <c r="C250" s="289" t="s">
        <v>356</v>
      </c>
      <c r="D250" s="289" t="s">
        <v>324</v>
      </c>
      <c r="E250" s="289" t="s">
        <v>325</v>
      </c>
      <c r="F250" s="289" t="s">
        <v>357</v>
      </c>
      <c r="G250" s="273" t="s">
        <v>95</v>
      </c>
      <c r="H250" s="289" t="s">
        <v>358</v>
      </c>
      <c r="I250" s="289" t="s">
        <v>359</v>
      </c>
      <c r="J250" s="4"/>
      <c r="M250" s="4"/>
      <c r="N250" s="4"/>
      <c r="P250" s="82"/>
      <c r="Q250" s="82"/>
      <c r="R250" s="82"/>
      <c r="S250" s="82"/>
      <c r="T250" s="82"/>
    </row>
    <row r="251" spans="1:25" ht="18" customHeight="1" x14ac:dyDescent="0.25">
      <c r="A251" s="8"/>
      <c r="B251" s="273"/>
      <c r="C251" s="289"/>
      <c r="D251" s="289"/>
      <c r="E251" s="289"/>
      <c r="F251" s="289"/>
      <c r="G251" s="273"/>
      <c r="H251" s="289"/>
      <c r="I251" s="289"/>
      <c r="S251" s="169" t="s">
        <v>24</v>
      </c>
      <c r="T251" s="169" t="s">
        <v>360</v>
      </c>
      <c r="U251" s="169" t="s">
        <v>361</v>
      </c>
      <c r="V251" s="169" t="s">
        <v>362</v>
      </c>
      <c r="W251" s="169" t="s">
        <v>363</v>
      </c>
      <c r="X251" s="169" t="s">
        <v>332</v>
      </c>
      <c r="Y251" s="169" t="s">
        <v>331</v>
      </c>
    </row>
    <row r="252" spans="1:25" ht="18" customHeight="1" x14ac:dyDescent="0.25">
      <c r="A252" s="104" t="str">
        <f>IF(ISNUMBER(G252),1,"")</f>
        <v/>
      </c>
      <c r="B252" s="172"/>
      <c r="C252" s="172"/>
      <c r="D252" s="172"/>
      <c r="E252" s="172"/>
      <c r="F252" s="172"/>
      <c r="G252" s="173" t="str">
        <f>IF(ISNUMBER(D252),AVERAGE(D252:F252),"")</f>
        <v/>
      </c>
      <c r="H252" s="174"/>
      <c r="I252" s="174" t="str">
        <f t="shared" ref="I252:I259" si="21">IF(NOT(ISNUMBER(G252)),"",IF(AND(ISNUMBER(G252),U252&gt;W252),"Fail","Pass"))</f>
        <v/>
      </c>
      <c r="S252" s="175">
        <f t="shared" ref="S252:S259" si="22">IF(ISERROR(STDEV(D252:F252)/SQRT(COUNT(D252:F252))),0,(STDEV(D252:F252)/SQRT(COUNT(D252:F252))))</f>
        <v>0</v>
      </c>
      <c r="T252" s="176" t="str">
        <f t="shared" ref="T252:T259" si="23">IF(ISNUMBER(C252),IF(ISNUMBER(G252),ABS(G252-C252),""),"")</f>
        <v/>
      </c>
      <c r="U252" s="175" t="e">
        <f t="shared" ref="U252:U259" si="24">$T252-_xlfn.T.INV(1-$B$261/2,COUNT($D252:$F252)-1)*$S252</f>
        <v>#VALUE!</v>
      </c>
      <c r="V252" s="175" t="e">
        <f t="shared" ref="V252:V259" si="25">$T252+_xlfn.T.INV(1-$B$261/2,COUNT($D252:$F252)-1)*$S252</f>
        <v>#VALUE!</v>
      </c>
      <c r="W252" s="176">
        <f t="shared" ref="W252:W259" si="26">ABS($B$261*C252)</f>
        <v>0</v>
      </c>
      <c r="X252" s="175">
        <f t="shared" ref="X252:X259" si="27">IF(ISERROR($C252-($C252*$B$261)),"",$C252-($C252*$B$261))</f>
        <v>0</v>
      </c>
      <c r="Y252" s="175">
        <f t="shared" ref="Y252:Y259" si="28">IF(ISERROR($C252+($C252*$B$261)),"",$C252+($C252*$B$261))</f>
        <v>0</v>
      </c>
    </row>
    <row r="253" spans="1:25" ht="18" customHeight="1" x14ac:dyDescent="0.25">
      <c r="A253" s="104" t="str">
        <f t="shared" ref="A253:A259" si="29">IF(ISNUMBER(G253),1+A252,"")</f>
        <v/>
      </c>
      <c r="B253" s="172"/>
      <c r="C253" s="172"/>
      <c r="D253" s="172"/>
      <c r="E253" s="172"/>
      <c r="F253" s="172"/>
      <c r="G253" s="173" t="str">
        <f t="shared" ref="G253:G259" si="30">IF(ISNUMBER(D253),AVERAGE(D253:F253),"")</f>
        <v/>
      </c>
      <c r="H253" s="174" t="str">
        <f t="shared" ref="H253:H259" si="31">IF(NOT(ISNUMBER(G253)),"",IF(AND(ISNUMBER(G253),G253&gt;=X253,G253&lt;=Y253),"Pass","Fail"))</f>
        <v/>
      </c>
      <c r="I253" s="174" t="str">
        <f t="shared" si="21"/>
        <v/>
      </c>
      <c r="S253" s="175">
        <f t="shared" si="22"/>
        <v>0</v>
      </c>
      <c r="T253" s="176" t="str">
        <f t="shared" si="23"/>
        <v/>
      </c>
      <c r="U253" s="175" t="e">
        <f t="shared" si="24"/>
        <v>#VALUE!</v>
      </c>
      <c r="V253" s="175" t="e">
        <f t="shared" si="25"/>
        <v>#VALUE!</v>
      </c>
      <c r="W253" s="176">
        <f t="shared" si="26"/>
        <v>0</v>
      </c>
      <c r="X253" s="175">
        <f t="shared" si="27"/>
        <v>0</v>
      </c>
      <c r="Y253" s="175">
        <f t="shared" si="28"/>
        <v>0</v>
      </c>
    </row>
    <row r="254" spans="1:25" ht="18" customHeight="1" x14ac:dyDescent="0.25">
      <c r="A254" s="104" t="str">
        <f t="shared" si="29"/>
        <v/>
      </c>
      <c r="B254" s="172"/>
      <c r="C254" s="172"/>
      <c r="D254" s="172"/>
      <c r="E254" s="172"/>
      <c r="F254" s="172"/>
      <c r="G254" s="173" t="str">
        <f t="shared" si="30"/>
        <v/>
      </c>
      <c r="H254" s="174" t="str">
        <f t="shared" si="31"/>
        <v/>
      </c>
      <c r="I254" s="174" t="str">
        <f t="shared" si="21"/>
        <v/>
      </c>
      <c r="S254" s="175">
        <f t="shared" si="22"/>
        <v>0</v>
      </c>
      <c r="T254" s="176" t="str">
        <f t="shared" si="23"/>
        <v/>
      </c>
      <c r="U254" s="175" t="e">
        <f t="shared" si="24"/>
        <v>#VALUE!</v>
      </c>
      <c r="V254" s="175" t="e">
        <f t="shared" si="25"/>
        <v>#VALUE!</v>
      </c>
      <c r="W254" s="176">
        <f t="shared" si="26"/>
        <v>0</v>
      </c>
      <c r="X254" s="175">
        <f t="shared" si="27"/>
        <v>0</v>
      </c>
      <c r="Y254" s="175">
        <f t="shared" si="28"/>
        <v>0</v>
      </c>
    </row>
    <row r="255" spans="1:25" ht="18" customHeight="1" x14ac:dyDescent="0.25">
      <c r="A255" s="104" t="str">
        <f t="shared" si="29"/>
        <v/>
      </c>
      <c r="B255" s="172"/>
      <c r="C255" s="172"/>
      <c r="D255" s="172"/>
      <c r="E255" s="172"/>
      <c r="F255" s="172"/>
      <c r="G255" s="173" t="str">
        <f t="shared" si="30"/>
        <v/>
      </c>
      <c r="H255" s="174" t="str">
        <f t="shared" si="31"/>
        <v/>
      </c>
      <c r="I255" s="174" t="str">
        <f t="shared" si="21"/>
        <v/>
      </c>
      <c r="S255" s="175">
        <f t="shared" si="22"/>
        <v>0</v>
      </c>
      <c r="T255" s="176" t="str">
        <f t="shared" si="23"/>
        <v/>
      </c>
      <c r="U255" s="175" t="e">
        <f t="shared" si="24"/>
        <v>#VALUE!</v>
      </c>
      <c r="V255" s="175" t="e">
        <f t="shared" si="25"/>
        <v>#VALUE!</v>
      </c>
      <c r="W255" s="176">
        <f t="shared" si="26"/>
        <v>0</v>
      </c>
      <c r="X255" s="175">
        <f t="shared" si="27"/>
        <v>0</v>
      </c>
      <c r="Y255" s="175">
        <f t="shared" si="28"/>
        <v>0</v>
      </c>
    </row>
    <row r="256" spans="1:25" ht="18" customHeight="1" x14ac:dyDescent="0.25">
      <c r="A256" s="104" t="str">
        <f t="shared" si="29"/>
        <v/>
      </c>
      <c r="B256" s="172"/>
      <c r="C256" s="172"/>
      <c r="D256" s="172"/>
      <c r="E256" s="172"/>
      <c r="F256" s="172"/>
      <c r="G256" s="173" t="str">
        <f t="shared" si="30"/>
        <v/>
      </c>
      <c r="H256" s="174" t="str">
        <f t="shared" si="31"/>
        <v/>
      </c>
      <c r="I256" s="174" t="str">
        <f t="shared" si="21"/>
        <v/>
      </c>
      <c r="S256" s="175">
        <f t="shared" si="22"/>
        <v>0</v>
      </c>
      <c r="T256" s="176" t="str">
        <f t="shared" si="23"/>
        <v/>
      </c>
      <c r="U256" s="175" t="e">
        <f t="shared" si="24"/>
        <v>#VALUE!</v>
      </c>
      <c r="V256" s="175" t="e">
        <f t="shared" si="25"/>
        <v>#VALUE!</v>
      </c>
      <c r="W256" s="176">
        <f t="shared" si="26"/>
        <v>0</v>
      </c>
      <c r="X256" s="175">
        <f t="shared" si="27"/>
        <v>0</v>
      </c>
      <c r="Y256" s="175">
        <f t="shared" si="28"/>
        <v>0</v>
      </c>
    </row>
    <row r="257" spans="1:25" ht="18" customHeight="1" x14ac:dyDescent="0.25">
      <c r="A257" s="104" t="str">
        <f t="shared" si="29"/>
        <v/>
      </c>
      <c r="B257" s="172"/>
      <c r="C257" s="172"/>
      <c r="D257" s="172"/>
      <c r="E257" s="172"/>
      <c r="F257" s="172"/>
      <c r="G257" s="173" t="str">
        <f t="shared" si="30"/>
        <v/>
      </c>
      <c r="H257" s="174" t="str">
        <f t="shared" si="31"/>
        <v/>
      </c>
      <c r="I257" s="174" t="str">
        <f t="shared" si="21"/>
        <v/>
      </c>
      <c r="S257" s="175">
        <f t="shared" si="22"/>
        <v>0</v>
      </c>
      <c r="T257" s="176" t="str">
        <f t="shared" si="23"/>
        <v/>
      </c>
      <c r="U257" s="175" t="e">
        <f t="shared" si="24"/>
        <v>#VALUE!</v>
      </c>
      <c r="V257" s="175" t="e">
        <f t="shared" si="25"/>
        <v>#VALUE!</v>
      </c>
      <c r="W257" s="176">
        <f t="shared" si="26"/>
        <v>0</v>
      </c>
      <c r="X257" s="175">
        <f t="shared" si="27"/>
        <v>0</v>
      </c>
      <c r="Y257" s="175">
        <f t="shared" si="28"/>
        <v>0</v>
      </c>
    </row>
    <row r="258" spans="1:25" ht="18" customHeight="1" x14ac:dyDescent="0.25">
      <c r="A258" s="104" t="str">
        <f t="shared" si="29"/>
        <v/>
      </c>
      <c r="B258" s="172"/>
      <c r="C258" s="172"/>
      <c r="D258" s="172"/>
      <c r="E258" s="172"/>
      <c r="F258" s="172"/>
      <c r="G258" s="173" t="str">
        <f t="shared" si="30"/>
        <v/>
      </c>
      <c r="H258" s="174" t="str">
        <f t="shared" si="31"/>
        <v/>
      </c>
      <c r="I258" s="174" t="str">
        <f t="shared" si="21"/>
        <v/>
      </c>
      <c r="S258" s="175">
        <f t="shared" si="22"/>
        <v>0</v>
      </c>
      <c r="T258" s="176" t="str">
        <f t="shared" si="23"/>
        <v/>
      </c>
      <c r="U258" s="175" t="e">
        <f t="shared" si="24"/>
        <v>#VALUE!</v>
      </c>
      <c r="V258" s="175" t="e">
        <f t="shared" si="25"/>
        <v>#VALUE!</v>
      </c>
      <c r="W258" s="176">
        <f t="shared" si="26"/>
        <v>0</v>
      </c>
      <c r="X258" s="175">
        <f t="shared" si="27"/>
        <v>0</v>
      </c>
      <c r="Y258" s="175">
        <f t="shared" si="28"/>
        <v>0</v>
      </c>
    </row>
    <row r="259" spans="1:25" ht="18" customHeight="1" x14ac:dyDescent="0.25">
      <c r="A259" s="104" t="str">
        <f t="shared" si="29"/>
        <v/>
      </c>
      <c r="B259" s="172"/>
      <c r="C259" s="172"/>
      <c r="D259" s="172"/>
      <c r="E259" s="172"/>
      <c r="F259" s="172"/>
      <c r="G259" s="173" t="str">
        <f t="shared" si="30"/>
        <v/>
      </c>
      <c r="H259" s="174" t="str">
        <f t="shared" si="31"/>
        <v/>
      </c>
      <c r="I259" s="174" t="str">
        <f t="shared" si="21"/>
        <v/>
      </c>
      <c r="S259" s="175">
        <f t="shared" si="22"/>
        <v>0</v>
      </c>
      <c r="T259" s="176" t="str">
        <f t="shared" si="23"/>
        <v/>
      </c>
      <c r="U259" s="175" t="e">
        <f t="shared" si="24"/>
        <v>#VALUE!</v>
      </c>
      <c r="V259" s="175" t="e">
        <f t="shared" si="25"/>
        <v>#VALUE!</v>
      </c>
      <c r="W259" s="176">
        <f t="shared" si="26"/>
        <v>0</v>
      </c>
      <c r="X259" s="175">
        <f t="shared" si="27"/>
        <v>0</v>
      </c>
      <c r="Y259" s="175">
        <f t="shared" si="28"/>
        <v>0</v>
      </c>
    </row>
    <row r="260" spans="1:25" ht="18" customHeight="1" x14ac:dyDescent="0.25">
      <c r="A260" s="104"/>
      <c r="B260" s="76" t="s">
        <v>364</v>
      </c>
      <c r="C260" s="83"/>
      <c r="D260" s="145" t="s">
        <v>365</v>
      </c>
      <c r="E260" s="83"/>
      <c r="F260" s="83"/>
      <c r="G260" s="182"/>
      <c r="H260" s="182"/>
      <c r="I260" s="182"/>
      <c r="J260" s="97"/>
      <c r="M260" s="97"/>
      <c r="N260" s="97"/>
      <c r="S260" s="82"/>
      <c r="T260" s="82"/>
      <c r="U260" s="82"/>
      <c r="V260" s="82"/>
      <c r="W260" s="82"/>
      <c r="X260" s="82"/>
    </row>
    <row r="261" spans="1:25" ht="18" customHeight="1" x14ac:dyDescent="0.25">
      <c r="A261" s="8"/>
      <c r="B261" s="183"/>
      <c r="C261" s="76"/>
      <c r="D261" s="183">
        <v>0.05</v>
      </c>
      <c r="E261" s="83"/>
      <c r="F261" s="83"/>
      <c r="G261" s="83"/>
      <c r="H261" s="83"/>
      <c r="I261" s="83"/>
      <c r="J261" s="83"/>
      <c r="M261" s="96"/>
      <c r="N261" s="97"/>
      <c r="S261" s="82"/>
      <c r="T261" s="82"/>
      <c r="U261" s="82"/>
      <c r="V261" s="82"/>
      <c r="W261" s="82"/>
      <c r="X261" s="82"/>
    </row>
    <row r="262" spans="1:25" ht="18" customHeight="1" x14ac:dyDescent="0.25">
      <c r="A262" s="8"/>
      <c r="C262" s="4"/>
      <c r="D262" s="4"/>
      <c r="E262" s="4"/>
      <c r="F262" s="4"/>
      <c r="G262" s="4"/>
      <c r="H262" s="4"/>
      <c r="I262" s="4"/>
      <c r="J262" s="4"/>
      <c r="M262" s="4"/>
      <c r="N262" s="4"/>
      <c r="S262" s="82"/>
      <c r="T262" s="82"/>
      <c r="U262" s="82"/>
      <c r="V262" s="82"/>
      <c r="W262" s="82"/>
      <c r="X262" s="82"/>
    </row>
    <row r="281" spans="1:6" s="108" customFormat="1" ht="18" customHeight="1" x14ac:dyDescent="0.25">
      <c r="A281" s="106"/>
      <c r="B281" s="106" t="s">
        <v>366</v>
      </c>
    </row>
    <row r="282" spans="1:6" s="185" customFormat="1" ht="18" customHeight="1" x14ac:dyDescent="0.25">
      <c r="A282" s="184"/>
      <c r="B282" s="184"/>
    </row>
    <row r="283" spans="1:6" ht="18" customHeight="1" x14ac:dyDescent="0.25">
      <c r="B283" s="75" t="s">
        <v>367</v>
      </c>
    </row>
    <row r="284" spans="1:6" ht="18" customHeight="1" x14ac:dyDescent="0.25">
      <c r="B284" s="263"/>
      <c r="C284" s="263"/>
      <c r="D284" s="263"/>
      <c r="E284" s="160"/>
      <c r="F284" s="160"/>
    </row>
    <row r="285" spans="1:6" ht="18" customHeight="1" x14ac:dyDescent="0.25">
      <c r="B285" s="75" t="s">
        <v>368</v>
      </c>
      <c r="C285" s="10"/>
      <c r="D285" s="293"/>
      <c r="E285" s="293"/>
      <c r="F285" s="293"/>
    </row>
    <row r="286" spans="1:6" ht="18" customHeight="1" x14ac:dyDescent="0.25">
      <c r="B286" s="263"/>
      <c r="C286" s="263"/>
      <c r="D286" s="263"/>
      <c r="E286" s="91"/>
      <c r="F286" s="91"/>
    </row>
    <row r="287" spans="1:6" ht="18" customHeight="1" x14ac:dyDescent="0.25">
      <c r="A287" s="98"/>
      <c r="B287" s="75" t="s">
        <v>287</v>
      </c>
    </row>
    <row r="288" spans="1:6" ht="18" customHeight="1" x14ac:dyDescent="0.25">
      <c r="A288" s="98"/>
      <c r="B288" s="263"/>
      <c r="C288" s="263"/>
      <c r="D288" s="263"/>
    </row>
    <row r="289" spans="1:27" ht="18" customHeight="1" x14ac:dyDescent="0.25">
      <c r="A289" s="186"/>
      <c r="B289" s="75" t="s">
        <v>288</v>
      </c>
    </row>
    <row r="290" spans="1:27" ht="18" customHeight="1" x14ac:dyDescent="0.25">
      <c r="A290" s="186"/>
      <c r="B290" s="263"/>
      <c r="C290" s="263"/>
      <c r="D290" s="263"/>
    </row>
    <row r="292" spans="1:27" ht="18" customHeight="1" x14ac:dyDescent="0.25">
      <c r="C292" s="4"/>
      <c r="D292" s="4" t="s">
        <v>369</v>
      </c>
    </row>
    <row r="293" spans="1:27" ht="18" customHeight="1" x14ac:dyDescent="0.25">
      <c r="D293" s="5" t="s">
        <v>91</v>
      </c>
      <c r="E293" s="6" t="s">
        <v>92</v>
      </c>
      <c r="F293" s="6" t="s">
        <v>93</v>
      </c>
      <c r="G293" s="7" t="s">
        <v>94</v>
      </c>
    </row>
    <row r="294" spans="1:27" ht="18" customHeight="1" x14ac:dyDescent="0.25">
      <c r="C294" s="8" t="s">
        <v>95</v>
      </c>
      <c r="D294" s="9">
        <v>106</v>
      </c>
      <c r="E294" s="9">
        <v>463</v>
      </c>
      <c r="F294" s="9">
        <v>106</v>
      </c>
      <c r="G294" s="9">
        <v>463</v>
      </c>
    </row>
    <row r="295" spans="1:27" ht="18" customHeight="1" x14ac:dyDescent="0.25">
      <c r="C295" s="10" t="s">
        <v>96</v>
      </c>
      <c r="D295" s="11">
        <v>0.01</v>
      </c>
      <c r="E295" s="11">
        <v>0.01</v>
      </c>
      <c r="F295" s="11">
        <v>0.01</v>
      </c>
      <c r="G295" s="11">
        <v>0.01</v>
      </c>
    </row>
    <row r="296" spans="1:27" ht="18" customHeight="1" x14ac:dyDescent="0.25">
      <c r="C296" s="10" t="s">
        <v>97</v>
      </c>
      <c r="D296" s="11">
        <v>2.5999999999999999E-2</v>
      </c>
      <c r="E296" s="11">
        <v>2.5999999999999999E-2</v>
      </c>
      <c r="F296" s="11">
        <v>2.5999999999999999E-2</v>
      </c>
      <c r="G296" s="11">
        <v>2.5999999999999999E-2</v>
      </c>
    </row>
    <row r="298" spans="1:27" ht="18" customHeight="1" x14ac:dyDescent="0.25">
      <c r="C298" s="12" t="s">
        <v>370</v>
      </c>
      <c r="D298" s="12"/>
      <c r="E298" s="12"/>
      <c r="F298" s="12"/>
      <c r="G298" s="12"/>
      <c r="W298" s="75"/>
    </row>
    <row r="299" spans="1:27" ht="18" customHeight="1" x14ac:dyDescent="0.25">
      <c r="B299" s="13" t="s">
        <v>98</v>
      </c>
      <c r="C299" s="13" t="s">
        <v>99</v>
      </c>
      <c r="D299" s="5" t="s">
        <v>91</v>
      </c>
      <c r="E299" s="6" t="s">
        <v>92</v>
      </c>
      <c r="F299" s="6" t="s">
        <v>93</v>
      </c>
      <c r="G299" s="7" t="s">
        <v>94</v>
      </c>
      <c r="W299" s="187" t="s">
        <v>95</v>
      </c>
      <c r="X299" s="132">
        <v>93.56</v>
      </c>
      <c r="Y299" s="132">
        <v>409.62799999999999</v>
      </c>
      <c r="Z299" s="132">
        <v>93.56</v>
      </c>
      <c r="AA299" s="132">
        <v>409.62799999999999</v>
      </c>
    </row>
    <row r="300" spans="1:27" ht="18" customHeight="1" x14ac:dyDescent="0.25">
      <c r="B300" s="14" t="s">
        <v>100</v>
      </c>
      <c r="C300" s="15" t="s">
        <v>101</v>
      </c>
      <c r="D300" s="9">
        <v>95.1</v>
      </c>
      <c r="E300" s="9">
        <v>418.2</v>
      </c>
      <c r="F300" s="9">
        <v>95.1</v>
      </c>
      <c r="G300" s="9">
        <v>418.2</v>
      </c>
      <c r="W300" s="187" t="s">
        <v>371</v>
      </c>
      <c r="X300" s="132">
        <v>144.5800000000163</v>
      </c>
      <c r="Y300" s="132">
        <v>1653.3903999980539</v>
      </c>
      <c r="Z300" s="132">
        <v>144.5800000000163</v>
      </c>
      <c r="AA300" s="132">
        <v>1653.3903999980539</v>
      </c>
    </row>
    <row r="301" spans="1:27" ht="18" customHeight="1" x14ac:dyDescent="0.25">
      <c r="B301" s="14" t="s">
        <v>100</v>
      </c>
      <c r="C301" s="15" t="s">
        <v>101</v>
      </c>
      <c r="D301" s="9">
        <v>95.2</v>
      </c>
      <c r="E301" s="9">
        <v>415.2</v>
      </c>
      <c r="F301" s="9">
        <v>95.2</v>
      </c>
      <c r="G301" s="9">
        <v>415.2</v>
      </c>
      <c r="W301" s="187" t="s">
        <v>122</v>
      </c>
      <c r="X301" s="132">
        <v>83.75199999997858</v>
      </c>
      <c r="Y301" s="132">
        <v>1426.5863999975843</v>
      </c>
      <c r="Z301" s="132">
        <v>83.75199999997858</v>
      </c>
      <c r="AA301" s="132">
        <v>1426.5863999975843</v>
      </c>
    </row>
    <row r="302" spans="1:27" ht="18" customHeight="1" x14ac:dyDescent="0.25">
      <c r="B302" s="14" t="s">
        <v>100</v>
      </c>
      <c r="C302" s="15" t="s">
        <v>101</v>
      </c>
      <c r="D302" s="9">
        <v>95.8</v>
      </c>
      <c r="E302" s="9">
        <v>416.9</v>
      </c>
      <c r="F302" s="9">
        <v>95.8</v>
      </c>
      <c r="G302" s="9">
        <v>416.9</v>
      </c>
      <c r="W302" s="187" t="s">
        <v>125</v>
      </c>
      <c r="X302" s="132">
        <v>60.828000000037719</v>
      </c>
      <c r="Y302" s="132">
        <v>226.80400000046939</v>
      </c>
      <c r="Z302" s="132">
        <v>60.828000000037719</v>
      </c>
      <c r="AA302" s="132">
        <v>226.80400000046939</v>
      </c>
    </row>
    <row r="303" spans="1:27" ht="18" customHeight="1" x14ac:dyDescent="0.25">
      <c r="B303" s="14" t="s">
        <v>100</v>
      </c>
      <c r="C303" s="15" t="s">
        <v>101</v>
      </c>
      <c r="D303" s="9">
        <v>95.4</v>
      </c>
      <c r="E303" s="9">
        <v>416.3</v>
      </c>
      <c r="F303" s="9">
        <v>95.4</v>
      </c>
      <c r="G303" s="9">
        <v>416.3</v>
      </c>
      <c r="W303" s="187" t="s">
        <v>372</v>
      </c>
      <c r="X303" s="132">
        <v>24</v>
      </c>
      <c r="Y303" s="132">
        <v>24</v>
      </c>
      <c r="Z303" s="132">
        <v>24</v>
      </c>
      <c r="AA303" s="132">
        <v>24</v>
      </c>
    </row>
    <row r="304" spans="1:27" ht="18" customHeight="1" x14ac:dyDescent="0.25">
      <c r="B304" s="14" t="s">
        <v>100</v>
      </c>
      <c r="C304" s="15" t="s">
        <v>101</v>
      </c>
      <c r="D304" s="9">
        <v>95.9</v>
      </c>
      <c r="E304" s="9">
        <v>416.8</v>
      </c>
      <c r="F304" s="9">
        <v>95.9</v>
      </c>
      <c r="G304" s="9">
        <v>416.8</v>
      </c>
      <c r="W304" s="187" t="s">
        <v>373</v>
      </c>
      <c r="X304" s="132">
        <v>20</v>
      </c>
      <c r="Y304" s="132">
        <v>20</v>
      </c>
      <c r="Z304" s="132">
        <v>20</v>
      </c>
      <c r="AA304" s="132">
        <v>20</v>
      </c>
    </row>
    <row r="305" spans="2:27" ht="18" customHeight="1" x14ac:dyDescent="0.25">
      <c r="B305" s="14" t="s">
        <v>102</v>
      </c>
      <c r="C305" s="15" t="s">
        <v>101</v>
      </c>
      <c r="D305" s="9">
        <v>98.2</v>
      </c>
      <c r="E305" s="9">
        <v>421.3</v>
      </c>
      <c r="F305" s="9">
        <v>98.2</v>
      </c>
      <c r="G305" s="9">
        <v>421.3</v>
      </c>
      <c r="W305" s="187" t="s">
        <v>127</v>
      </c>
      <c r="X305" s="132">
        <v>4</v>
      </c>
      <c r="Y305" s="132">
        <v>4</v>
      </c>
      <c r="Z305" s="132">
        <v>4</v>
      </c>
      <c r="AA305" s="132">
        <v>4</v>
      </c>
    </row>
    <row r="306" spans="2:27" ht="18" customHeight="1" x14ac:dyDescent="0.25">
      <c r="B306" s="14" t="s">
        <v>102</v>
      </c>
      <c r="C306" s="15" t="s">
        <v>101</v>
      </c>
      <c r="D306" s="9">
        <v>96.6</v>
      </c>
      <c r="E306" s="9">
        <v>416.7</v>
      </c>
      <c r="F306" s="9">
        <v>96.6</v>
      </c>
      <c r="G306" s="9">
        <v>416.7</v>
      </c>
      <c r="W306" s="187" t="s">
        <v>374</v>
      </c>
      <c r="X306" s="132">
        <v>20.937999999994645</v>
      </c>
      <c r="Y306" s="132">
        <v>356.64659999939613</v>
      </c>
      <c r="Z306" s="132">
        <v>20.937999999994645</v>
      </c>
      <c r="AA306" s="132">
        <v>356.64659999939613</v>
      </c>
    </row>
    <row r="307" spans="2:27" ht="18" customHeight="1" x14ac:dyDescent="0.25">
      <c r="B307" s="14" t="s">
        <v>102</v>
      </c>
      <c r="C307" s="15" t="s">
        <v>101</v>
      </c>
      <c r="D307" s="9">
        <v>96.9</v>
      </c>
      <c r="E307" s="9">
        <v>422.5</v>
      </c>
      <c r="F307" s="9">
        <v>96.9</v>
      </c>
      <c r="G307" s="9">
        <v>422.5</v>
      </c>
      <c r="W307" s="187" t="s">
        <v>135</v>
      </c>
      <c r="X307" s="132">
        <v>3.0414000000018859</v>
      </c>
      <c r="Y307" s="132">
        <v>11.340200000023469</v>
      </c>
      <c r="Z307" s="132">
        <v>3.0414000000018859</v>
      </c>
      <c r="AA307" s="132">
        <v>11.340200000023469</v>
      </c>
    </row>
    <row r="308" spans="2:27" ht="18" customHeight="1" x14ac:dyDescent="0.25">
      <c r="B308" s="14" t="s">
        <v>102</v>
      </c>
      <c r="C308" s="15" t="s">
        <v>101</v>
      </c>
      <c r="D308" s="9">
        <v>96.2</v>
      </c>
      <c r="E308" s="9">
        <v>419.9</v>
      </c>
      <c r="F308" s="9">
        <v>96.2</v>
      </c>
      <c r="G308" s="9">
        <v>419.9</v>
      </c>
      <c r="W308" s="187" t="s">
        <v>375</v>
      </c>
      <c r="X308" s="132">
        <v>6.8843295850534822</v>
      </c>
      <c r="Y308" s="132">
        <v>31.449762790661367</v>
      </c>
      <c r="Z308" s="132">
        <v>6.8843295850534822</v>
      </c>
      <c r="AA308" s="132">
        <v>31.449762790661367</v>
      </c>
    </row>
    <row r="309" spans="2:27" ht="18" customHeight="1" x14ac:dyDescent="0.25">
      <c r="B309" s="14" t="s">
        <v>102</v>
      </c>
      <c r="C309" s="15" t="s">
        <v>101</v>
      </c>
      <c r="D309" s="9">
        <v>91.6</v>
      </c>
      <c r="E309" s="9">
        <v>405.7</v>
      </c>
      <c r="F309" s="9">
        <v>91.6</v>
      </c>
      <c r="G309" s="9">
        <v>405.7</v>
      </c>
      <c r="W309" s="187" t="s">
        <v>139</v>
      </c>
      <c r="X309" s="132">
        <v>25</v>
      </c>
      <c r="Y309" s="132">
        <v>25</v>
      </c>
      <c r="Z309" s="132">
        <v>25</v>
      </c>
      <c r="AA309" s="132">
        <v>25</v>
      </c>
    </row>
    <row r="310" spans="2:27" ht="18" customHeight="1" x14ac:dyDescent="0.25">
      <c r="B310" s="14" t="s">
        <v>103</v>
      </c>
      <c r="C310" s="15" t="s">
        <v>101</v>
      </c>
      <c r="D310" s="9">
        <v>94</v>
      </c>
      <c r="E310" s="9">
        <v>413.3</v>
      </c>
      <c r="F310" s="9">
        <v>94</v>
      </c>
      <c r="G310" s="9">
        <v>413.3</v>
      </c>
      <c r="W310" s="187" t="s">
        <v>376</v>
      </c>
      <c r="X310" s="132">
        <v>5</v>
      </c>
      <c r="Y310" s="132">
        <v>5</v>
      </c>
      <c r="Z310" s="132">
        <v>5</v>
      </c>
      <c r="AA310" s="132">
        <v>5</v>
      </c>
    </row>
    <row r="311" spans="2:27" ht="18" customHeight="1" x14ac:dyDescent="0.25">
      <c r="B311" s="14" t="s">
        <v>103</v>
      </c>
      <c r="C311" s="15" t="s">
        <v>101</v>
      </c>
      <c r="D311" s="9">
        <v>92</v>
      </c>
      <c r="E311" s="9">
        <v>411.7</v>
      </c>
      <c r="F311" s="9">
        <v>92</v>
      </c>
      <c r="G311" s="9">
        <v>411.7</v>
      </c>
      <c r="W311" s="187" t="s">
        <v>377</v>
      </c>
      <c r="X311" s="132">
        <v>125</v>
      </c>
      <c r="Y311" s="132">
        <v>125</v>
      </c>
      <c r="Z311" s="132">
        <v>125</v>
      </c>
      <c r="AA311" s="132">
        <v>125</v>
      </c>
    </row>
    <row r="312" spans="2:27" ht="18" customHeight="1" x14ac:dyDescent="0.25">
      <c r="B312" s="14" t="s">
        <v>103</v>
      </c>
      <c r="C312" s="15" t="s">
        <v>101</v>
      </c>
      <c r="D312" s="9">
        <v>93.1</v>
      </c>
      <c r="E312" s="9">
        <v>413.8</v>
      </c>
      <c r="F312" s="9">
        <v>93.1</v>
      </c>
      <c r="G312" s="9">
        <v>413.8</v>
      </c>
      <c r="W312" s="187" t="s">
        <v>378</v>
      </c>
      <c r="X312" s="132">
        <v>3.0414000000018859</v>
      </c>
      <c r="Y312" s="132">
        <v>11.340200000023469</v>
      </c>
      <c r="Z312" s="132">
        <v>3.0414000000018859</v>
      </c>
      <c r="AA312" s="132">
        <v>11.340200000023469</v>
      </c>
    </row>
    <row r="313" spans="2:27" ht="18" customHeight="1" x14ac:dyDescent="0.25">
      <c r="B313" s="14" t="s">
        <v>103</v>
      </c>
      <c r="C313" s="15" t="s">
        <v>101</v>
      </c>
      <c r="D313" s="9">
        <v>92.7</v>
      </c>
      <c r="E313" s="9">
        <v>412.3</v>
      </c>
      <c r="F313" s="9">
        <v>92.7</v>
      </c>
      <c r="G313" s="9">
        <v>412.3</v>
      </c>
      <c r="W313" s="187" t="s">
        <v>379</v>
      </c>
      <c r="X313" s="132">
        <v>3.5793199999985519</v>
      </c>
      <c r="Y313" s="132">
        <v>69.061279999874529</v>
      </c>
      <c r="Z313" s="132">
        <v>3.5793199999985519</v>
      </c>
      <c r="AA313" s="132">
        <v>69.061279999874529</v>
      </c>
    </row>
    <row r="314" spans="2:27" ht="18" customHeight="1" x14ac:dyDescent="0.25">
      <c r="B314" s="14" t="s">
        <v>103</v>
      </c>
      <c r="C314" s="15" t="s">
        <v>101</v>
      </c>
      <c r="D314" s="9">
        <v>93.7</v>
      </c>
      <c r="E314" s="9">
        <v>414.6</v>
      </c>
      <c r="F314" s="9">
        <v>93.7</v>
      </c>
      <c r="G314" s="9">
        <v>414.6</v>
      </c>
      <c r="W314" s="187" t="s">
        <v>380</v>
      </c>
      <c r="X314" s="132">
        <v>1.7439610087389814</v>
      </c>
      <c r="Y314" s="132">
        <v>3.3675213436626454</v>
      </c>
      <c r="Z314" s="132">
        <v>1.7439610087389814</v>
      </c>
      <c r="AA314" s="132">
        <v>3.3675213436626454</v>
      </c>
    </row>
    <row r="315" spans="2:27" ht="18" customHeight="1" x14ac:dyDescent="0.25">
      <c r="B315" s="14" t="s">
        <v>104</v>
      </c>
      <c r="C315" s="15" t="s">
        <v>101</v>
      </c>
      <c r="D315" s="9">
        <v>91.4</v>
      </c>
      <c r="E315" s="9">
        <v>401.3</v>
      </c>
      <c r="F315" s="9">
        <v>91.4</v>
      </c>
      <c r="G315" s="9">
        <v>401.3</v>
      </c>
      <c r="W315" s="187" t="s">
        <v>381</v>
      </c>
      <c r="X315" s="132">
        <v>1.86400278830588E-2</v>
      </c>
      <c r="Y315" s="132">
        <v>8.2209256780851041E-3</v>
      </c>
      <c r="Z315" s="132">
        <v>1.86400278830588E-2</v>
      </c>
      <c r="AA315" s="132">
        <v>8.2209256780851041E-3</v>
      </c>
    </row>
    <row r="316" spans="2:27" ht="18" customHeight="1" x14ac:dyDescent="0.25">
      <c r="B316" s="14" t="s">
        <v>104</v>
      </c>
      <c r="C316" s="15" t="s">
        <v>101</v>
      </c>
      <c r="D316" s="9">
        <v>91.6</v>
      </c>
      <c r="E316" s="9">
        <v>398.7</v>
      </c>
      <c r="F316" s="9">
        <v>91.6</v>
      </c>
      <c r="G316" s="9">
        <v>398.7</v>
      </c>
      <c r="W316" s="187" t="s">
        <v>382</v>
      </c>
      <c r="X316" s="132">
        <v>1.8919090887245489</v>
      </c>
      <c r="Y316" s="132">
        <v>8.3103116668314261</v>
      </c>
      <c r="Z316" s="132">
        <v>1.8919090887245489</v>
      </c>
      <c r="AA316" s="132">
        <v>8.3103116668314261</v>
      </c>
    </row>
    <row r="317" spans="2:27" ht="18" customHeight="1" x14ac:dyDescent="0.25">
      <c r="B317" s="14" t="s">
        <v>104</v>
      </c>
      <c r="C317" s="15" t="s">
        <v>101</v>
      </c>
      <c r="D317" s="9">
        <v>92.5</v>
      </c>
      <c r="E317" s="9">
        <v>399</v>
      </c>
      <c r="F317" s="9">
        <v>92.5</v>
      </c>
      <c r="G317" s="9">
        <v>399</v>
      </c>
      <c r="W317" s="187" t="s">
        <v>383</v>
      </c>
      <c r="X317" s="132">
        <v>2.0221345540022969E-2</v>
      </c>
      <c r="Y317" s="132">
        <v>2.0287460004763894E-2</v>
      </c>
      <c r="Z317" s="132">
        <v>2.0221345540022969E-2</v>
      </c>
      <c r="AA317" s="132">
        <v>2.0287460004763894E-2</v>
      </c>
    </row>
    <row r="318" spans="2:27" ht="18" customHeight="1" x14ac:dyDescent="0.25">
      <c r="B318" s="14" t="s">
        <v>104</v>
      </c>
      <c r="C318" s="15" t="s">
        <v>101</v>
      </c>
      <c r="D318" s="9">
        <v>91.2</v>
      </c>
      <c r="E318" s="9">
        <v>398.2</v>
      </c>
      <c r="F318" s="9">
        <v>91.2</v>
      </c>
      <c r="G318" s="9">
        <v>398.2</v>
      </c>
      <c r="W318" s="187" t="s">
        <v>149</v>
      </c>
      <c r="X318" s="132">
        <v>2.5730759802229777</v>
      </c>
      <c r="Y318" s="132">
        <v>8.9666872366497756</v>
      </c>
      <c r="Z318" s="132">
        <v>2.5730759802229777</v>
      </c>
      <c r="AA318" s="132">
        <v>8.9666872366497756</v>
      </c>
    </row>
    <row r="319" spans="2:27" ht="18" customHeight="1" x14ac:dyDescent="0.25">
      <c r="B319" s="14" t="s">
        <v>104</v>
      </c>
      <c r="C319" s="15" t="s">
        <v>101</v>
      </c>
      <c r="D319" s="9">
        <v>93</v>
      </c>
      <c r="E319" s="9">
        <v>402.4</v>
      </c>
      <c r="F319" s="9">
        <v>93</v>
      </c>
      <c r="G319" s="9">
        <v>402.4</v>
      </c>
      <c r="W319" s="187" t="s">
        <v>153</v>
      </c>
      <c r="X319" s="132">
        <v>2.750188093440549E-2</v>
      </c>
      <c r="Y319" s="132">
        <v>2.1889829886262108E-2</v>
      </c>
      <c r="Z319" s="132">
        <v>2.750188093440549E-2</v>
      </c>
      <c r="AA319" s="132">
        <v>2.1889829886262108E-2</v>
      </c>
    </row>
    <row r="320" spans="2:27" ht="18" customHeight="1" x14ac:dyDescent="0.25">
      <c r="B320" s="14" t="s">
        <v>105</v>
      </c>
      <c r="C320" s="15" t="s">
        <v>101</v>
      </c>
      <c r="D320" s="9">
        <v>92.9</v>
      </c>
      <c r="E320" s="9">
        <v>401.4</v>
      </c>
      <c r="F320" s="9">
        <v>92.9</v>
      </c>
      <c r="G320" s="9">
        <v>401.4</v>
      </c>
      <c r="W320" s="187" t="s">
        <v>154</v>
      </c>
      <c r="X320" s="132">
        <v>9.3662208918254084</v>
      </c>
      <c r="Y320" s="132">
        <v>5.0658124026296409</v>
      </c>
      <c r="Z320" s="132">
        <v>9.3662208918254084</v>
      </c>
      <c r="AA320" s="132">
        <v>5.0658124026296409</v>
      </c>
    </row>
    <row r="321" spans="2:27" ht="18" customHeight="1" x14ac:dyDescent="0.25">
      <c r="B321" s="14" t="s">
        <v>105</v>
      </c>
      <c r="C321" s="15" t="s">
        <v>101</v>
      </c>
      <c r="D321" s="9">
        <v>92.1</v>
      </c>
      <c r="E321" s="9">
        <v>402</v>
      </c>
      <c r="F321" s="9">
        <v>92.1</v>
      </c>
      <c r="G321" s="9">
        <v>402</v>
      </c>
      <c r="W321" s="187" t="s">
        <v>384</v>
      </c>
      <c r="X321" s="132">
        <v>36.760509890706579</v>
      </c>
      <c r="Y321" s="132">
        <v>36.760509890706579</v>
      </c>
      <c r="Z321" s="132">
        <v>36.760509890706579</v>
      </c>
      <c r="AA321" s="132">
        <v>36.760509890706579</v>
      </c>
    </row>
    <row r="322" spans="2:27" ht="18" customHeight="1" x14ac:dyDescent="0.25">
      <c r="B322" s="14" t="s">
        <v>105</v>
      </c>
      <c r="C322" s="15" t="s">
        <v>101</v>
      </c>
      <c r="D322" s="9">
        <v>94.7</v>
      </c>
      <c r="E322" s="9">
        <v>404.2</v>
      </c>
      <c r="F322" s="9">
        <v>94.7</v>
      </c>
      <c r="G322" s="9">
        <v>404.2</v>
      </c>
      <c r="W322" s="187" t="s">
        <v>385</v>
      </c>
      <c r="X322" s="132">
        <v>21.59562086729354</v>
      </c>
      <c r="Y322" s="132">
        <v>14.657988301657458</v>
      </c>
      <c r="Z322" s="132">
        <v>21.59562086729354</v>
      </c>
      <c r="AA322" s="132">
        <v>14.657988301657458</v>
      </c>
    </row>
    <row r="323" spans="2:27" ht="18" customHeight="1" x14ac:dyDescent="0.25">
      <c r="B323" s="14" t="s">
        <v>105</v>
      </c>
      <c r="C323" s="15" t="s">
        <v>101</v>
      </c>
      <c r="D323" s="9">
        <v>89.2</v>
      </c>
      <c r="E323" s="9">
        <v>399.7</v>
      </c>
      <c r="F323" s="9">
        <v>89.2</v>
      </c>
      <c r="G323" s="9">
        <v>399.7</v>
      </c>
      <c r="W323" s="187" t="s">
        <v>386</v>
      </c>
      <c r="X323" s="132">
        <v>1.3557379888958372</v>
      </c>
      <c r="Y323" s="132">
        <v>1.3557379888958372</v>
      </c>
      <c r="Z323" s="132">
        <v>1.3557379888958372</v>
      </c>
      <c r="AA323" s="132">
        <v>1.3557379888958372</v>
      </c>
    </row>
    <row r="324" spans="2:27" ht="18" customHeight="1" x14ac:dyDescent="0.25">
      <c r="B324" s="14" t="s">
        <v>105</v>
      </c>
      <c r="C324" s="15" t="s">
        <v>101</v>
      </c>
      <c r="D324" s="9">
        <v>88</v>
      </c>
      <c r="E324" s="9">
        <v>398.6</v>
      </c>
      <c r="F324" s="9">
        <v>88</v>
      </c>
      <c r="G324" s="9">
        <v>398.6</v>
      </c>
      <c r="W324" s="187" t="s">
        <v>387</v>
      </c>
      <c r="X324" s="132">
        <v>1.5184505361118663</v>
      </c>
      <c r="Y324" s="132">
        <v>1.70103258838097</v>
      </c>
      <c r="Z324" s="132">
        <v>1.5184505361118663</v>
      </c>
      <c r="AA324" s="132">
        <v>1.70103258838097</v>
      </c>
    </row>
    <row r="325" spans="2:27" ht="18" customHeight="1" x14ac:dyDescent="0.25">
      <c r="G325" s="134"/>
      <c r="W325" s="104"/>
    </row>
    <row r="326" spans="2:27" ht="18" customHeight="1" x14ac:dyDescent="0.25">
      <c r="W326" s="104"/>
    </row>
    <row r="327" spans="2:27" ht="18" customHeight="1" x14ac:dyDescent="0.25">
      <c r="C327" s="10" t="s">
        <v>164</v>
      </c>
      <c r="D327" s="188">
        <f>IF(ISNUMBER(X314),SQRT(X314),"")</f>
        <v>1.3205911588144839</v>
      </c>
      <c r="E327" s="188">
        <f t="shared" ref="E327:G327" si="32">IF(ISNUMBER(Y314),SQRT(Y314),"")</f>
        <v>1.8350807458154657</v>
      </c>
      <c r="F327" s="188">
        <f t="shared" si="32"/>
        <v>1.3205911588144839</v>
      </c>
      <c r="G327" s="188">
        <f t="shared" si="32"/>
        <v>1.8350807458154657</v>
      </c>
      <c r="W327" s="104"/>
    </row>
    <row r="328" spans="2:27" ht="18" customHeight="1" x14ac:dyDescent="0.25">
      <c r="C328" s="10" t="s">
        <v>166</v>
      </c>
      <c r="D328" s="188">
        <f>IF(ISNUMBER(X316),X316,"")</f>
        <v>1.8919090887245489</v>
      </c>
      <c r="E328" s="188">
        <f t="shared" ref="E328:G328" si="33">IF(ISNUMBER(Y316),Y316,"")</f>
        <v>8.3103116668314261</v>
      </c>
      <c r="F328" s="188">
        <f t="shared" si="33"/>
        <v>1.8919090887245489</v>
      </c>
      <c r="G328" s="188">
        <f t="shared" si="33"/>
        <v>8.3103116668314261</v>
      </c>
      <c r="W328" s="104"/>
    </row>
    <row r="329" spans="2:27" ht="18" customHeight="1" x14ac:dyDescent="0.25">
      <c r="C329" s="10" t="s">
        <v>388</v>
      </c>
      <c r="D329" s="142">
        <f>IF(ISNUMBER(X318),X318,"")</f>
        <v>2.5730759802229777</v>
      </c>
      <c r="E329" s="142">
        <f t="shared" ref="E329:G329" si="34">IF(ISNUMBER(Y318),Y318,"")</f>
        <v>8.9666872366497756</v>
      </c>
      <c r="F329" s="142">
        <f t="shared" si="34"/>
        <v>2.5730759802229777</v>
      </c>
      <c r="G329" s="142">
        <f t="shared" si="34"/>
        <v>8.9666872366497756</v>
      </c>
      <c r="I329" s="82"/>
      <c r="W329" s="104"/>
    </row>
    <row r="330" spans="2:27" ht="18" customHeight="1" x14ac:dyDescent="0.25">
      <c r="C330" s="10"/>
      <c r="W330" s="104"/>
    </row>
    <row r="331" spans="2:27" ht="18" customHeight="1" x14ac:dyDescent="0.25">
      <c r="C331" s="10" t="s">
        <v>96</v>
      </c>
      <c r="D331" s="189">
        <f>IF(ISNUMBER(X315),X315,"")</f>
        <v>1.86400278830588E-2</v>
      </c>
      <c r="E331" s="189">
        <f t="shared" ref="E331:G331" si="35">IF(ISNUMBER(Y315),Y315,"")</f>
        <v>8.2209256780851041E-3</v>
      </c>
      <c r="F331" s="189">
        <f t="shared" si="35"/>
        <v>1.86400278830588E-2</v>
      </c>
      <c r="G331" s="189">
        <f t="shared" si="35"/>
        <v>8.2209256780851041E-3</v>
      </c>
      <c r="W331" s="104"/>
    </row>
    <row r="332" spans="2:27" ht="18" customHeight="1" x14ac:dyDescent="0.25">
      <c r="C332" s="10" t="s">
        <v>389</v>
      </c>
      <c r="D332" s="189">
        <f>IF(ISNUMBER(X317),X317,"")</f>
        <v>2.0221345540022969E-2</v>
      </c>
      <c r="E332" s="189">
        <f>IF(ISERROR(E328/Y318),"",E328/Y318)</f>
        <v>0.92679843151710162</v>
      </c>
      <c r="F332" s="189">
        <f>IF(ISERROR(F328/Z318),"",F328/Z318)</f>
        <v>0.73527136519326564</v>
      </c>
      <c r="G332" s="189">
        <f>IF(ISERROR(G328/AA318),"",G328/AA318)</f>
        <v>0.92679843151710162</v>
      </c>
      <c r="W332" s="104"/>
    </row>
    <row r="333" spans="2:27" ht="18" customHeight="1" x14ac:dyDescent="0.25">
      <c r="C333" s="10" t="s">
        <v>97</v>
      </c>
      <c r="D333" s="189">
        <f>IF(ISNUMBER(X319),X319,"")</f>
        <v>2.750188093440549E-2</v>
      </c>
      <c r="E333" s="189">
        <f t="shared" ref="E333:G333" si="36">IF(ISNUMBER(Y319),Y319,"")</f>
        <v>2.1889829886262108E-2</v>
      </c>
      <c r="F333" s="189">
        <f t="shared" si="36"/>
        <v>2.750188093440549E-2</v>
      </c>
      <c r="G333" s="189">
        <f t="shared" si="36"/>
        <v>2.1889829886262108E-2</v>
      </c>
      <c r="W333" s="104"/>
    </row>
    <row r="334" spans="2:27" ht="18" customHeight="1" x14ac:dyDescent="0.25">
      <c r="W334" s="104"/>
    </row>
    <row r="335" spans="2:27" ht="18" customHeight="1" x14ac:dyDescent="0.25">
      <c r="W335" s="104"/>
    </row>
    <row r="336" spans="2:27" ht="18" customHeight="1" x14ac:dyDescent="0.25">
      <c r="C336" s="75"/>
      <c r="D336" s="75" t="s">
        <v>390</v>
      </c>
      <c r="W336" s="104"/>
    </row>
    <row r="337" spans="1:27" ht="18" customHeight="1" x14ac:dyDescent="0.25">
      <c r="C337" s="10" t="s">
        <v>391</v>
      </c>
      <c r="D337" s="189">
        <f>IF(ISNUMBER(D327),X323*D295,"")</f>
        <v>1.3557379888958372E-2</v>
      </c>
      <c r="E337" s="189">
        <f t="shared" ref="E337:G338" si="37">IF(ISNUMBER(E327),Y323*E295,"")</f>
        <v>1.3557379888958372E-2</v>
      </c>
      <c r="F337" s="189">
        <f t="shared" si="37"/>
        <v>1.3557379888958372E-2</v>
      </c>
      <c r="G337" s="189">
        <f t="shared" si="37"/>
        <v>1.3557379888958372E-2</v>
      </c>
      <c r="W337" s="104"/>
    </row>
    <row r="338" spans="1:27" ht="18" customHeight="1" x14ac:dyDescent="0.25">
      <c r="C338" s="10" t="s">
        <v>392</v>
      </c>
      <c r="D338" s="189">
        <f>IF(ISNUMBER(D328),X324*D296,"")</f>
        <v>3.947971393890852E-2</v>
      </c>
      <c r="E338" s="189">
        <f t="shared" si="37"/>
        <v>4.4226847297905221E-2</v>
      </c>
      <c r="F338" s="189">
        <f t="shared" si="37"/>
        <v>3.947971393890852E-2</v>
      </c>
      <c r="G338" s="189">
        <f t="shared" si="37"/>
        <v>4.4226847297905221E-2</v>
      </c>
      <c r="W338" s="104"/>
    </row>
    <row r="339" spans="1:27" ht="18" customHeight="1" x14ac:dyDescent="0.25">
      <c r="W339" s="104"/>
    </row>
    <row r="340" spans="1:27" ht="18" customHeight="1" x14ac:dyDescent="0.25">
      <c r="D340" s="94" t="s">
        <v>393</v>
      </c>
      <c r="E340" s="94"/>
      <c r="F340" s="94"/>
      <c r="G340" s="94"/>
      <c r="W340" s="104"/>
    </row>
    <row r="341" spans="1:27" ht="18" customHeight="1" x14ac:dyDescent="0.25">
      <c r="C341" s="8"/>
      <c r="D341" s="6" t="s">
        <v>91</v>
      </c>
      <c r="E341" s="6" t="s">
        <v>92</v>
      </c>
      <c r="F341" s="6" t="s">
        <v>93</v>
      </c>
      <c r="G341" s="6" t="s">
        <v>94</v>
      </c>
      <c r="W341" s="104"/>
    </row>
    <row r="342" spans="1:27" ht="18" customHeight="1" x14ac:dyDescent="0.25">
      <c r="C342" s="8" t="s">
        <v>164</v>
      </c>
      <c r="D342" s="190" t="str">
        <f>IF(D327="","",IF(D331&gt;D337, "Fail","Pass"))</f>
        <v>Fail</v>
      </c>
      <c r="E342" s="190" t="str">
        <f t="shared" ref="E342:G342" si="38">IF(E327="","",IF(E331&gt;E337, "Fail","Pass"))</f>
        <v>Pass</v>
      </c>
      <c r="F342" s="190" t="str">
        <f t="shared" si="38"/>
        <v>Fail</v>
      </c>
      <c r="G342" s="190" t="str">
        <f t="shared" si="38"/>
        <v>Pass</v>
      </c>
      <c r="W342" s="104"/>
      <c r="X342" s="191"/>
      <c r="Y342" s="191"/>
      <c r="Z342" s="191"/>
      <c r="AA342" s="191"/>
    </row>
    <row r="343" spans="1:27" ht="18" customHeight="1" x14ac:dyDescent="0.25">
      <c r="C343" s="8" t="s">
        <v>394</v>
      </c>
      <c r="D343" s="190" t="str">
        <f>IF(D328="","",IF(D333&gt;D338, "Fail","Pass"))</f>
        <v>Pass</v>
      </c>
      <c r="E343" s="190" t="str">
        <f t="shared" ref="E343:G343" si="39">IF(E328="","",IF(E333&gt;E338, "Fail","Pass"))</f>
        <v>Pass</v>
      </c>
      <c r="F343" s="190" t="str">
        <f t="shared" si="39"/>
        <v>Pass</v>
      </c>
      <c r="G343" s="190" t="str">
        <f t="shared" si="39"/>
        <v>Pass</v>
      </c>
      <c r="W343" s="104"/>
      <c r="X343" s="134"/>
      <c r="Y343" s="134"/>
      <c r="Z343" s="134"/>
      <c r="AA343" s="134"/>
    </row>
    <row r="344" spans="1:27" ht="18" customHeight="1" x14ac:dyDescent="0.25">
      <c r="W344" s="104"/>
      <c r="X344" s="134"/>
      <c r="Y344" s="134"/>
      <c r="Z344" s="134"/>
      <c r="AA344" s="134"/>
    </row>
    <row r="345" spans="1:27" ht="18" customHeight="1" x14ac:dyDescent="0.25">
      <c r="A345" s="4"/>
      <c r="W345" s="104"/>
      <c r="X345" s="134"/>
      <c r="Y345" s="134"/>
      <c r="Z345" s="134"/>
      <c r="AA345" s="134"/>
    </row>
    <row r="346" spans="1:27" ht="18" customHeight="1" x14ac:dyDescent="0.25">
      <c r="D346" s="4" t="s">
        <v>395</v>
      </c>
      <c r="E346" s="86"/>
      <c r="F346" s="86"/>
      <c r="G346" s="86"/>
      <c r="W346" s="104"/>
      <c r="X346" s="134"/>
      <c r="Y346" s="134"/>
      <c r="Z346" s="134"/>
      <c r="AA346" s="134"/>
    </row>
    <row r="347" spans="1:27" ht="18" customHeight="1" x14ac:dyDescent="0.25">
      <c r="D347" s="6" t="s">
        <v>91</v>
      </c>
      <c r="E347" s="6" t="s">
        <v>92</v>
      </c>
      <c r="F347" s="6" t="s">
        <v>93</v>
      </c>
      <c r="G347" s="6" t="s">
        <v>94</v>
      </c>
      <c r="V347" s="104"/>
      <c r="W347" s="8"/>
    </row>
    <row r="348" spans="1:27" ht="18" customHeight="1" x14ac:dyDescent="0.25">
      <c r="C348" s="8" t="s">
        <v>95</v>
      </c>
      <c r="D348" s="172">
        <f>IF(ISNUMBER(X318),X318,"")</f>
        <v>2.5730759802229777</v>
      </c>
      <c r="E348" s="172">
        <f>IF(ISNUMBER(Y318),Y318,"")</f>
        <v>8.9666872366497756</v>
      </c>
      <c r="F348" s="172">
        <f>IF(ISNUMBER(Z318),Z318,"")</f>
        <v>2.5730759802229777</v>
      </c>
      <c r="G348" s="172">
        <f>IF(ISNUMBER(AA318),AA318,"")</f>
        <v>8.9666872366497756</v>
      </c>
      <c r="V348" s="104"/>
      <c r="W348" s="104"/>
    </row>
    <row r="349" spans="1:27" ht="18" customHeight="1" x14ac:dyDescent="0.25">
      <c r="C349" s="8" t="s">
        <v>396</v>
      </c>
      <c r="D349" s="192">
        <f>IF(ISNUMBER(D348),IF(D348&lt;$J8,$J4/D348,$J6),"")</f>
        <v>3.8863990324659672</v>
      </c>
      <c r="E349" s="192">
        <f>IF(ISNUMBER(E348),IF(E348&lt;$J8,$J4/E348,$J6),"")</f>
        <v>1.1152390772733478</v>
      </c>
      <c r="F349" s="192">
        <f>IF(ISNUMBER(F348),IF(F348&lt;$J8,$J4/F348,$J6),"")</f>
        <v>3.8863990324659672</v>
      </c>
      <c r="G349" s="192">
        <f>IF(ISNUMBER(G348),IF(G348&lt;$J8,$J4/G348,$J6),"")</f>
        <v>1.1152390772733478</v>
      </c>
      <c r="V349" s="104"/>
      <c r="W349" s="8"/>
    </row>
    <row r="350" spans="1:27" ht="18" customHeight="1" x14ac:dyDescent="0.25">
      <c r="C350" s="8" t="s">
        <v>397</v>
      </c>
      <c r="D350" s="193">
        <f>IF(ISNUMBER(D333),D349/D333,"")</f>
        <v>141.3139356444523</v>
      </c>
      <c r="E350" s="193">
        <f>IF(ISNUMBER(E333),E349/E333,"")</f>
        <v>50.947818373557276</v>
      </c>
      <c r="F350" s="193">
        <f>IF(ISNUMBER(F333),F349/F333,"")</f>
        <v>141.3139356444523</v>
      </c>
      <c r="G350" s="193">
        <f>IF(ISNUMBER(G333),G349/G333,"")</f>
        <v>50.947818373557276</v>
      </c>
      <c r="V350" s="104"/>
      <c r="W350" s="104"/>
    </row>
    <row r="351" spans="1:27" ht="18" customHeight="1" x14ac:dyDescent="0.25">
      <c r="C351" s="8" t="s">
        <v>398</v>
      </c>
      <c r="D351" s="194" t="str">
        <f>IF(ISNUMBER(D350),IF(D350&lt;4,"Poor",IF(AND(D350&gt;=4,D350&lt;6),"Acceptable",IF(D350&gt;6,"Good",""))),"")</f>
        <v>Good</v>
      </c>
      <c r="E351" s="194" t="str">
        <f>IF(ISNUMBER(E350),IF(E350&lt;4,"Poor",IF(AND(E350&gt;=4,E350&lt;6),"Acceptable",IF(E350&gt;6,"Good",""))),"")</f>
        <v>Good</v>
      </c>
      <c r="F351" s="194" t="str">
        <f>IF(ISNUMBER(F350),IF(F350&lt;4,"Poor",IF(AND(F350&gt;=4,F350&lt;6),"Acceptable",IF(F350&gt;6,"Good",""))),"")</f>
        <v>Good</v>
      </c>
      <c r="G351" s="194" t="str">
        <f>IF(ISNUMBER(G350),IF(G350&lt;4,"Poor",IF(AND(G350&gt;=4,G350&lt;6),"Acceptable",IF(G350&gt;6,"Good",""))),"")</f>
        <v>Good</v>
      </c>
      <c r="V351" s="104"/>
      <c r="W351" s="104"/>
    </row>
    <row r="352" spans="1:27" ht="18" customHeight="1" x14ac:dyDescent="0.25">
      <c r="A352" s="75"/>
      <c r="V352" s="104"/>
      <c r="W352" s="104"/>
    </row>
    <row r="353" spans="1:27" ht="18" customHeight="1" x14ac:dyDescent="0.25">
      <c r="V353" s="104"/>
      <c r="W353" s="104"/>
    </row>
    <row r="354" spans="1:27" ht="18" customHeight="1" x14ac:dyDescent="0.25">
      <c r="D354" s="75" t="s">
        <v>399</v>
      </c>
      <c r="V354" s="104"/>
      <c r="W354" s="104"/>
    </row>
    <row r="355" spans="1:27" ht="18" customHeight="1" x14ac:dyDescent="0.25">
      <c r="C355" s="10" t="s">
        <v>400</v>
      </c>
      <c r="D355" s="195">
        <v>0.04</v>
      </c>
      <c r="G355" s="76" t="s">
        <v>401</v>
      </c>
      <c r="W355" s="104"/>
      <c r="X355" s="196"/>
      <c r="Y355" s="196"/>
      <c r="Z355" s="196"/>
      <c r="AA355" s="196"/>
    </row>
    <row r="356" spans="1:27" ht="18" customHeight="1" x14ac:dyDescent="0.25">
      <c r="C356" s="10" t="s">
        <v>402</v>
      </c>
      <c r="D356" s="195">
        <v>7.9000000000000001E-2</v>
      </c>
      <c r="F356" s="10" t="s">
        <v>403</v>
      </c>
      <c r="G356" s="197">
        <f>IF(AND(ISNUMBER(D355),ISNUMBER(D356)),IF(D357="Optimal",0.25*D355,IF(D357="Desirable",0.5*D355,0.75*D355)),"")</f>
        <v>0.02</v>
      </c>
    </row>
    <row r="357" spans="1:27" ht="18" customHeight="1" x14ac:dyDescent="0.25">
      <c r="C357" s="10" t="s">
        <v>404</v>
      </c>
      <c r="D357" s="198" t="s">
        <v>405</v>
      </c>
      <c r="F357" s="10" t="s">
        <v>329</v>
      </c>
      <c r="G357" s="197">
        <f>IF(AND(ISNUMBER(D355),ISNUMBER(D356)),IF(D357="Optimal",0.125*SQRT(D355^2+D356^2),IF(D357="Desirable",0.25*SQRT(D355^2+D356^2),0.375*SQRT(D355^2+D356^2))),"")</f>
        <v>2.2137355307262883E-2</v>
      </c>
    </row>
    <row r="358" spans="1:27" ht="18" customHeight="1" x14ac:dyDescent="0.25">
      <c r="C358" s="10" t="s">
        <v>406</v>
      </c>
      <c r="D358" s="198">
        <v>0.05</v>
      </c>
      <c r="F358" s="10" t="s">
        <v>407</v>
      </c>
      <c r="G358" s="197">
        <f>IF(AND(ISNUMBER(D355),ISNUMBER(D356)),G357+_xlfn.NORM.INV(1-D358,0,1)*G356,"")</f>
        <v>5.5034427846292311E-2</v>
      </c>
    </row>
    <row r="360" spans="1:27" ht="18" customHeight="1" x14ac:dyDescent="0.25">
      <c r="C360" s="8"/>
      <c r="D360" s="4" t="s">
        <v>390</v>
      </c>
      <c r="E360" s="86"/>
      <c r="F360" s="86"/>
      <c r="G360" s="86"/>
    </row>
    <row r="361" spans="1:27" ht="18" customHeight="1" x14ac:dyDescent="0.25">
      <c r="A361" s="75"/>
      <c r="C361" s="8"/>
      <c r="D361" s="6" t="s">
        <v>91</v>
      </c>
      <c r="E361" s="6" t="s">
        <v>92</v>
      </c>
      <c r="F361" s="6" t="s">
        <v>93</v>
      </c>
      <c r="G361" s="6" t="s">
        <v>94</v>
      </c>
    </row>
    <row r="362" spans="1:27" ht="18" customHeight="1" x14ac:dyDescent="0.25">
      <c r="C362" s="8" t="s">
        <v>164</v>
      </c>
      <c r="D362" s="199">
        <f>IF(AND(ISNUMBER($G356),ISNUMBER(X323)),$G356*X323,"")</f>
        <v>2.7114759777916744E-2</v>
      </c>
      <c r="E362" s="199">
        <f t="shared" ref="E362:G362" si="40">IF(AND(ISNUMBER($G356),ISNUMBER(Y323)),$G356*Y323,"")</f>
        <v>2.7114759777916744E-2</v>
      </c>
      <c r="F362" s="199">
        <f t="shared" si="40"/>
        <v>2.7114759777916744E-2</v>
      </c>
      <c r="G362" s="199">
        <f t="shared" si="40"/>
        <v>2.7114759777916744E-2</v>
      </c>
    </row>
    <row r="363" spans="1:27" ht="18" customHeight="1" x14ac:dyDescent="0.25">
      <c r="C363" s="8" t="s">
        <v>394</v>
      </c>
      <c r="D363" s="199">
        <f>IF(AND(ISNUMBER($G356),ISNUMBER(X324)),$G356*X324,"")</f>
        <v>3.0369010722237327E-2</v>
      </c>
      <c r="E363" s="199">
        <f t="shared" ref="E363:G363" si="41">IF(AND(ISNUMBER($G356),ISNUMBER(Y324)),$G356*Y324,"")</f>
        <v>3.4020651767619405E-2</v>
      </c>
      <c r="F363" s="199">
        <f t="shared" si="41"/>
        <v>3.0369010722237327E-2</v>
      </c>
      <c r="G363" s="199">
        <f t="shared" si="41"/>
        <v>3.4020651767619405E-2</v>
      </c>
    </row>
    <row r="364" spans="1:27" ht="18" customHeight="1" x14ac:dyDescent="0.25">
      <c r="C364" s="8"/>
      <c r="D364" s="200"/>
      <c r="E364" s="200"/>
      <c r="F364" s="200"/>
      <c r="G364" s="200"/>
    </row>
    <row r="365" spans="1:27" ht="18" customHeight="1" x14ac:dyDescent="0.25">
      <c r="C365" s="8"/>
      <c r="D365" s="4" t="s">
        <v>408</v>
      </c>
      <c r="E365" s="86"/>
      <c r="F365" s="86"/>
      <c r="G365" s="86"/>
    </row>
    <row r="366" spans="1:27" ht="18" customHeight="1" x14ac:dyDescent="0.25">
      <c r="C366" s="8" t="s">
        <v>164</v>
      </c>
      <c r="D366" s="190" t="str">
        <f>IF(NOT(ISNUMBER(D362)),"",IF(D331&gt;D362,"Fail","Pass"))</f>
        <v>Pass</v>
      </c>
      <c r="E366" s="190" t="str">
        <f>IF(NOT(ISNUMBER(E362)),"",IF(E331&gt;E362,"Fail","Pass"))</f>
        <v>Pass</v>
      </c>
      <c r="F366" s="190" t="str">
        <f>IF(NOT(ISNUMBER(F362)),"",IF(F331&gt;F362,"Fail","Pass"))</f>
        <v>Pass</v>
      </c>
      <c r="G366" s="190" t="str">
        <f>IF(NOT(ISNUMBER(G362)),"",IF(G331&gt;G362,"Fail","Pass"))</f>
        <v>Pass</v>
      </c>
    </row>
    <row r="367" spans="1:27" ht="18" customHeight="1" x14ac:dyDescent="0.25">
      <c r="C367" s="8" t="s">
        <v>394</v>
      </c>
      <c r="D367" s="190" t="str">
        <f>IF(NOT(ISNUMBER(D363)),"",IF(D333&gt;D363,"Fail","Pass"))</f>
        <v>Pass</v>
      </c>
      <c r="E367" s="190" t="str">
        <f>IF(NOT(ISNUMBER(E363)),"",IF(E333&gt;E363,"Fail","Pass"))</f>
        <v>Pass</v>
      </c>
      <c r="F367" s="190" t="str">
        <f>IF(NOT(ISNUMBER(F363)),"",IF(F333&gt;F363,"Fail","Pass"))</f>
        <v>Pass</v>
      </c>
      <c r="G367" s="190" t="str">
        <f>IF(NOT(ISNUMBER(G363)),"",IF(G333&gt;G363,"Fail","Pass"))</f>
        <v>Pass</v>
      </c>
    </row>
    <row r="370" spans="1:13" s="108" customFormat="1" ht="18" customHeight="1" x14ac:dyDescent="0.25">
      <c r="A370" s="106"/>
      <c r="B370" s="106" t="s">
        <v>409</v>
      </c>
    </row>
    <row r="371" spans="1:13" s="185" customFormat="1" ht="18" customHeight="1" x14ac:dyDescent="0.25">
      <c r="A371" s="184"/>
      <c r="B371" s="184"/>
    </row>
    <row r="372" spans="1:13" ht="18" customHeight="1" x14ac:dyDescent="0.25">
      <c r="A372" s="75"/>
      <c r="B372" s="3" t="s">
        <v>410</v>
      </c>
    </row>
    <row r="373" spans="1:13" ht="18" customHeight="1" x14ac:dyDescent="0.25">
      <c r="A373" s="201"/>
      <c r="B373" s="299"/>
      <c r="C373" s="300"/>
      <c r="D373" s="300"/>
      <c r="E373" s="300"/>
      <c r="F373" s="300"/>
      <c r="G373" s="300"/>
      <c r="H373" s="300"/>
      <c r="I373" s="300"/>
      <c r="J373" s="300"/>
      <c r="K373" s="300"/>
      <c r="L373" s="300"/>
      <c r="M373" s="301"/>
    </row>
    <row r="374" spans="1:13" ht="18" customHeight="1" x14ac:dyDescent="0.25">
      <c r="A374" s="75"/>
      <c r="B374" s="302"/>
      <c r="C374" s="303"/>
      <c r="D374" s="303"/>
      <c r="E374" s="303"/>
      <c r="F374" s="303"/>
      <c r="G374" s="303"/>
      <c r="H374" s="303"/>
      <c r="I374" s="303"/>
      <c r="J374" s="303"/>
      <c r="K374" s="303"/>
      <c r="L374" s="303"/>
      <c r="M374" s="304"/>
    </row>
    <row r="375" spans="1:13" ht="18" customHeight="1" x14ac:dyDescent="0.25">
      <c r="A375" s="75"/>
      <c r="B375" s="302"/>
      <c r="C375" s="303"/>
      <c r="D375" s="303"/>
      <c r="E375" s="303"/>
      <c r="F375" s="303"/>
      <c r="G375" s="303"/>
      <c r="H375" s="303"/>
      <c r="I375" s="303"/>
      <c r="J375" s="303"/>
      <c r="K375" s="303"/>
      <c r="L375" s="303"/>
      <c r="M375" s="304"/>
    </row>
    <row r="376" spans="1:13" ht="18" customHeight="1" x14ac:dyDescent="0.25">
      <c r="A376" s="75"/>
      <c r="B376" s="305"/>
      <c r="C376" s="306"/>
      <c r="D376" s="306"/>
      <c r="E376" s="306"/>
      <c r="F376" s="306"/>
      <c r="G376" s="306"/>
      <c r="H376" s="306"/>
      <c r="I376" s="306"/>
      <c r="J376" s="306"/>
      <c r="K376" s="306"/>
      <c r="L376" s="306"/>
      <c r="M376" s="307"/>
    </row>
    <row r="377" spans="1:13" ht="18" customHeight="1" x14ac:dyDescent="0.25">
      <c r="A377" s="75"/>
    </row>
    <row r="378" spans="1:13" ht="18" customHeight="1" x14ac:dyDescent="0.25">
      <c r="A378" s="75"/>
    </row>
    <row r="379" spans="1:13" ht="18" customHeight="1" x14ac:dyDescent="0.25">
      <c r="B379" s="75" t="s">
        <v>411</v>
      </c>
    </row>
    <row r="380" spans="1:13" ht="18" customHeight="1" x14ac:dyDescent="0.25">
      <c r="B380" s="83" t="s">
        <v>412</v>
      </c>
      <c r="C380" s="83" t="s">
        <v>413</v>
      </c>
      <c r="G380" s="83" t="s">
        <v>412</v>
      </c>
      <c r="H380" s="83" t="s">
        <v>413</v>
      </c>
    </row>
    <row r="381" spans="1:13" ht="18" customHeight="1" x14ac:dyDescent="0.25">
      <c r="A381" s="10"/>
      <c r="B381" s="135">
        <v>30</v>
      </c>
      <c r="C381" s="135">
        <v>110</v>
      </c>
      <c r="G381" s="135">
        <v>30</v>
      </c>
      <c r="H381" s="135">
        <v>110</v>
      </c>
    </row>
    <row r="383" spans="1:13" ht="18" customHeight="1" x14ac:dyDescent="0.25">
      <c r="B383" s="3" t="s">
        <v>2</v>
      </c>
      <c r="C383" s="3" t="s">
        <v>289</v>
      </c>
      <c r="D383" s="3" t="s">
        <v>414</v>
      </c>
      <c r="G383" s="3" t="s">
        <v>2</v>
      </c>
      <c r="H383" s="3" t="s">
        <v>289</v>
      </c>
      <c r="I383" s="3" t="s">
        <v>414</v>
      </c>
    </row>
    <row r="384" spans="1:13" ht="18" customHeight="1" x14ac:dyDescent="0.25">
      <c r="A384" s="3">
        <v>1</v>
      </c>
      <c r="B384" s="198" t="s">
        <v>415</v>
      </c>
      <c r="C384" s="198" t="s">
        <v>416</v>
      </c>
      <c r="D384" s="198">
        <v>61</v>
      </c>
      <c r="E384" s="132">
        <f t="shared" ref="E384:E423" si="42">IF(AND(ISNUMBER(B$381),ISNUMBER(C$381),ISNUMBER(D384)),IF(AND(D384&gt;=B$381,D384&lt;=C$381),0,1),"")</f>
        <v>0</v>
      </c>
      <c r="G384" s="198" t="s">
        <v>415</v>
      </c>
      <c r="H384" s="198" t="s">
        <v>416</v>
      </c>
      <c r="I384" s="198">
        <v>61</v>
      </c>
      <c r="J384" s="132">
        <f t="shared" ref="J384:J423" si="43">IF(AND(ISNUMBER(G$381),ISNUMBER(H$381),ISNUMBER(I384)),IF(AND(I384&gt;=G$381,I384&lt;=H$381),0,1),"")</f>
        <v>0</v>
      </c>
    </row>
    <row r="385" spans="1:10" ht="18" customHeight="1" x14ac:dyDescent="0.25">
      <c r="A385" s="3">
        <v>2</v>
      </c>
      <c r="B385" s="198" t="s">
        <v>417</v>
      </c>
      <c r="C385" s="198" t="s">
        <v>418</v>
      </c>
      <c r="D385" s="198">
        <v>97</v>
      </c>
      <c r="E385" s="132">
        <f t="shared" si="42"/>
        <v>0</v>
      </c>
      <c r="G385" s="198" t="s">
        <v>417</v>
      </c>
      <c r="H385" s="198" t="s">
        <v>418</v>
      </c>
      <c r="I385" s="198">
        <v>97</v>
      </c>
      <c r="J385" s="132">
        <f t="shared" si="43"/>
        <v>0</v>
      </c>
    </row>
    <row r="386" spans="1:10" ht="18" customHeight="1" x14ac:dyDescent="0.25">
      <c r="A386" s="3">
        <v>3</v>
      </c>
      <c r="B386" s="198" t="s">
        <v>419</v>
      </c>
      <c r="C386" s="198" t="s">
        <v>420</v>
      </c>
      <c r="D386" s="198">
        <v>93</v>
      </c>
      <c r="E386" s="132">
        <f t="shared" si="42"/>
        <v>0</v>
      </c>
      <c r="G386" s="198" t="s">
        <v>419</v>
      </c>
      <c r="H386" s="198" t="s">
        <v>420</v>
      </c>
      <c r="I386" s="198">
        <v>93</v>
      </c>
      <c r="J386" s="132">
        <f t="shared" si="43"/>
        <v>0</v>
      </c>
    </row>
    <row r="387" spans="1:10" ht="18" customHeight="1" x14ac:dyDescent="0.25">
      <c r="A387" s="3">
        <v>4</v>
      </c>
      <c r="B387" s="198" t="s">
        <v>421</v>
      </c>
      <c r="C387" s="198" t="s">
        <v>422</v>
      </c>
      <c r="D387" s="198">
        <v>48</v>
      </c>
      <c r="E387" s="132">
        <f t="shared" si="42"/>
        <v>0</v>
      </c>
      <c r="G387" s="198" t="s">
        <v>421</v>
      </c>
      <c r="H387" s="198" t="s">
        <v>422</v>
      </c>
      <c r="I387" s="198">
        <v>48</v>
      </c>
      <c r="J387" s="132">
        <f t="shared" si="43"/>
        <v>0</v>
      </c>
    </row>
    <row r="388" spans="1:10" ht="18" customHeight="1" x14ac:dyDescent="0.25">
      <c r="A388" s="3">
        <v>5</v>
      </c>
      <c r="B388" s="198" t="s">
        <v>423</v>
      </c>
      <c r="C388" s="198" t="s">
        <v>424</v>
      </c>
      <c r="D388" s="198">
        <v>52</v>
      </c>
      <c r="E388" s="132">
        <f t="shared" si="42"/>
        <v>0</v>
      </c>
      <c r="G388" s="198" t="s">
        <v>423</v>
      </c>
      <c r="H388" s="198" t="s">
        <v>424</v>
      </c>
      <c r="I388" s="198">
        <v>52</v>
      </c>
      <c r="J388" s="132">
        <f t="shared" si="43"/>
        <v>0</v>
      </c>
    </row>
    <row r="389" spans="1:10" ht="18" customHeight="1" x14ac:dyDescent="0.25">
      <c r="A389" s="3">
        <v>6</v>
      </c>
      <c r="B389" s="198" t="s">
        <v>425</v>
      </c>
      <c r="C389" s="198" t="s">
        <v>426</v>
      </c>
      <c r="D389" s="198">
        <v>52</v>
      </c>
      <c r="E389" s="132">
        <f t="shared" si="42"/>
        <v>0</v>
      </c>
      <c r="G389" s="198" t="s">
        <v>425</v>
      </c>
      <c r="H389" s="198" t="s">
        <v>426</v>
      </c>
      <c r="I389" s="198">
        <v>52</v>
      </c>
      <c r="J389" s="132">
        <f t="shared" si="43"/>
        <v>0</v>
      </c>
    </row>
    <row r="390" spans="1:10" ht="18" customHeight="1" x14ac:dyDescent="0.25">
      <c r="A390" s="3">
        <v>7</v>
      </c>
      <c r="B390" s="198" t="s">
        <v>427</v>
      </c>
      <c r="C390" s="198" t="s">
        <v>428</v>
      </c>
      <c r="D390" s="198">
        <v>41</v>
      </c>
      <c r="E390" s="132">
        <f t="shared" si="42"/>
        <v>0</v>
      </c>
      <c r="G390" s="198" t="s">
        <v>427</v>
      </c>
      <c r="H390" s="198" t="s">
        <v>428</v>
      </c>
      <c r="I390" s="198">
        <v>41</v>
      </c>
      <c r="J390" s="132">
        <f t="shared" si="43"/>
        <v>0</v>
      </c>
    </row>
    <row r="391" spans="1:10" ht="18" customHeight="1" x14ac:dyDescent="0.25">
      <c r="A391" s="3">
        <v>8</v>
      </c>
      <c r="B391" s="198" t="s">
        <v>429</v>
      </c>
      <c r="C391" s="198" t="s">
        <v>430</v>
      </c>
      <c r="D391" s="198">
        <v>75</v>
      </c>
      <c r="E391" s="132">
        <f t="shared" si="42"/>
        <v>0</v>
      </c>
      <c r="G391" s="198" t="s">
        <v>429</v>
      </c>
      <c r="H391" s="198" t="s">
        <v>430</v>
      </c>
      <c r="I391" s="198">
        <v>75</v>
      </c>
      <c r="J391" s="132">
        <f t="shared" si="43"/>
        <v>0</v>
      </c>
    </row>
    <row r="392" spans="1:10" ht="18" customHeight="1" x14ac:dyDescent="0.25">
      <c r="A392" s="3">
        <v>9</v>
      </c>
      <c r="B392" s="198" t="s">
        <v>431</v>
      </c>
      <c r="C392" s="198" t="s">
        <v>432</v>
      </c>
      <c r="D392" s="198">
        <v>123</v>
      </c>
      <c r="E392" s="132">
        <f t="shared" si="42"/>
        <v>1</v>
      </c>
      <c r="G392" s="198" t="s">
        <v>431</v>
      </c>
      <c r="H392" s="198" t="s">
        <v>432</v>
      </c>
      <c r="I392" s="198">
        <v>123</v>
      </c>
      <c r="J392" s="132">
        <f t="shared" si="43"/>
        <v>1</v>
      </c>
    </row>
    <row r="393" spans="1:10" ht="18" customHeight="1" x14ac:dyDescent="0.25">
      <c r="A393" s="3">
        <v>10</v>
      </c>
      <c r="B393" s="198" t="s">
        <v>433</v>
      </c>
      <c r="C393" s="198" t="s">
        <v>434</v>
      </c>
      <c r="D393" s="198">
        <v>55</v>
      </c>
      <c r="E393" s="132">
        <f t="shared" si="42"/>
        <v>0</v>
      </c>
      <c r="G393" s="198" t="s">
        <v>433</v>
      </c>
      <c r="H393" s="198" t="s">
        <v>434</v>
      </c>
      <c r="I393" s="198">
        <v>55</v>
      </c>
      <c r="J393" s="132">
        <f t="shared" si="43"/>
        <v>0</v>
      </c>
    </row>
    <row r="394" spans="1:10" ht="18" customHeight="1" x14ac:dyDescent="0.25">
      <c r="A394" s="3">
        <v>11</v>
      </c>
      <c r="B394" s="198" t="s">
        <v>435</v>
      </c>
      <c r="C394" s="198" t="s">
        <v>436</v>
      </c>
      <c r="D394" s="198">
        <v>56</v>
      </c>
      <c r="E394" s="132">
        <f t="shared" si="42"/>
        <v>0</v>
      </c>
      <c r="G394" s="198" t="s">
        <v>435</v>
      </c>
      <c r="H394" s="198" t="s">
        <v>436</v>
      </c>
      <c r="I394" s="198">
        <v>56</v>
      </c>
      <c r="J394" s="132">
        <f t="shared" si="43"/>
        <v>0</v>
      </c>
    </row>
    <row r="395" spans="1:10" ht="18" customHeight="1" x14ac:dyDescent="0.25">
      <c r="A395" s="3">
        <v>12</v>
      </c>
      <c r="B395" s="198" t="s">
        <v>437</v>
      </c>
      <c r="C395" s="198" t="s">
        <v>438</v>
      </c>
      <c r="D395" s="198">
        <v>111</v>
      </c>
      <c r="E395" s="132">
        <f t="shared" si="42"/>
        <v>1</v>
      </c>
      <c r="G395" s="198" t="s">
        <v>437</v>
      </c>
      <c r="H395" s="198" t="s">
        <v>438</v>
      </c>
      <c r="I395" s="198">
        <v>111</v>
      </c>
      <c r="J395" s="132">
        <f t="shared" si="43"/>
        <v>1</v>
      </c>
    </row>
    <row r="396" spans="1:10" ht="18" customHeight="1" x14ac:dyDescent="0.25">
      <c r="A396" s="3">
        <v>13</v>
      </c>
      <c r="B396" s="198" t="s">
        <v>439</v>
      </c>
      <c r="C396" s="198" t="s">
        <v>440</v>
      </c>
      <c r="D396" s="198">
        <v>74</v>
      </c>
      <c r="E396" s="132">
        <f t="shared" si="42"/>
        <v>0</v>
      </c>
      <c r="G396" s="198" t="s">
        <v>439</v>
      </c>
      <c r="H396" s="198" t="s">
        <v>440</v>
      </c>
      <c r="I396" s="198">
        <v>74</v>
      </c>
      <c r="J396" s="132">
        <f t="shared" si="43"/>
        <v>0</v>
      </c>
    </row>
    <row r="397" spans="1:10" ht="18" customHeight="1" x14ac:dyDescent="0.25">
      <c r="A397" s="3">
        <v>14</v>
      </c>
      <c r="B397" s="198" t="s">
        <v>441</v>
      </c>
      <c r="C397" s="198" t="s">
        <v>442</v>
      </c>
      <c r="D397" s="198">
        <v>73</v>
      </c>
      <c r="E397" s="132">
        <f t="shared" si="42"/>
        <v>0</v>
      </c>
      <c r="G397" s="198" t="s">
        <v>441</v>
      </c>
      <c r="H397" s="198" t="s">
        <v>442</v>
      </c>
      <c r="I397" s="198">
        <v>73</v>
      </c>
      <c r="J397" s="132">
        <f t="shared" si="43"/>
        <v>0</v>
      </c>
    </row>
    <row r="398" spans="1:10" ht="18" customHeight="1" x14ac:dyDescent="0.25">
      <c r="A398" s="3">
        <v>15</v>
      </c>
      <c r="B398" s="198" t="s">
        <v>443</v>
      </c>
      <c r="C398" s="198" t="s">
        <v>444</v>
      </c>
      <c r="D398" s="198">
        <v>67</v>
      </c>
      <c r="E398" s="132">
        <f t="shared" si="42"/>
        <v>0</v>
      </c>
      <c r="G398" s="198" t="s">
        <v>443</v>
      </c>
      <c r="H398" s="198" t="s">
        <v>444</v>
      </c>
      <c r="I398" s="198">
        <v>67</v>
      </c>
      <c r="J398" s="132">
        <f t="shared" si="43"/>
        <v>0</v>
      </c>
    </row>
    <row r="399" spans="1:10" ht="18" customHeight="1" x14ac:dyDescent="0.25">
      <c r="A399" s="3">
        <v>16</v>
      </c>
      <c r="B399" s="198" t="s">
        <v>445</v>
      </c>
      <c r="C399" s="198" t="s">
        <v>446</v>
      </c>
      <c r="D399" s="198">
        <v>95</v>
      </c>
      <c r="E399" s="132">
        <f t="shared" si="42"/>
        <v>0</v>
      </c>
      <c r="G399" s="198" t="s">
        <v>445</v>
      </c>
      <c r="H399" s="198" t="s">
        <v>446</v>
      </c>
      <c r="I399" s="198">
        <v>95</v>
      </c>
      <c r="J399" s="132">
        <f t="shared" si="43"/>
        <v>0</v>
      </c>
    </row>
    <row r="400" spans="1:10" ht="18" customHeight="1" x14ac:dyDescent="0.25">
      <c r="A400" s="3">
        <v>17</v>
      </c>
      <c r="B400" s="198" t="s">
        <v>447</v>
      </c>
      <c r="C400" s="198" t="s">
        <v>448</v>
      </c>
      <c r="D400" s="198">
        <v>55</v>
      </c>
      <c r="E400" s="132">
        <f t="shared" si="42"/>
        <v>0</v>
      </c>
      <c r="G400" s="198" t="s">
        <v>447</v>
      </c>
      <c r="H400" s="198" t="s">
        <v>448</v>
      </c>
      <c r="I400" s="198">
        <v>55</v>
      </c>
      <c r="J400" s="132">
        <f t="shared" si="43"/>
        <v>0</v>
      </c>
    </row>
    <row r="401" spans="1:10" ht="18" customHeight="1" x14ac:dyDescent="0.25">
      <c r="A401" s="3">
        <v>18</v>
      </c>
      <c r="B401" s="198" t="s">
        <v>449</v>
      </c>
      <c r="C401" s="198" t="s">
        <v>450</v>
      </c>
      <c r="D401" s="198">
        <v>44</v>
      </c>
      <c r="E401" s="132">
        <f t="shared" si="42"/>
        <v>0</v>
      </c>
      <c r="G401" s="198" t="s">
        <v>449</v>
      </c>
      <c r="H401" s="198" t="s">
        <v>450</v>
      </c>
      <c r="I401" s="198">
        <v>44</v>
      </c>
      <c r="J401" s="132">
        <f t="shared" si="43"/>
        <v>0</v>
      </c>
    </row>
    <row r="402" spans="1:10" ht="18" customHeight="1" x14ac:dyDescent="0.25">
      <c r="A402" s="3">
        <v>19</v>
      </c>
      <c r="B402" s="198" t="s">
        <v>451</v>
      </c>
      <c r="C402" s="198" t="s">
        <v>452</v>
      </c>
      <c r="D402" s="198">
        <v>59</v>
      </c>
      <c r="E402" s="132">
        <f t="shared" si="42"/>
        <v>0</v>
      </c>
      <c r="G402" s="198" t="s">
        <v>451</v>
      </c>
      <c r="H402" s="198" t="s">
        <v>452</v>
      </c>
      <c r="I402" s="198">
        <v>59</v>
      </c>
      <c r="J402" s="132">
        <f t="shared" si="43"/>
        <v>0</v>
      </c>
    </row>
    <row r="403" spans="1:10" ht="18" customHeight="1" x14ac:dyDescent="0.25">
      <c r="A403" s="3">
        <v>20</v>
      </c>
      <c r="B403" s="198" t="s">
        <v>453</v>
      </c>
      <c r="C403" s="198" t="s">
        <v>454</v>
      </c>
      <c r="D403" s="198">
        <v>112</v>
      </c>
      <c r="E403" s="132">
        <f t="shared" si="42"/>
        <v>1</v>
      </c>
      <c r="G403" s="198" t="s">
        <v>453</v>
      </c>
      <c r="H403" s="198" t="s">
        <v>454</v>
      </c>
      <c r="I403" s="198">
        <v>112</v>
      </c>
      <c r="J403" s="132">
        <f t="shared" si="43"/>
        <v>1</v>
      </c>
    </row>
    <row r="404" spans="1:10" ht="18" customHeight="1" x14ac:dyDescent="0.25">
      <c r="A404" s="3">
        <v>21</v>
      </c>
      <c r="B404" s="198"/>
      <c r="C404" s="198"/>
      <c r="D404" s="198"/>
      <c r="E404" s="132" t="str">
        <f t="shared" si="42"/>
        <v/>
      </c>
      <c r="G404" s="198" t="s">
        <v>455</v>
      </c>
      <c r="H404" s="198" t="s">
        <v>456</v>
      </c>
      <c r="I404" s="198">
        <v>95</v>
      </c>
      <c r="J404" s="132">
        <f t="shared" si="43"/>
        <v>0</v>
      </c>
    </row>
    <row r="405" spans="1:10" ht="18" customHeight="1" x14ac:dyDescent="0.25">
      <c r="A405" s="3">
        <v>22</v>
      </c>
      <c r="B405" s="198"/>
      <c r="C405" s="198"/>
      <c r="D405" s="198"/>
      <c r="E405" s="132" t="str">
        <f t="shared" si="42"/>
        <v/>
      </c>
      <c r="G405" s="198" t="s">
        <v>457</v>
      </c>
      <c r="H405" s="198" t="s">
        <v>458</v>
      </c>
      <c r="I405" s="198">
        <v>90</v>
      </c>
      <c r="J405" s="132">
        <f t="shared" si="43"/>
        <v>0</v>
      </c>
    </row>
    <row r="406" spans="1:10" ht="18" customHeight="1" x14ac:dyDescent="0.25">
      <c r="A406" s="3">
        <v>23</v>
      </c>
      <c r="B406" s="198"/>
      <c r="C406" s="198"/>
      <c r="D406" s="198"/>
      <c r="E406" s="132" t="str">
        <f t="shared" si="42"/>
        <v/>
      </c>
      <c r="G406" s="198" t="s">
        <v>459</v>
      </c>
      <c r="H406" s="198" t="s">
        <v>460</v>
      </c>
      <c r="I406" s="198">
        <v>44</v>
      </c>
      <c r="J406" s="132">
        <f t="shared" si="43"/>
        <v>0</v>
      </c>
    </row>
    <row r="407" spans="1:10" ht="18" customHeight="1" x14ac:dyDescent="0.25">
      <c r="A407" s="3">
        <v>24</v>
      </c>
      <c r="B407" s="198"/>
      <c r="C407" s="198"/>
      <c r="D407" s="198"/>
      <c r="E407" s="132" t="str">
        <f t="shared" si="42"/>
        <v/>
      </c>
      <c r="G407" s="198" t="s">
        <v>461</v>
      </c>
      <c r="H407" s="198" t="s">
        <v>462</v>
      </c>
      <c r="I407" s="198">
        <v>65</v>
      </c>
      <c r="J407" s="132">
        <f t="shared" si="43"/>
        <v>0</v>
      </c>
    </row>
    <row r="408" spans="1:10" ht="18" customHeight="1" x14ac:dyDescent="0.25">
      <c r="A408" s="3">
        <v>25</v>
      </c>
      <c r="B408" s="198"/>
      <c r="C408" s="198"/>
      <c r="D408" s="198"/>
      <c r="E408" s="132" t="str">
        <f t="shared" si="42"/>
        <v/>
      </c>
      <c r="G408" s="198" t="s">
        <v>463</v>
      </c>
      <c r="H408" s="198" t="s">
        <v>464</v>
      </c>
      <c r="I408" s="198">
        <v>62</v>
      </c>
      <c r="J408" s="132">
        <f t="shared" si="43"/>
        <v>0</v>
      </c>
    </row>
    <row r="409" spans="1:10" ht="18" customHeight="1" x14ac:dyDescent="0.25">
      <c r="A409" s="3">
        <v>26</v>
      </c>
      <c r="B409" s="198"/>
      <c r="C409" s="198"/>
      <c r="D409" s="198"/>
      <c r="E409" s="132" t="str">
        <f t="shared" si="42"/>
        <v/>
      </c>
      <c r="G409" s="198" t="s">
        <v>465</v>
      </c>
      <c r="H409" s="198" t="s">
        <v>466</v>
      </c>
      <c r="I409" s="198">
        <v>46</v>
      </c>
      <c r="J409" s="132">
        <f t="shared" si="43"/>
        <v>0</v>
      </c>
    </row>
    <row r="410" spans="1:10" ht="18" customHeight="1" x14ac:dyDescent="0.25">
      <c r="A410" s="3">
        <v>27</v>
      </c>
      <c r="B410" s="198"/>
      <c r="C410" s="198"/>
      <c r="D410" s="198"/>
      <c r="E410" s="132" t="str">
        <f t="shared" si="42"/>
        <v/>
      </c>
      <c r="G410" s="198" t="s">
        <v>467</v>
      </c>
      <c r="H410" s="198" t="s">
        <v>468</v>
      </c>
      <c r="I410" s="198">
        <v>97</v>
      </c>
      <c r="J410" s="132">
        <f t="shared" si="43"/>
        <v>0</v>
      </c>
    </row>
    <row r="411" spans="1:10" ht="18" customHeight="1" x14ac:dyDescent="0.25">
      <c r="A411" s="3">
        <v>28</v>
      </c>
      <c r="B411" s="198"/>
      <c r="C411" s="198"/>
      <c r="D411" s="198"/>
      <c r="E411" s="132" t="str">
        <f t="shared" si="42"/>
        <v/>
      </c>
      <c r="G411" s="198" t="s">
        <v>469</v>
      </c>
      <c r="H411" s="198" t="s">
        <v>470</v>
      </c>
      <c r="I411" s="198">
        <v>56</v>
      </c>
      <c r="J411" s="132">
        <f t="shared" si="43"/>
        <v>0</v>
      </c>
    </row>
    <row r="412" spans="1:10" ht="18" customHeight="1" x14ac:dyDescent="0.25">
      <c r="A412" s="3">
        <v>29</v>
      </c>
      <c r="B412" s="198"/>
      <c r="C412" s="198"/>
      <c r="D412" s="198"/>
      <c r="E412" s="132" t="str">
        <f t="shared" si="42"/>
        <v/>
      </c>
      <c r="G412" s="198" t="s">
        <v>471</v>
      </c>
      <c r="H412" s="198" t="s">
        <v>472</v>
      </c>
      <c r="I412" s="198">
        <v>70</v>
      </c>
      <c r="J412" s="132">
        <f t="shared" si="43"/>
        <v>0</v>
      </c>
    </row>
    <row r="413" spans="1:10" ht="18" customHeight="1" x14ac:dyDescent="0.25">
      <c r="A413" s="3">
        <v>30</v>
      </c>
      <c r="B413" s="198"/>
      <c r="C413" s="198"/>
      <c r="D413" s="198"/>
      <c r="E413" s="132" t="str">
        <f t="shared" si="42"/>
        <v/>
      </c>
      <c r="G413" s="198" t="s">
        <v>473</v>
      </c>
      <c r="H413" s="198" t="s">
        <v>474</v>
      </c>
      <c r="I413" s="198">
        <v>71</v>
      </c>
      <c r="J413" s="132">
        <f t="shared" si="43"/>
        <v>0</v>
      </c>
    </row>
    <row r="414" spans="1:10" ht="18" customHeight="1" x14ac:dyDescent="0.25">
      <c r="A414" s="3">
        <v>31</v>
      </c>
      <c r="B414" s="198"/>
      <c r="C414" s="198"/>
      <c r="D414" s="198"/>
      <c r="E414" s="132" t="str">
        <f t="shared" si="42"/>
        <v/>
      </c>
      <c r="G414" s="198" t="s">
        <v>475</v>
      </c>
      <c r="H414" s="198" t="s">
        <v>476</v>
      </c>
      <c r="I414" s="198">
        <v>48</v>
      </c>
      <c r="J414" s="132">
        <f t="shared" si="43"/>
        <v>0</v>
      </c>
    </row>
    <row r="415" spans="1:10" ht="18" customHeight="1" x14ac:dyDescent="0.25">
      <c r="A415" s="3">
        <v>32</v>
      </c>
      <c r="B415" s="198"/>
      <c r="C415" s="198"/>
      <c r="D415" s="198"/>
      <c r="E415" s="132" t="str">
        <f t="shared" si="42"/>
        <v/>
      </c>
      <c r="G415" s="198" t="s">
        <v>477</v>
      </c>
      <c r="H415" s="198" t="s">
        <v>478</v>
      </c>
      <c r="I415" s="198">
        <v>64</v>
      </c>
      <c r="J415" s="132">
        <f t="shared" si="43"/>
        <v>0</v>
      </c>
    </row>
    <row r="416" spans="1:10" ht="18" customHeight="1" x14ac:dyDescent="0.25">
      <c r="A416" s="3">
        <v>33</v>
      </c>
      <c r="B416" s="198"/>
      <c r="C416" s="198"/>
      <c r="D416" s="198"/>
      <c r="E416" s="132" t="str">
        <f t="shared" si="42"/>
        <v/>
      </c>
      <c r="G416" s="198" t="s">
        <v>479</v>
      </c>
      <c r="H416" s="198" t="s">
        <v>480</v>
      </c>
      <c r="I416" s="198">
        <v>44</v>
      </c>
      <c r="J416" s="132">
        <f t="shared" si="43"/>
        <v>0</v>
      </c>
    </row>
    <row r="417" spans="1:10" ht="18" customHeight="1" x14ac:dyDescent="0.25">
      <c r="A417" s="3">
        <v>34</v>
      </c>
      <c r="B417" s="198"/>
      <c r="C417" s="198"/>
      <c r="D417" s="198"/>
      <c r="E417" s="132" t="str">
        <f t="shared" si="42"/>
        <v/>
      </c>
      <c r="G417" s="198" t="s">
        <v>481</v>
      </c>
      <c r="H417" s="198" t="s">
        <v>482</v>
      </c>
      <c r="I417" s="198">
        <v>75</v>
      </c>
      <c r="J417" s="132">
        <f t="shared" si="43"/>
        <v>0</v>
      </c>
    </row>
    <row r="418" spans="1:10" ht="18" customHeight="1" x14ac:dyDescent="0.25">
      <c r="A418" s="3">
        <v>35</v>
      </c>
      <c r="B418" s="198"/>
      <c r="C418" s="198"/>
      <c r="D418" s="198"/>
      <c r="E418" s="132" t="str">
        <f t="shared" si="42"/>
        <v/>
      </c>
      <c r="G418" s="198" t="s">
        <v>483</v>
      </c>
      <c r="H418" s="198" t="s">
        <v>484</v>
      </c>
      <c r="I418" s="198">
        <v>57</v>
      </c>
      <c r="J418" s="132">
        <f t="shared" si="43"/>
        <v>0</v>
      </c>
    </row>
    <row r="419" spans="1:10" ht="18" customHeight="1" x14ac:dyDescent="0.25">
      <c r="A419" s="3">
        <v>36</v>
      </c>
      <c r="B419" s="198"/>
      <c r="C419" s="198"/>
      <c r="D419" s="198"/>
      <c r="E419" s="132" t="str">
        <f t="shared" si="42"/>
        <v/>
      </c>
      <c r="G419" s="198" t="s">
        <v>485</v>
      </c>
      <c r="H419" s="198" t="s">
        <v>486</v>
      </c>
      <c r="I419" s="198">
        <v>52</v>
      </c>
      <c r="J419" s="132">
        <f t="shared" si="43"/>
        <v>0</v>
      </c>
    </row>
    <row r="420" spans="1:10" ht="18" customHeight="1" x14ac:dyDescent="0.25">
      <c r="A420" s="3">
        <v>37</v>
      </c>
      <c r="B420" s="198"/>
      <c r="C420" s="198"/>
      <c r="D420" s="198"/>
      <c r="E420" s="132" t="str">
        <f t="shared" si="42"/>
        <v/>
      </c>
      <c r="G420" s="198" t="s">
        <v>487</v>
      </c>
      <c r="H420" s="198" t="s">
        <v>488</v>
      </c>
      <c r="I420" s="198">
        <v>69</v>
      </c>
      <c r="J420" s="132">
        <f t="shared" si="43"/>
        <v>0</v>
      </c>
    </row>
    <row r="421" spans="1:10" ht="18" customHeight="1" x14ac:dyDescent="0.25">
      <c r="A421" s="3">
        <v>38</v>
      </c>
      <c r="B421" s="198"/>
      <c r="C421" s="198"/>
      <c r="D421" s="198"/>
      <c r="E421" s="132" t="str">
        <f t="shared" si="42"/>
        <v/>
      </c>
      <c r="G421" s="198" t="s">
        <v>489</v>
      </c>
      <c r="H421" s="198" t="s">
        <v>490</v>
      </c>
      <c r="I421" s="198">
        <v>95</v>
      </c>
      <c r="J421" s="132">
        <f t="shared" si="43"/>
        <v>0</v>
      </c>
    </row>
    <row r="422" spans="1:10" ht="18" customHeight="1" x14ac:dyDescent="0.25">
      <c r="A422" s="3">
        <v>39</v>
      </c>
      <c r="B422" s="198"/>
      <c r="C422" s="198"/>
      <c r="D422" s="198"/>
      <c r="E422" s="132" t="str">
        <f t="shared" si="42"/>
        <v/>
      </c>
      <c r="G422" s="198" t="s">
        <v>491</v>
      </c>
      <c r="H422" s="198" t="s">
        <v>492</v>
      </c>
      <c r="I422" s="198">
        <v>51</v>
      </c>
      <c r="J422" s="132">
        <f t="shared" si="43"/>
        <v>0</v>
      </c>
    </row>
    <row r="423" spans="1:10" ht="18" customHeight="1" x14ac:dyDescent="0.25">
      <c r="A423" s="3">
        <v>40</v>
      </c>
      <c r="B423" s="198"/>
      <c r="C423" s="198"/>
      <c r="D423" s="198"/>
      <c r="E423" s="132" t="str">
        <f t="shared" si="42"/>
        <v/>
      </c>
      <c r="G423" s="198" t="s">
        <v>493</v>
      </c>
      <c r="H423" s="198" t="s">
        <v>494</v>
      </c>
      <c r="I423" s="198">
        <v>74</v>
      </c>
      <c r="J423" s="132">
        <f t="shared" si="43"/>
        <v>0</v>
      </c>
    </row>
    <row r="426" spans="1:10" ht="18" customHeight="1" x14ac:dyDescent="0.25">
      <c r="C426" s="104" t="s">
        <v>495</v>
      </c>
      <c r="D426" s="132" t="str">
        <f>IF(ISNUMBER(D429),IF(D429&gt;=0.05,"Pass","Fail"),"")</f>
        <v>Fail</v>
      </c>
      <c r="H426" s="104" t="s">
        <v>495</v>
      </c>
      <c r="I426" s="132" t="str">
        <f>IF(ISNUMBER(I429),IF(I429&gt;=0.05,"Pass","Fail"),"")</f>
        <v>Pass</v>
      </c>
    </row>
    <row r="427" spans="1:10" ht="18" customHeight="1" x14ac:dyDescent="0.25">
      <c r="C427" s="187" t="s">
        <v>139</v>
      </c>
      <c r="D427" s="132">
        <f>COUNT(E384:E423)</f>
        <v>20</v>
      </c>
      <c r="H427" s="187" t="s">
        <v>139</v>
      </c>
      <c r="I427" s="132">
        <f>COUNT(J384:J423)</f>
        <v>40</v>
      </c>
    </row>
    <row r="428" spans="1:10" ht="18" customHeight="1" x14ac:dyDescent="0.25">
      <c r="C428" s="187" t="s">
        <v>496</v>
      </c>
      <c r="D428" s="132">
        <f>SUM(E384:E423)</f>
        <v>3</v>
      </c>
      <c r="H428" s="187" t="s">
        <v>496</v>
      </c>
      <c r="I428" s="132">
        <f>SUM(J384:J423)</f>
        <v>3</v>
      </c>
    </row>
    <row r="429" spans="1:10" ht="18" customHeight="1" x14ac:dyDescent="0.25">
      <c r="C429" s="187" t="s">
        <v>497</v>
      </c>
      <c r="D429" s="132">
        <f>IF(D427&gt;0,1-_xlfn.BINOM.DIST(D428,D427,0.05,TRUE()),"")</f>
        <v>1.590152601976369E-2</v>
      </c>
      <c r="H429" s="187" t="s">
        <v>497</v>
      </c>
      <c r="I429" s="132">
        <f>IF(I427&gt;0,1-_xlfn.BINOM.DIST(I428,I427,0.05,TRUE()),"")</f>
        <v>0.13814977550106611</v>
      </c>
    </row>
    <row r="432" spans="1:10" s="106" customFormat="1" ht="18" customHeight="1" x14ac:dyDescent="0.25">
      <c r="B432" s="106" t="s">
        <v>498</v>
      </c>
    </row>
    <row r="434" spans="1:24" s="202" customFormat="1" ht="18" customHeight="1" x14ac:dyDescent="0.25">
      <c r="B434" s="203" t="s">
        <v>499</v>
      </c>
      <c r="C434" s="203"/>
      <c r="D434" s="203"/>
      <c r="E434" s="203" t="s">
        <v>287</v>
      </c>
    </row>
    <row r="435" spans="1:24" s="202" customFormat="1" ht="18" customHeight="1" x14ac:dyDescent="0.25">
      <c r="B435" s="308"/>
      <c r="C435" s="309"/>
      <c r="D435" s="204"/>
      <c r="E435" s="308"/>
      <c r="F435" s="309"/>
      <c r="G435" s="204"/>
      <c r="H435" s="204"/>
      <c r="I435" s="204"/>
      <c r="J435" s="204"/>
      <c r="K435" s="204"/>
    </row>
    <row r="436" spans="1:24" s="202" customFormat="1" ht="18" customHeight="1" x14ac:dyDescent="0.25">
      <c r="B436" s="203" t="s">
        <v>315</v>
      </c>
      <c r="C436" s="203"/>
      <c r="D436" s="203"/>
      <c r="E436" s="203" t="s">
        <v>288</v>
      </c>
    </row>
    <row r="437" spans="1:24" s="202" customFormat="1" ht="18" customHeight="1" x14ac:dyDescent="0.25">
      <c r="B437" s="308"/>
      <c r="C437" s="309"/>
      <c r="D437" s="204"/>
      <c r="E437" s="308"/>
      <c r="F437" s="309"/>
      <c r="G437" s="204"/>
      <c r="H437" s="204"/>
      <c r="I437" s="204"/>
      <c r="J437" s="204"/>
      <c r="K437" s="204"/>
    </row>
    <row r="438" spans="1:24" s="202" customFormat="1" ht="18" customHeight="1" x14ac:dyDescent="0.25">
      <c r="A438" s="205"/>
    </row>
    <row r="439" spans="1:24" s="206" customFormat="1" ht="18" customHeight="1" x14ac:dyDescent="0.25">
      <c r="B439" s="207" t="s">
        <v>500</v>
      </c>
      <c r="C439" s="207"/>
    </row>
    <row r="440" spans="1:24" s="206" customFormat="1" ht="18" customHeight="1" x14ac:dyDescent="0.25"/>
    <row r="441" spans="1:24" s="206" customFormat="1" ht="18" customHeight="1" x14ac:dyDescent="0.25">
      <c r="B441" s="294" t="s">
        <v>501</v>
      </c>
      <c r="C441" s="294"/>
      <c r="D441" s="208">
        <v>0.9</v>
      </c>
      <c r="E441" s="209" t="str">
        <f>G4</f>
        <v>ng/L</v>
      </c>
    </row>
    <row r="442" spans="1:24" s="206" customFormat="1" ht="18" customHeight="1" x14ac:dyDescent="0.25"/>
    <row r="443" spans="1:24" s="202" customFormat="1" ht="18" customHeight="1" x14ac:dyDescent="0.25">
      <c r="C443" s="295" t="s">
        <v>502</v>
      </c>
      <c r="D443" s="295"/>
      <c r="E443" s="295"/>
      <c r="F443" s="295"/>
      <c r="G443" s="295"/>
      <c r="H443" s="210"/>
      <c r="I443" s="203"/>
      <c r="J443" s="211"/>
    </row>
    <row r="444" spans="1:24" s="202" customFormat="1" ht="18" customHeight="1" x14ac:dyDescent="0.25">
      <c r="C444" s="295"/>
      <c r="D444" s="295"/>
      <c r="E444" s="295"/>
      <c r="F444" s="295"/>
      <c r="G444" s="295"/>
      <c r="H444" s="210"/>
      <c r="I444" s="206"/>
      <c r="J444" s="296" t="s">
        <v>503</v>
      </c>
      <c r="K444" s="296"/>
      <c r="L444" s="296"/>
      <c r="M444" s="296"/>
      <c r="N444" s="296"/>
      <c r="O444" s="296"/>
      <c r="P444" s="296"/>
      <c r="Q444" s="296"/>
      <c r="V444" s="297" t="s">
        <v>504</v>
      </c>
      <c r="W444" s="297"/>
      <c r="X444" s="297"/>
    </row>
    <row r="445" spans="1:24" s="202" customFormat="1" ht="18" customHeight="1" x14ac:dyDescent="0.25">
      <c r="C445" s="212" t="s">
        <v>98</v>
      </c>
      <c r="D445" s="212" t="s">
        <v>505</v>
      </c>
      <c r="E445" s="212" t="s">
        <v>506</v>
      </c>
      <c r="F445" s="212" t="s">
        <v>507</v>
      </c>
      <c r="G445" s="212" t="s">
        <v>508</v>
      </c>
      <c r="J445" s="298" t="s">
        <v>509</v>
      </c>
      <c r="K445" s="298"/>
      <c r="L445" s="298"/>
      <c r="M445" s="298"/>
      <c r="N445" s="298" t="s">
        <v>510</v>
      </c>
      <c r="O445" s="298"/>
      <c r="P445" s="298"/>
      <c r="Q445" s="298"/>
      <c r="V445" s="214">
        <f t="shared" ref="V445:X453" si="44">IF(E446&lt;=$D$441,1,"")</f>
        <v>1</v>
      </c>
      <c r="W445" s="214">
        <f t="shared" si="44"/>
        <v>1</v>
      </c>
      <c r="X445" s="214">
        <f t="shared" si="44"/>
        <v>1</v>
      </c>
    </row>
    <row r="446" spans="1:24" s="202" customFormat="1" ht="18" customHeight="1" x14ac:dyDescent="0.25">
      <c r="C446" s="310" t="s">
        <v>100</v>
      </c>
      <c r="D446" s="215">
        <v>44857</v>
      </c>
      <c r="E446" s="216">
        <v>0.5</v>
      </c>
      <c r="F446" s="216">
        <v>0.8</v>
      </c>
      <c r="G446" s="216"/>
      <c r="J446" s="298">
        <v>20</v>
      </c>
      <c r="K446" s="298"/>
      <c r="L446" s="298"/>
      <c r="M446" s="298"/>
      <c r="N446" s="311">
        <f t="shared" ref="N446:N461" si="45">_xlfn.BINOM.INV(J446,0.95,0.05)/J446</f>
        <v>0.85</v>
      </c>
      <c r="O446" s="311"/>
      <c r="P446" s="311"/>
      <c r="Q446" s="311"/>
      <c r="V446" s="214">
        <f t="shared" si="44"/>
        <v>1</v>
      </c>
      <c r="W446" s="214">
        <f t="shared" si="44"/>
        <v>1</v>
      </c>
      <c r="X446" s="214">
        <f t="shared" si="44"/>
        <v>1</v>
      </c>
    </row>
    <row r="447" spans="1:24" s="202" customFormat="1" ht="18" customHeight="1" x14ac:dyDescent="0.25">
      <c r="C447" s="310"/>
      <c r="D447" s="215">
        <v>44857</v>
      </c>
      <c r="E447" s="216">
        <v>0.5</v>
      </c>
      <c r="F447" s="216">
        <v>0.5</v>
      </c>
      <c r="G447" s="216"/>
      <c r="J447" s="298">
        <v>30</v>
      </c>
      <c r="K447" s="298"/>
      <c r="L447" s="298"/>
      <c r="M447" s="298"/>
      <c r="N447" s="311">
        <f t="shared" si="45"/>
        <v>0.8666666666666667</v>
      </c>
      <c r="O447" s="311"/>
      <c r="P447" s="311"/>
      <c r="Q447" s="311"/>
      <c r="V447" s="214">
        <f t="shared" si="44"/>
        <v>1</v>
      </c>
      <c r="W447" s="214">
        <f t="shared" si="44"/>
        <v>1</v>
      </c>
      <c r="X447" s="214">
        <f t="shared" si="44"/>
        <v>1</v>
      </c>
    </row>
    <row r="448" spans="1:24" s="202" customFormat="1" ht="18" customHeight="1" x14ac:dyDescent="0.25">
      <c r="C448" s="310"/>
      <c r="D448" s="215">
        <v>44857</v>
      </c>
      <c r="E448" s="216">
        <v>0.6</v>
      </c>
      <c r="F448" s="216">
        <v>0.6</v>
      </c>
      <c r="G448" s="216"/>
      <c r="J448" s="298">
        <v>40</v>
      </c>
      <c r="K448" s="298"/>
      <c r="L448" s="298"/>
      <c r="M448" s="298"/>
      <c r="N448" s="311">
        <f t="shared" si="45"/>
        <v>0.9</v>
      </c>
      <c r="O448" s="311"/>
      <c r="P448" s="311"/>
      <c r="Q448" s="311"/>
      <c r="V448" s="214">
        <f t="shared" si="44"/>
        <v>1</v>
      </c>
      <c r="W448" s="214">
        <f t="shared" si="44"/>
        <v>1</v>
      </c>
      <c r="X448" s="214">
        <f t="shared" si="44"/>
        <v>1</v>
      </c>
    </row>
    <row r="449" spans="1:24" s="202" customFormat="1" ht="18" customHeight="1" x14ac:dyDescent="0.25">
      <c r="C449" s="310" t="s">
        <v>102</v>
      </c>
      <c r="D449" s="215">
        <v>44858</v>
      </c>
      <c r="E449" s="216">
        <v>0.7</v>
      </c>
      <c r="F449" s="216">
        <v>0.7</v>
      </c>
      <c r="G449" s="216"/>
      <c r="J449" s="298">
        <v>50</v>
      </c>
      <c r="K449" s="298"/>
      <c r="L449" s="298"/>
      <c r="M449" s="298"/>
      <c r="N449" s="311">
        <f t="shared" si="45"/>
        <v>0.9</v>
      </c>
      <c r="O449" s="311"/>
      <c r="P449" s="311"/>
      <c r="Q449" s="311"/>
      <c r="V449" s="214">
        <f t="shared" si="44"/>
        <v>1</v>
      </c>
      <c r="W449" s="214">
        <f t="shared" si="44"/>
        <v>1</v>
      </c>
      <c r="X449" s="214">
        <f t="shared" si="44"/>
        <v>1</v>
      </c>
    </row>
    <row r="450" spans="1:24" s="202" customFormat="1" ht="18" customHeight="1" x14ac:dyDescent="0.25">
      <c r="C450" s="310"/>
      <c r="D450" s="215">
        <v>44858</v>
      </c>
      <c r="E450" s="216">
        <v>0.7</v>
      </c>
      <c r="F450" s="216">
        <v>0.7</v>
      </c>
      <c r="G450" s="216"/>
      <c r="J450" s="298">
        <v>60</v>
      </c>
      <c r="K450" s="298"/>
      <c r="L450" s="298"/>
      <c r="M450" s="298"/>
      <c r="N450" s="311">
        <f t="shared" si="45"/>
        <v>0.9</v>
      </c>
      <c r="O450" s="311"/>
      <c r="P450" s="311"/>
      <c r="Q450" s="311"/>
      <c r="V450" s="214">
        <f t="shared" si="44"/>
        <v>1</v>
      </c>
      <c r="W450" s="214">
        <f t="shared" si="44"/>
        <v>1</v>
      </c>
      <c r="X450" s="214">
        <f t="shared" si="44"/>
        <v>1</v>
      </c>
    </row>
    <row r="451" spans="1:24" s="202" customFormat="1" ht="18" customHeight="1" x14ac:dyDescent="0.25">
      <c r="C451" s="310"/>
      <c r="D451" s="215">
        <v>44858</v>
      </c>
      <c r="E451" s="216">
        <v>0.8</v>
      </c>
      <c r="F451" s="216">
        <v>0.9</v>
      </c>
      <c r="G451" s="216"/>
      <c r="J451" s="298">
        <v>70</v>
      </c>
      <c r="K451" s="298"/>
      <c r="L451" s="298"/>
      <c r="M451" s="298"/>
      <c r="N451" s="311">
        <f t="shared" si="45"/>
        <v>0.9</v>
      </c>
      <c r="O451" s="311"/>
      <c r="P451" s="311"/>
      <c r="Q451" s="311"/>
      <c r="V451" s="214">
        <f t="shared" si="44"/>
        <v>1</v>
      </c>
      <c r="W451" s="214">
        <f t="shared" si="44"/>
        <v>1</v>
      </c>
      <c r="X451" s="214">
        <f t="shared" si="44"/>
        <v>1</v>
      </c>
    </row>
    <row r="452" spans="1:24" s="202" customFormat="1" ht="18" customHeight="1" x14ac:dyDescent="0.25">
      <c r="C452" s="310" t="s">
        <v>103</v>
      </c>
      <c r="D452" s="215">
        <v>44859</v>
      </c>
      <c r="E452" s="216">
        <v>0.5</v>
      </c>
      <c r="F452" s="216">
        <v>0.6</v>
      </c>
      <c r="G452" s="216"/>
      <c r="J452" s="298">
        <v>80</v>
      </c>
      <c r="K452" s="298"/>
      <c r="L452" s="298"/>
      <c r="M452" s="298"/>
      <c r="N452" s="311">
        <f t="shared" si="45"/>
        <v>0.91249999999999998</v>
      </c>
      <c r="O452" s="311"/>
      <c r="P452" s="311"/>
      <c r="Q452" s="311"/>
      <c r="V452" s="214">
        <f t="shared" si="44"/>
        <v>1</v>
      </c>
      <c r="W452" s="214">
        <f t="shared" si="44"/>
        <v>1</v>
      </c>
      <c r="X452" s="214">
        <f t="shared" si="44"/>
        <v>1</v>
      </c>
    </row>
    <row r="453" spans="1:24" s="202" customFormat="1" ht="18" customHeight="1" x14ac:dyDescent="0.25">
      <c r="C453" s="310"/>
      <c r="D453" s="215">
        <v>44859</v>
      </c>
      <c r="E453" s="216">
        <v>0.4</v>
      </c>
      <c r="F453" s="216">
        <v>0.5</v>
      </c>
      <c r="G453" s="216"/>
      <c r="J453" s="298">
        <v>90</v>
      </c>
      <c r="K453" s="298"/>
      <c r="L453" s="298"/>
      <c r="M453" s="298"/>
      <c r="N453" s="311">
        <f t="shared" si="45"/>
        <v>0.91111111111111109</v>
      </c>
      <c r="O453" s="311"/>
      <c r="P453" s="311"/>
      <c r="Q453" s="311"/>
      <c r="V453" s="214">
        <f t="shared" si="44"/>
        <v>1</v>
      </c>
      <c r="W453" s="214">
        <f t="shared" si="44"/>
        <v>1</v>
      </c>
      <c r="X453" s="214">
        <f t="shared" si="44"/>
        <v>1</v>
      </c>
    </row>
    <row r="454" spans="1:24" s="202" customFormat="1" ht="18" customHeight="1" x14ac:dyDescent="0.25">
      <c r="C454" s="310"/>
      <c r="D454" s="215">
        <v>44859</v>
      </c>
      <c r="E454" s="216">
        <v>0.6</v>
      </c>
      <c r="F454" s="216">
        <v>0.7</v>
      </c>
      <c r="G454" s="216"/>
      <c r="J454" s="298">
        <v>100</v>
      </c>
      <c r="K454" s="298"/>
      <c r="L454" s="298"/>
      <c r="M454" s="298"/>
      <c r="N454" s="311">
        <f t="shared" si="45"/>
        <v>0.91</v>
      </c>
      <c r="O454" s="311"/>
      <c r="P454" s="311"/>
      <c r="Q454" s="311"/>
      <c r="S454" s="313" t="s">
        <v>511</v>
      </c>
      <c r="T454" s="313"/>
      <c r="U454" s="214">
        <f>SUM(V445:X453)</f>
        <v>27</v>
      </c>
    </row>
    <row r="455" spans="1:24" s="202" customFormat="1" ht="18" customHeight="1" x14ac:dyDescent="0.25">
      <c r="J455" s="298">
        <v>150</v>
      </c>
      <c r="K455" s="298"/>
      <c r="L455" s="298"/>
      <c r="M455" s="298"/>
      <c r="N455" s="311">
        <f t="shared" si="45"/>
        <v>0.92</v>
      </c>
      <c r="O455" s="311"/>
      <c r="P455" s="311"/>
      <c r="Q455" s="311"/>
      <c r="S455" s="313" t="s">
        <v>512</v>
      </c>
      <c r="T455" s="313"/>
      <c r="U455" s="218">
        <f>U454/D457*100</f>
        <v>150</v>
      </c>
      <c r="V455" s="202" t="s">
        <v>513</v>
      </c>
    </row>
    <row r="456" spans="1:24" s="202" customFormat="1" ht="18" customHeight="1" x14ac:dyDescent="0.25">
      <c r="J456" s="298">
        <v>200</v>
      </c>
      <c r="K456" s="298"/>
      <c r="L456" s="298"/>
      <c r="M456" s="298"/>
      <c r="N456" s="311">
        <f t="shared" si="45"/>
        <v>0.92500000000000004</v>
      </c>
      <c r="O456" s="311"/>
      <c r="P456" s="311"/>
      <c r="Q456" s="311"/>
    </row>
    <row r="457" spans="1:24" s="202" customFormat="1" ht="18" customHeight="1" x14ac:dyDescent="0.25">
      <c r="B457" s="312" t="s">
        <v>514</v>
      </c>
      <c r="C457" s="312"/>
      <c r="D457" s="213">
        <f>COUNT(E446:G454)</f>
        <v>18</v>
      </c>
      <c r="F457" s="219" t="s">
        <v>515</v>
      </c>
      <c r="G457" s="214">
        <f>_xlfn.BINOM.INV($D457,0.95,0.05)</f>
        <v>15</v>
      </c>
      <c r="J457" s="298">
        <v>250</v>
      </c>
      <c r="K457" s="298"/>
      <c r="L457" s="298"/>
      <c r="M457" s="298"/>
      <c r="N457" s="311">
        <f t="shared" si="45"/>
        <v>0.92800000000000005</v>
      </c>
      <c r="O457" s="311"/>
      <c r="P457" s="311"/>
      <c r="Q457" s="311"/>
    </row>
    <row r="458" spans="1:24" s="202" customFormat="1" ht="18" customHeight="1" x14ac:dyDescent="0.25">
      <c r="B458" s="312" t="s">
        <v>516</v>
      </c>
      <c r="C458" s="312"/>
      <c r="D458" s="214">
        <f>AVERAGE(E446:G454)</f>
        <v>0.62777777777777777</v>
      </c>
      <c r="F458" s="219" t="s">
        <v>517</v>
      </c>
      <c r="G458" s="220">
        <f>G457/D457</f>
        <v>0.83333333333333337</v>
      </c>
      <c r="J458" s="298">
        <v>300</v>
      </c>
      <c r="K458" s="298"/>
      <c r="L458" s="298"/>
      <c r="M458" s="298"/>
      <c r="N458" s="311">
        <f t="shared" si="45"/>
        <v>0.93</v>
      </c>
      <c r="O458" s="311"/>
      <c r="P458" s="311"/>
      <c r="Q458" s="311"/>
    </row>
    <row r="459" spans="1:24" s="202" customFormat="1" ht="18" customHeight="1" x14ac:dyDescent="0.25">
      <c r="B459" s="312" t="s">
        <v>518</v>
      </c>
      <c r="C459" s="312"/>
      <c r="D459" s="214">
        <f>_xlfn.STDEV.P(E446:G454)</f>
        <v>0.12825995978461377</v>
      </c>
      <c r="J459" s="298">
        <v>400</v>
      </c>
      <c r="K459" s="298"/>
      <c r="L459" s="298"/>
      <c r="M459" s="298"/>
      <c r="N459" s="311">
        <f t="shared" si="45"/>
        <v>0.9325</v>
      </c>
      <c r="O459" s="311"/>
      <c r="P459" s="311"/>
      <c r="Q459" s="311"/>
    </row>
    <row r="460" spans="1:24" s="202" customFormat="1" ht="18" customHeight="1" x14ac:dyDescent="0.25">
      <c r="A460" s="317" t="s">
        <v>519</v>
      </c>
      <c r="B460" s="317"/>
      <c r="C460" s="317"/>
      <c r="D460" s="213">
        <f>D458+G461*D459</f>
        <v>0.84232238121273217</v>
      </c>
      <c r="E460" s="202">
        <f>D432</f>
        <v>0</v>
      </c>
      <c r="F460" s="219" t="s">
        <v>365</v>
      </c>
      <c r="G460" s="216">
        <v>0.05</v>
      </c>
      <c r="J460" s="298">
        <v>500</v>
      </c>
      <c r="K460" s="298"/>
      <c r="L460" s="298"/>
      <c r="M460" s="298"/>
      <c r="N460" s="311">
        <f t="shared" si="45"/>
        <v>0.93400000000000005</v>
      </c>
      <c r="O460" s="311"/>
      <c r="P460" s="311"/>
      <c r="Q460" s="311"/>
    </row>
    <row r="461" spans="1:24" s="202" customFormat="1" ht="18" customHeight="1" x14ac:dyDescent="0.25">
      <c r="B461" s="217"/>
      <c r="C461" s="217"/>
      <c r="D461" s="212" t="str">
        <f>IF(U454&gt;=G457,"Pass","Fail")</f>
        <v>Pass</v>
      </c>
      <c r="F461" s="219" t="s">
        <v>520</v>
      </c>
      <c r="G461" s="222">
        <f>_xlfn.NORM.INV(1-G460,0,1)/(1-(1/(4*((COUNT(E446:E454)-1)+(COUNT(F446:F454)-1)+(COUNT(G446:G454)-1)))))</f>
        <v>1.6727325019845474</v>
      </c>
      <c r="J461" s="298">
        <v>1000</v>
      </c>
      <c r="K461" s="298"/>
      <c r="L461" s="298"/>
      <c r="M461" s="298"/>
      <c r="N461" s="311">
        <f t="shared" si="45"/>
        <v>0.93799999999999994</v>
      </c>
      <c r="O461" s="311"/>
      <c r="P461" s="311"/>
      <c r="Q461" s="311"/>
    </row>
    <row r="462" spans="1:24" s="202" customFormat="1" ht="18" customHeight="1" x14ac:dyDescent="0.25">
      <c r="B462" s="217"/>
      <c r="C462" s="217"/>
    </row>
    <row r="463" spans="1:24" s="202" customFormat="1" ht="18" customHeight="1" x14ac:dyDescent="0.25">
      <c r="B463" s="217"/>
      <c r="C463" s="217"/>
    </row>
    <row r="464" spans="1:24" s="202" customFormat="1" ht="18" customHeight="1" x14ac:dyDescent="0.25"/>
    <row r="465" spans="2:24" s="206" customFormat="1" ht="18" customHeight="1" x14ac:dyDescent="0.25">
      <c r="B465" s="207" t="s">
        <v>521</v>
      </c>
    </row>
    <row r="466" spans="2:24" s="206" customFormat="1" ht="18" customHeight="1" x14ac:dyDescent="0.25"/>
    <row r="467" spans="2:24" s="206" customFormat="1" ht="18" customHeight="1" x14ac:dyDescent="0.25">
      <c r="B467" s="294" t="s">
        <v>522</v>
      </c>
      <c r="C467" s="294"/>
      <c r="D467" s="223">
        <v>1.1000000000000001</v>
      </c>
      <c r="E467" s="209" t="str">
        <f>G4</f>
        <v>ng/L</v>
      </c>
    </row>
    <row r="468" spans="2:24" s="202" customFormat="1" ht="18" customHeight="1" x14ac:dyDescent="0.25">
      <c r="K468" s="224"/>
      <c r="L468" s="224"/>
      <c r="M468" s="224"/>
      <c r="V468" s="314" t="s">
        <v>523</v>
      </c>
      <c r="W468" s="314"/>
      <c r="X468" s="314"/>
    </row>
    <row r="469" spans="2:24" s="202" customFormat="1" ht="18" customHeight="1" x14ac:dyDescent="0.25">
      <c r="C469" s="315" t="s">
        <v>524</v>
      </c>
      <c r="D469" s="315"/>
      <c r="E469" s="315"/>
      <c r="F469" s="315"/>
      <c r="G469" s="315"/>
      <c r="J469" s="217"/>
      <c r="K469" s="225"/>
      <c r="L469" s="225"/>
      <c r="M469" s="225"/>
      <c r="V469" s="214">
        <f t="shared" ref="V469:X477" si="46">IF(E472&gt;=$D$441,1,"")</f>
        <v>1</v>
      </c>
      <c r="W469" s="214">
        <f t="shared" si="46"/>
        <v>1</v>
      </c>
      <c r="X469" s="214" t="str">
        <f t="shared" si="46"/>
        <v/>
      </c>
    </row>
    <row r="470" spans="2:24" s="202" customFormat="1" ht="18" customHeight="1" x14ac:dyDescent="0.25">
      <c r="C470" s="315"/>
      <c r="D470" s="315"/>
      <c r="E470" s="315"/>
      <c r="F470" s="315"/>
      <c r="G470" s="315"/>
      <c r="J470" s="217"/>
      <c r="K470" s="225"/>
      <c r="L470" s="225"/>
      <c r="M470" s="225"/>
      <c r="V470" s="214">
        <f t="shared" si="46"/>
        <v>1</v>
      </c>
      <c r="W470" s="214" t="str">
        <f t="shared" si="46"/>
        <v/>
      </c>
      <c r="X470" s="214" t="str">
        <f t="shared" si="46"/>
        <v/>
      </c>
    </row>
    <row r="471" spans="2:24" s="202" customFormat="1" ht="18" customHeight="1" x14ac:dyDescent="0.25">
      <c r="C471" s="212" t="s">
        <v>98</v>
      </c>
      <c r="D471" s="212" t="s">
        <v>505</v>
      </c>
      <c r="E471" s="212" t="s">
        <v>506</v>
      </c>
      <c r="F471" s="212" t="s">
        <v>507</v>
      </c>
      <c r="G471" s="212" t="s">
        <v>508</v>
      </c>
      <c r="I471" s="202" t="s">
        <v>525</v>
      </c>
      <c r="V471" s="214">
        <f t="shared" si="46"/>
        <v>1</v>
      </c>
      <c r="W471" s="214">
        <f t="shared" si="46"/>
        <v>1</v>
      </c>
      <c r="X471" s="214" t="str">
        <f t="shared" si="46"/>
        <v/>
      </c>
    </row>
    <row r="472" spans="2:24" s="202" customFormat="1" ht="18" customHeight="1" x14ac:dyDescent="0.25">
      <c r="C472" s="316" t="s">
        <v>100</v>
      </c>
      <c r="D472" s="215">
        <v>44857</v>
      </c>
      <c r="E472" s="216">
        <v>1</v>
      </c>
      <c r="F472" s="216">
        <v>1</v>
      </c>
      <c r="G472" s="216"/>
      <c r="V472" s="214">
        <f t="shared" si="46"/>
        <v>1</v>
      </c>
      <c r="W472" s="214">
        <f t="shared" si="46"/>
        <v>1</v>
      </c>
      <c r="X472" s="214" t="str">
        <f t="shared" si="46"/>
        <v/>
      </c>
    </row>
    <row r="473" spans="2:24" s="202" customFormat="1" ht="18" customHeight="1" x14ac:dyDescent="0.25">
      <c r="C473" s="316"/>
      <c r="D473" s="215">
        <v>44857</v>
      </c>
      <c r="E473" s="216">
        <v>0.9</v>
      </c>
      <c r="F473" s="216">
        <v>0.8</v>
      </c>
      <c r="G473" s="216"/>
      <c r="V473" s="214">
        <f t="shared" si="46"/>
        <v>1</v>
      </c>
      <c r="W473" s="214">
        <f t="shared" si="46"/>
        <v>1</v>
      </c>
      <c r="X473" s="214" t="str">
        <f t="shared" si="46"/>
        <v/>
      </c>
    </row>
    <row r="474" spans="2:24" s="202" customFormat="1" ht="18" customHeight="1" x14ac:dyDescent="0.25">
      <c r="C474" s="316"/>
      <c r="D474" s="215">
        <v>44857</v>
      </c>
      <c r="E474" s="216">
        <v>1</v>
      </c>
      <c r="F474" s="216">
        <v>1.1000000000000001</v>
      </c>
      <c r="G474" s="216"/>
      <c r="V474" s="214">
        <f t="shared" si="46"/>
        <v>1</v>
      </c>
      <c r="W474" s="214">
        <f t="shared" si="46"/>
        <v>1</v>
      </c>
      <c r="X474" s="214" t="str">
        <f t="shared" si="46"/>
        <v/>
      </c>
    </row>
    <row r="475" spans="2:24" s="202" customFormat="1" ht="18" customHeight="1" x14ac:dyDescent="0.25">
      <c r="C475" s="316" t="s">
        <v>102</v>
      </c>
      <c r="D475" s="215">
        <v>44858</v>
      </c>
      <c r="E475" s="216">
        <v>1.1000000000000001</v>
      </c>
      <c r="F475" s="216">
        <v>1</v>
      </c>
      <c r="G475" s="216"/>
      <c r="V475" s="214">
        <f t="shared" si="46"/>
        <v>1</v>
      </c>
      <c r="W475" s="214">
        <f t="shared" si="46"/>
        <v>1</v>
      </c>
      <c r="X475" s="214" t="str">
        <f t="shared" si="46"/>
        <v/>
      </c>
    </row>
    <row r="476" spans="2:24" s="202" customFormat="1" ht="18" customHeight="1" x14ac:dyDescent="0.25">
      <c r="C476" s="316"/>
      <c r="D476" s="215">
        <v>44858</v>
      </c>
      <c r="E476" s="216">
        <v>0.9</v>
      </c>
      <c r="F476" s="216">
        <v>1</v>
      </c>
      <c r="G476" s="216"/>
      <c r="V476" s="214">
        <f t="shared" si="46"/>
        <v>1</v>
      </c>
      <c r="W476" s="214">
        <f t="shared" si="46"/>
        <v>1</v>
      </c>
      <c r="X476" s="214" t="str">
        <f t="shared" si="46"/>
        <v/>
      </c>
    </row>
    <row r="477" spans="2:24" s="202" customFormat="1" ht="18" customHeight="1" x14ac:dyDescent="0.25">
      <c r="C477" s="316"/>
      <c r="D477" s="215">
        <v>44858</v>
      </c>
      <c r="E477" s="216">
        <v>1.1000000000000001</v>
      </c>
      <c r="F477" s="216">
        <v>1.1000000000000001</v>
      </c>
      <c r="G477" s="216"/>
      <c r="V477" s="214">
        <f t="shared" si="46"/>
        <v>1</v>
      </c>
      <c r="W477" s="214">
        <f t="shared" si="46"/>
        <v>1</v>
      </c>
      <c r="X477" s="214" t="str">
        <f t="shared" si="46"/>
        <v/>
      </c>
    </row>
    <row r="478" spans="2:24" s="202" customFormat="1" ht="18" customHeight="1" x14ac:dyDescent="0.25">
      <c r="C478" s="316" t="s">
        <v>103</v>
      </c>
      <c r="D478" s="215">
        <v>44859</v>
      </c>
      <c r="E478" s="216">
        <v>1.2</v>
      </c>
      <c r="F478" s="216">
        <v>1.1000000000000001</v>
      </c>
      <c r="G478" s="216"/>
      <c r="S478" s="313" t="s">
        <v>526</v>
      </c>
      <c r="T478" s="313"/>
      <c r="U478" s="214">
        <f>SUM(V469:X477)</f>
        <v>17</v>
      </c>
    </row>
    <row r="479" spans="2:24" s="202" customFormat="1" ht="18" customHeight="1" x14ac:dyDescent="0.25">
      <c r="C479" s="316"/>
      <c r="D479" s="215">
        <v>44859</v>
      </c>
      <c r="E479" s="216">
        <v>1.1000000000000001</v>
      </c>
      <c r="F479" s="216">
        <v>0.9</v>
      </c>
      <c r="G479" s="216"/>
      <c r="S479" s="313" t="s">
        <v>527</v>
      </c>
      <c r="T479" s="313"/>
      <c r="U479" s="214">
        <f>U478/D483*100</f>
        <v>94.444444444444443</v>
      </c>
      <c r="V479" s="202" t="s">
        <v>513</v>
      </c>
    </row>
    <row r="480" spans="2:24" s="202" customFormat="1" ht="18" customHeight="1" x14ac:dyDescent="0.25">
      <c r="C480" s="316"/>
      <c r="D480" s="215">
        <v>44859</v>
      </c>
      <c r="E480" s="216">
        <v>1</v>
      </c>
      <c r="F480" s="216">
        <v>1.1000000000000001</v>
      </c>
      <c r="G480" s="216"/>
    </row>
    <row r="481" spans="1:12" s="202" customFormat="1" ht="18" customHeight="1" x14ac:dyDescent="0.25">
      <c r="C481" s="226"/>
      <c r="D481" s="217" t="s">
        <v>528</v>
      </c>
      <c r="E481" s="227">
        <f>IF(ISERROR(_xlfn.STDEV.P(E472:E480)),"",_xlfn.STDEV.P(E472:E480))</f>
        <v>9.428090415820635E-2</v>
      </c>
      <c r="F481" s="227">
        <f>IF(ISERROR(_xlfn.STDEV.P(F472:F480)),"",_xlfn.STDEV.P(F472:F480))</f>
        <v>9.938079899999068E-2</v>
      </c>
      <c r="G481" s="227" t="str">
        <f>IF(ISERROR(_xlfn.STDEV.P(G472:G480)),"",_xlfn.STDEV.P(G472:G480))</f>
        <v/>
      </c>
    </row>
    <row r="482" spans="1:12" s="202" customFormat="1" ht="18" customHeight="1" x14ac:dyDescent="0.25">
      <c r="C482" s="226"/>
      <c r="E482" s="228">
        <f>IF(ISERROR(POWER(E481,2)),NA(),POWER(E481,2))</f>
        <v>8.8888888888888906E-3</v>
      </c>
      <c r="F482" s="228">
        <f>IF(ISERROR(POWER(F481,2)),NA(),POWER(F481,2))</f>
        <v>9.8765432098765482E-3</v>
      </c>
      <c r="G482" s="228" t="e">
        <f>IF(ISERROR(POWER(G481,2)),NA(),POWER(G481,2))</f>
        <v>#N/A</v>
      </c>
    </row>
    <row r="483" spans="1:12" s="202" customFormat="1" ht="18" customHeight="1" x14ac:dyDescent="0.25">
      <c r="B483" s="312" t="s">
        <v>514</v>
      </c>
      <c r="C483" s="312"/>
      <c r="D483" s="213">
        <f>COUNT(E472:G480)</f>
        <v>18</v>
      </c>
      <c r="F483" s="219" t="s">
        <v>515</v>
      </c>
      <c r="G483" s="229">
        <f>_xlfn.BINOM.INV($D483,0.95,0.05)</f>
        <v>15</v>
      </c>
    </row>
    <row r="484" spans="1:12" s="202" customFormat="1" ht="18" customHeight="1" x14ac:dyDescent="0.25">
      <c r="B484" s="312" t="s">
        <v>529</v>
      </c>
      <c r="C484" s="312"/>
      <c r="D484" s="214">
        <f>SQRT(SUMIF(E482:G482,"&lt;&gt;#N/A")/COUNTIF(E482:G482,"&lt;&gt;#N/A"))</f>
        <v>9.6864420967570544E-2</v>
      </c>
      <c r="F484" s="219" t="s">
        <v>517</v>
      </c>
      <c r="G484" s="220">
        <f>G483/D483</f>
        <v>0.83333333333333337</v>
      </c>
    </row>
    <row r="485" spans="1:12" s="202" customFormat="1" ht="18" customHeight="1" x14ac:dyDescent="0.25">
      <c r="A485" s="203"/>
      <c r="B485" s="203"/>
      <c r="C485" s="221" t="s">
        <v>530</v>
      </c>
      <c r="D485" s="214">
        <f>D441+G487*D484</f>
        <v>1.0620282652383688</v>
      </c>
      <c r="E485" s="202">
        <f>D432</f>
        <v>0</v>
      </c>
    </row>
    <row r="486" spans="1:12" s="202" customFormat="1" ht="18" customHeight="1" x14ac:dyDescent="0.25">
      <c r="A486" s="217"/>
      <c r="B486" s="217"/>
      <c r="C486" s="217"/>
      <c r="D486" s="212" t="str">
        <f>IF(U478&gt;=G483,"Pass","Fail")</f>
        <v>Pass</v>
      </c>
      <c r="F486" s="219" t="s">
        <v>365</v>
      </c>
      <c r="G486" s="216">
        <v>0.05</v>
      </c>
    </row>
    <row r="487" spans="1:12" s="202" customFormat="1" ht="18" customHeight="1" x14ac:dyDescent="0.25">
      <c r="A487" s="217"/>
      <c r="B487" s="217"/>
      <c r="C487" s="217"/>
      <c r="F487" s="219" t="s">
        <v>520</v>
      </c>
      <c r="G487" s="222">
        <f>_xlfn.NORM.INV(1-G486,0,1)/(1-(1/(4*((COUNT(E472:E480)-1)+(COUNT(F472:F480)-1)+(COUNT(G472:G480)-1)))))</f>
        <v>1.6727325019845474</v>
      </c>
    </row>
    <row r="488" spans="1:12" s="202" customFormat="1" ht="18" customHeight="1" x14ac:dyDescent="0.25">
      <c r="A488" s="217"/>
      <c r="B488" s="217"/>
      <c r="C488" s="217"/>
    </row>
    <row r="489" spans="1:12" s="202" customFormat="1" ht="18" customHeight="1" x14ac:dyDescent="0.25"/>
    <row r="490" spans="1:12" s="203" customFormat="1" ht="18" customHeight="1" x14ac:dyDescent="0.25">
      <c r="B490" s="230" t="s">
        <v>531</v>
      </c>
    </row>
    <row r="491" spans="1:12" s="206" customFormat="1" ht="18" customHeight="1" x14ac:dyDescent="0.25"/>
    <row r="492" spans="1:12" s="206" customFormat="1" ht="18" customHeight="1" x14ac:dyDescent="0.25">
      <c r="B492" s="319" t="s">
        <v>532</v>
      </c>
      <c r="C492" s="319"/>
      <c r="D492" s="223">
        <v>1.5</v>
      </c>
      <c r="E492" s="209" t="str">
        <f>G4</f>
        <v>ng/L</v>
      </c>
    </row>
    <row r="493" spans="1:12" s="206" customFormat="1" ht="18" customHeight="1" x14ac:dyDescent="0.25"/>
    <row r="494" spans="1:12" s="202" customFormat="1" ht="18" customHeight="1" x14ac:dyDescent="0.25"/>
    <row r="495" spans="1:12" s="202" customFormat="1" ht="18" customHeight="1" x14ac:dyDescent="0.25">
      <c r="C495" s="320" t="s">
        <v>533</v>
      </c>
      <c r="D495" s="320"/>
      <c r="E495" s="320"/>
      <c r="F495" s="320"/>
      <c r="G495" s="320"/>
    </row>
    <row r="496" spans="1:12" s="202" customFormat="1" ht="18" customHeight="1" x14ac:dyDescent="0.25">
      <c r="C496" s="320"/>
      <c r="D496" s="320"/>
      <c r="E496" s="320"/>
      <c r="F496" s="320"/>
      <c r="G496" s="320"/>
      <c r="J496" s="297" t="s">
        <v>534</v>
      </c>
      <c r="K496" s="297"/>
      <c r="L496" s="297"/>
    </row>
    <row r="497" spans="2:24" s="202" customFormat="1" ht="18" customHeight="1" x14ac:dyDescent="0.25">
      <c r="C497" s="212" t="s">
        <v>535</v>
      </c>
      <c r="D497" s="212" t="s">
        <v>505</v>
      </c>
      <c r="E497" s="212" t="s">
        <v>506</v>
      </c>
      <c r="F497" s="212" t="s">
        <v>507</v>
      </c>
      <c r="G497" s="212" t="s">
        <v>508</v>
      </c>
      <c r="J497" s="231" t="s">
        <v>506</v>
      </c>
      <c r="K497" s="231" t="s">
        <v>507</v>
      </c>
      <c r="L497" s="231" t="s">
        <v>508</v>
      </c>
      <c r="R497" s="297" t="s">
        <v>536</v>
      </c>
      <c r="S497" s="297"/>
      <c r="T497" s="297"/>
      <c r="V497" s="297" t="s">
        <v>537</v>
      </c>
      <c r="W497" s="297"/>
      <c r="X497" s="297"/>
    </row>
    <row r="498" spans="2:24" s="202" customFormat="1" ht="18" customHeight="1" x14ac:dyDescent="0.25">
      <c r="C498" s="316" t="s">
        <v>100</v>
      </c>
      <c r="D498" s="215">
        <v>44857</v>
      </c>
      <c r="E498" s="216">
        <v>14</v>
      </c>
      <c r="F498" s="216">
        <v>15</v>
      </c>
      <c r="G498" s="216"/>
      <c r="J498" s="222">
        <f t="shared" ref="J498:L506" si="47">IF(V498&lt;100,V498,"")</f>
        <v>8.0291970802919668</v>
      </c>
      <c r="K498" s="222">
        <f t="shared" si="47"/>
        <v>1.459854014598535</v>
      </c>
      <c r="L498" s="222" t="e">
        <f t="shared" si="47"/>
        <v>#VALUE!</v>
      </c>
      <c r="R498" s="214" t="e">
        <f>IF(AND(J498&lt;D516,J498&gt;0),1,"")</f>
        <v>#REF!</v>
      </c>
      <c r="S498" s="214" t="e">
        <f>IF(AND(K498&lt;D516,K498&gt;0),1,"")</f>
        <v>#REF!</v>
      </c>
      <c r="T498" s="214" t="e">
        <f>IF(AND(L498&lt;D516,L498&gt;0),1,"")</f>
        <v>#VALUE!</v>
      </c>
      <c r="V498" s="214">
        <f>SQRT(POWER(((E507-E498)/E507)*100,2))</f>
        <v>8.0291970802919668</v>
      </c>
      <c r="W498" s="214">
        <f>SQRT(POWER(((F507-F498)/F507)*100,2))</f>
        <v>1.459854014598535</v>
      </c>
      <c r="X498" s="214" t="e">
        <f>SQRT(POWER(((G507-G498)/G507)*100,2))</f>
        <v>#VALUE!</v>
      </c>
    </row>
    <row r="499" spans="2:24" s="202" customFormat="1" ht="18" customHeight="1" x14ac:dyDescent="0.25">
      <c r="C499" s="316"/>
      <c r="D499" s="215">
        <v>44857</v>
      </c>
      <c r="E499" s="216">
        <v>13</v>
      </c>
      <c r="F499" s="216">
        <v>14</v>
      </c>
      <c r="G499" s="216"/>
      <c r="J499" s="222">
        <f t="shared" si="47"/>
        <v>14.598540145985398</v>
      </c>
      <c r="K499" s="222">
        <f t="shared" si="47"/>
        <v>8.0291970802919668</v>
      </c>
      <c r="L499" s="222" t="e">
        <f t="shared" si="47"/>
        <v>#VALUE!</v>
      </c>
      <c r="R499" s="214" t="e">
        <f>IF(AND(J499&lt;D516,J499&gt;0),1,"")</f>
        <v>#REF!</v>
      </c>
      <c r="S499" s="214" t="e">
        <f>IF(AND(K499&lt;D516,K499&gt;0),1,"")</f>
        <v>#REF!</v>
      </c>
      <c r="T499" s="214" t="e">
        <f>IF(AND(L499&lt;D516,L499&gt;0),1,"")</f>
        <v>#VALUE!</v>
      </c>
      <c r="V499" s="214">
        <f>SQRT(POWER(((E507-E499)/E507)*100,2))</f>
        <v>14.598540145985398</v>
      </c>
      <c r="W499" s="214">
        <f>SQRT(POWER(((F507-F499)/F507)*100,2))</f>
        <v>8.0291970802919668</v>
      </c>
      <c r="X499" s="214" t="e">
        <f>SQRT(POWER(((G507-G499)/G507)*100,2))</f>
        <v>#VALUE!</v>
      </c>
    </row>
    <row r="500" spans="2:24" s="202" customFormat="1" ht="18" customHeight="1" x14ac:dyDescent="0.25">
      <c r="C500" s="316"/>
      <c r="D500" s="215">
        <v>44857</v>
      </c>
      <c r="E500" s="216">
        <v>15</v>
      </c>
      <c r="F500" s="216">
        <v>16</v>
      </c>
      <c r="G500" s="216"/>
      <c r="J500" s="222">
        <f t="shared" si="47"/>
        <v>1.459854014598535</v>
      </c>
      <c r="K500" s="222">
        <f t="shared" si="47"/>
        <v>5.1094890510948963</v>
      </c>
      <c r="L500" s="222" t="e">
        <f t="shared" si="47"/>
        <v>#VALUE!</v>
      </c>
      <c r="R500" s="214" t="e">
        <f>IF(AND(J500&lt;D516,J500&gt;0),1,"")</f>
        <v>#REF!</v>
      </c>
      <c r="S500" s="214" t="e">
        <f>IF(AND(K500&lt;D516,K500&gt;0),1,"")</f>
        <v>#REF!</v>
      </c>
      <c r="T500" s="214" t="e">
        <f>IF(AND(L500&lt;D516,L500&gt;0),1,"")</f>
        <v>#VALUE!</v>
      </c>
      <c r="V500" s="214">
        <f>SQRT(POWER(((E507-E500)/E507)*100,2))</f>
        <v>1.459854014598535</v>
      </c>
      <c r="W500" s="214">
        <f>SQRT(POWER(((F507-F500)/F507)*100,2))</f>
        <v>5.1094890510948963</v>
      </c>
      <c r="X500" s="214" t="e">
        <f>SQRT(POWER(((G507-G500)/G507)*100,2))</f>
        <v>#VALUE!</v>
      </c>
    </row>
    <row r="501" spans="2:24" s="202" customFormat="1" ht="18" customHeight="1" x14ac:dyDescent="0.25">
      <c r="C501" s="316" t="s">
        <v>102</v>
      </c>
      <c r="D501" s="215">
        <v>44858</v>
      </c>
      <c r="E501" s="216">
        <v>16</v>
      </c>
      <c r="F501" s="216">
        <v>15</v>
      </c>
      <c r="G501" s="216"/>
      <c r="J501" s="222">
        <f t="shared" si="47"/>
        <v>5.1094890510948963</v>
      </c>
      <c r="K501" s="222">
        <f t="shared" si="47"/>
        <v>1.459854014598535</v>
      </c>
      <c r="L501" s="222" t="e">
        <f t="shared" si="47"/>
        <v>#VALUE!</v>
      </c>
      <c r="R501" s="214" t="e">
        <f>IF(AND(J501&lt;D516,J501&gt;0),1,"")</f>
        <v>#REF!</v>
      </c>
      <c r="S501" s="214" t="e">
        <f>IF(AND(K501&lt;D516,K501&gt;0),1,"")</f>
        <v>#REF!</v>
      </c>
      <c r="T501" s="214" t="e">
        <f>IF(AND(L501&lt;D516,L501&gt;0),1,"")</f>
        <v>#VALUE!</v>
      </c>
      <c r="V501" s="214">
        <f>SQRT(POWER(((E507-E501)/E507)*100,2))</f>
        <v>5.1094890510948963</v>
      </c>
      <c r="W501" s="214">
        <f>SQRT(POWER(((F507-F501)/F507)*100,2))</f>
        <v>1.459854014598535</v>
      </c>
      <c r="X501" s="214" t="e">
        <f>SQRT(POWER(((G507-G501)/G507)*100,2))</f>
        <v>#VALUE!</v>
      </c>
    </row>
    <row r="502" spans="2:24" s="202" customFormat="1" ht="18" customHeight="1" x14ac:dyDescent="0.25">
      <c r="C502" s="316"/>
      <c r="D502" s="215">
        <v>44858</v>
      </c>
      <c r="E502" s="216">
        <v>15</v>
      </c>
      <c r="F502" s="216">
        <v>16</v>
      </c>
      <c r="G502" s="216"/>
      <c r="J502" s="222">
        <f t="shared" si="47"/>
        <v>1.459854014598535</v>
      </c>
      <c r="K502" s="222">
        <f t="shared" si="47"/>
        <v>5.1094890510948963</v>
      </c>
      <c r="L502" s="222" t="e">
        <f t="shared" si="47"/>
        <v>#VALUE!</v>
      </c>
      <c r="R502" s="214" t="e">
        <f>IF(AND(J502&lt;D516,J502&gt;0),1,"")</f>
        <v>#REF!</v>
      </c>
      <c r="S502" s="214" t="e">
        <f>IF(AND(K502&lt;D516,K502&gt;0),1,"")</f>
        <v>#REF!</v>
      </c>
      <c r="T502" s="214" t="e">
        <f>IF(AND(L502&lt;D516,L502&gt;0),1,"")</f>
        <v>#VALUE!</v>
      </c>
      <c r="V502" s="214">
        <f>SQRT(POWER(((E507-E502)/E507)*100,2))</f>
        <v>1.459854014598535</v>
      </c>
      <c r="W502" s="214">
        <f>SQRT(POWER(((F507-F502)/F507)*100,2))</f>
        <v>5.1094890510948963</v>
      </c>
      <c r="X502" s="214" t="e">
        <f>SQRT(POWER(((G507-G502)/G507)*100,2))</f>
        <v>#VALUE!</v>
      </c>
    </row>
    <row r="503" spans="2:24" s="202" customFormat="1" ht="18" customHeight="1" x14ac:dyDescent="0.25">
      <c r="C503" s="316"/>
      <c r="D503" s="215">
        <v>44858</v>
      </c>
      <c r="E503" s="216">
        <v>17</v>
      </c>
      <c r="F503" s="216">
        <v>14</v>
      </c>
      <c r="G503" s="216"/>
      <c r="J503" s="222">
        <f t="shared" si="47"/>
        <v>11.678832116788326</v>
      </c>
      <c r="K503" s="222">
        <f t="shared" si="47"/>
        <v>8.0291970802919668</v>
      </c>
      <c r="L503" s="222" t="e">
        <f t="shared" si="47"/>
        <v>#VALUE!</v>
      </c>
      <c r="R503" s="214" t="e">
        <f>IF(AND(J503&lt;D516,J503&gt;0),1,"")</f>
        <v>#REF!</v>
      </c>
      <c r="S503" s="214" t="e">
        <f>IF(AND(K503&lt;D516,K503&gt;0),1,"")</f>
        <v>#REF!</v>
      </c>
      <c r="T503" s="214" t="e">
        <f>IF(AND(L503&lt;D516,L503&gt;0),1,"")</f>
        <v>#VALUE!</v>
      </c>
      <c r="V503" s="214">
        <f>SQRT(POWER(((E507-E503)/E507)*100,2))</f>
        <v>11.678832116788326</v>
      </c>
      <c r="W503" s="214">
        <f>SQRT(POWER(((F507-F503)/F507)*100,2))</f>
        <v>8.0291970802919668</v>
      </c>
      <c r="X503" s="214" t="e">
        <f>SQRT(POWER(((G507-G503)/G507)*100,2))</f>
        <v>#VALUE!</v>
      </c>
    </row>
    <row r="504" spans="2:24" s="202" customFormat="1" ht="18" customHeight="1" x14ac:dyDescent="0.25">
      <c r="C504" s="316" t="s">
        <v>103</v>
      </c>
      <c r="D504" s="215">
        <v>44859</v>
      </c>
      <c r="E504" s="216">
        <v>15</v>
      </c>
      <c r="F504" s="216">
        <v>16</v>
      </c>
      <c r="G504" s="216"/>
      <c r="J504" s="222">
        <f t="shared" si="47"/>
        <v>1.459854014598535</v>
      </c>
      <c r="K504" s="222">
        <f t="shared" si="47"/>
        <v>5.1094890510948963</v>
      </c>
      <c r="L504" s="222" t="e">
        <f t="shared" si="47"/>
        <v>#VALUE!</v>
      </c>
      <c r="R504" s="214" t="e">
        <f>IF(AND(J504&lt;D516,J504&gt;0),1,"")</f>
        <v>#REF!</v>
      </c>
      <c r="S504" s="214" t="e">
        <f>IF(AND(K504&lt;D516,K504&gt;0),1,"")</f>
        <v>#REF!</v>
      </c>
      <c r="T504" s="214" t="e">
        <f>IF(AND(L504&lt;D516,L504&gt;0),1,"")</f>
        <v>#VALUE!</v>
      </c>
      <c r="V504" s="214">
        <f>SQRT(POWER(((E507-E504)/E507)*100,2))</f>
        <v>1.459854014598535</v>
      </c>
      <c r="W504" s="214">
        <f>SQRT(POWER(((F507-F504)/F507)*100,2))</f>
        <v>5.1094890510948963</v>
      </c>
      <c r="X504" s="214" t="e">
        <f>SQRT(POWER(((G507-G504)/G507)*100,2))</f>
        <v>#VALUE!</v>
      </c>
    </row>
    <row r="505" spans="2:24" s="202" customFormat="1" ht="18" customHeight="1" x14ac:dyDescent="0.25">
      <c r="C505" s="316"/>
      <c r="D505" s="215">
        <v>44859</v>
      </c>
      <c r="E505" s="216">
        <v>14</v>
      </c>
      <c r="F505" s="216">
        <v>15</v>
      </c>
      <c r="G505" s="216"/>
      <c r="J505" s="222">
        <f t="shared" si="47"/>
        <v>8.0291970802919668</v>
      </c>
      <c r="K505" s="222">
        <f t="shared" si="47"/>
        <v>1.459854014598535</v>
      </c>
      <c r="L505" s="222" t="e">
        <f t="shared" si="47"/>
        <v>#VALUE!</v>
      </c>
      <c r="R505" s="214" t="e">
        <f>IF(AND(J505&lt;D516,J505&gt;0),1,"")</f>
        <v>#REF!</v>
      </c>
      <c r="S505" s="214" t="e">
        <f>IF(AND(K505&lt;D516,K505&gt;0),1,"")</f>
        <v>#REF!</v>
      </c>
      <c r="T505" s="214" t="e">
        <f>IF(AND(L505&lt;D516,L505&gt;0),1,"")</f>
        <v>#VALUE!</v>
      </c>
      <c r="V505" s="214">
        <f>SQRT(POWER(((E507-E505)/E507)*100,2))</f>
        <v>8.0291970802919668</v>
      </c>
      <c r="W505" s="214">
        <f>SQRT(POWER(((F507-F505)/F507)*100,2))</f>
        <v>1.459854014598535</v>
      </c>
      <c r="X505" s="214" t="e">
        <f>SQRT(POWER(((G507-G505)/G507)*100,2))</f>
        <v>#VALUE!</v>
      </c>
    </row>
    <row r="506" spans="2:24" s="202" customFormat="1" ht="18" customHeight="1" x14ac:dyDescent="0.25">
      <c r="C506" s="316"/>
      <c r="D506" s="215">
        <v>44859</v>
      </c>
      <c r="E506" s="216">
        <v>18</v>
      </c>
      <c r="F506" s="216">
        <v>16</v>
      </c>
      <c r="G506" s="216"/>
      <c r="J506" s="222">
        <f t="shared" si="47"/>
        <v>18.248175182481756</v>
      </c>
      <c r="K506" s="222">
        <f t="shared" si="47"/>
        <v>5.1094890510948963</v>
      </c>
      <c r="L506" s="222" t="e">
        <f t="shared" si="47"/>
        <v>#VALUE!</v>
      </c>
      <c r="R506" s="214" t="e">
        <f>IF(AND(J506&lt;D516,J506&gt;0),1,"")</f>
        <v>#REF!</v>
      </c>
      <c r="S506" s="214" t="e">
        <f>IF(AND(K506&lt;D516,K506&gt;0),1,"")</f>
        <v>#REF!</v>
      </c>
      <c r="T506" s="214" t="e">
        <f>IF(AND(L506&lt;D516,L506&gt;0),1,"")</f>
        <v>#VALUE!</v>
      </c>
      <c r="V506" s="214">
        <f>SQRT(POWER(((E507-E506)/E507)*100,2))</f>
        <v>18.248175182481756</v>
      </c>
      <c r="W506" s="214">
        <f>SQRT(POWER(((F507-F506)/F507)*100,2))</f>
        <v>5.1094890510948963</v>
      </c>
      <c r="X506" s="214" t="e">
        <f>SQRT(POWER(((G507-G506)/G507)*100,2))</f>
        <v>#VALUE!</v>
      </c>
    </row>
    <row r="507" spans="2:24" s="202" customFormat="1" ht="18" customHeight="1" x14ac:dyDescent="0.25">
      <c r="C507" s="321" t="s">
        <v>538</v>
      </c>
      <c r="D507" s="321"/>
      <c r="E507" s="232">
        <f>IF(ISERROR(AVERAGE(E498:E506)),"",AVERAGE(E498:E506))</f>
        <v>15.222222222222221</v>
      </c>
      <c r="F507" s="232">
        <f>IF(ISERROR(AVERAGE(F498:F506)),"",AVERAGE(F498:F506))</f>
        <v>15.222222222222221</v>
      </c>
      <c r="G507" s="232" t="str">
        <f>IF(ISERROR(AVERAGE(G498:G506)),"",AVERAGE(G498:G506))</f>
        <v/>
      </c>
      <c r="O507" s="317" t="s">
        <v>539</v>
      </c>
      <c r="P507" s="317"/>
      <c r="Q507" s="214">
        <f>COUNT(R498:T506)</f>
        <v>0</v>
      </c>
    </row>
    <row r="508" spans="2:24" s="202" customFormat="1" ht="18" customHeight="1" x14ac:dyDescent="0.25">
      <c r="D508" s="233" t="s">
        <v>528</v>
      </c>
      <c r="E508" s="232">
        <f>IF(ISERROR(_xlfn.STDEV.P(E498:E506)),"",_xlfn.STDEV.P(E498:E506))</f>
        <v>1.4740554623801776</v>
      </c>
      <c r="F508" s="232">
        <f>IF(ISERROR(_xlfn.STDEV.P(F498:F506)),"",_xlfn.STDEV.P(F498:F506))</f>
        <v>0.78567420131838606</v>
      </c>
      <c r="G508" s="232" t="str">
        <f>IF(ISERROR(_xlfn.STDEV.P(G498:G506)),"",_xlfn.STDEV.P(G498:G506))</f>
        <v/>
      </c>
      <c r="O508" s="317" t="s">
        <v>540</v>
      </c>
      <c r="P508" s="317"/>
      <c r="Q508" s="218">
        <f>Q507/D512*100</f>
        <v>0</v>
      </c>
    </row>
    <row r="509" spans="2:24" s="202" customFormat="1" ht="18" customHeight="1" x14ac:dyDescent="0.25">
      <c r="D509" s="233" t="s">
        <v>541</v>
      </c>
      <c r="E509" s="234">
        <f>IF(ISERROR(E508/E507),"",E508/E507)</f>
        <v>9.6835760302347432E-2</v>
      </c>
      <c r="F509" s="234">
        <f>IF(ISERROR(F508/F507),"",F508/F507)</f>
        <v>5.161363366325164E-2</v>
      </c>
      <c r="G509" s="234" t="str">
        <f>IF(ISERROR(G508/G507),"",G508/G507)</f>
        <v/>
      </c>
    </row>
    <row r="510" spans="2:24" s="202" customFormat="1" ht="18" customHeight="1" x14ac:dyDescent="0.25">
      <c r="D510" s="233"/>
      <c r="V510" s="318"/>
      <c r="W510" s="318"/>
      <c r="X510" s="318"/>
    </row>
    <row r="511" spans="2:24" s="202" customFormat="1" ht="18" customHeight="1" x14ac:dyDescent="0.25">
      <c r="D511" s="233"/>
    </row>
    <row r="512" spans="2:24" s="202" customFormat="1" ht="18" customHeight="1" x14ac:dyDescent="0.25">
      <c r="B512" s="312" t="s">
        <v>514</v>
      </c>
      <c r="C512" s="312"/>
      <c r="D512" s="213">
        <f>COUNT(E498:G506)</f>
        <v>18</v>
      </c>
      <c r="F512" s="219" t="s">
        <v>515</v>
      </c>
      <c r="G512" s="214">
        <f>_xlfn.BINOM.INV($D512,0.95,0.05)</f>
        <v>15</v>
      </c>
    </row>
    <row r="513" spans="1:7" s="202" customFormat="1" ht="18" customHeight="1" x14ac:dyDescent="0.25">
      <c r="B513" s="312" t="s">
        <v>542</v>
      </c>
      <c r="C513" s="312"/>
      <c r="D513" s="213">
        <f>COUNT(E509:G509)</f>
        <v>2</v>
      </c>
      <c r="F513" s="219" t="s">
        <v>517</v>
      </c>
      <c r="G513" s="220">
        <f>G512/D512</f>
        <v>0.83333333333333337</v>
      </c>
    </row>
    <row r="514" spans="1:7" s="202" customFormat="1" ht="18" customHeight="1" x14ac:dyDescent="0.25">
      <c r="A514" s="312" t="s">
        <v>543</v>
      </c>
      <c r="B514" s="312"/>
      <c r="C514" s="312"/>
      <c r="D514" s="227">
        <f>AVERAGE(E507:G507)</f>
        <v>15.222222222222221</v>
      </c>
    </row>
    <row r="515" spans="1:7" s="202" customFormat="1" ht="18" customHeight="1" x14ac:dyDescent="0.25">
      <c r="A515" s="318"/>
      <c r="B515" s="318"/>
      <c r="C515" s="318"/>
      <c r="D515" s="203"/>
      <c r="F515" s="219" t="s">
        <v>365</v>
      </c>
      <c r="G515" s="216">
        <v>0.05</v>
      </c>
    </row>
    <row r="516" spans="1:7" s="202" customFormat="1" ht="18" customHeight="1" x14ac:dyDescent="0.25">
      <c r="B516" s="313" t="s">
        <v>544</v>
      </c>
      <c r="C516" s="313"/>
      <c r="D516" s="213" t="e">
        <v>#REF!</v>
      </c>
      <c r="E516" s="202" t="s">
        <v>513</v>
      </c>
      <c r="F516" s="219" t="s">
        <v>520</v>
      </c>
      <c r="G516" s="222">
        <f>_xlfn.NORM.INV(1-G515,0,1)/(1-(1/(4*((COUNT(E498:E506)-1)+(COUNT(F498:F506)-1)+(COUNT(G498:G506)-1)))))</f>
        <v>1.6727325019845474</v>
      </c>
    </row>
    <row r="517" spans="1:7" s="202" customFormat="1" ht="18" customHeight="1" x14ac:dyDescent="0.25">
      <c r="D517" s="212" t="str">
        <f>IF(Q507&gt;=G512,"Pass","Fail")</f>
        <v>Fail</v>
      </c>
    </row>
    <row r="518" spans="1:7" s="202" customFormat="1" ht="18" customHeight="1" x14ac:dyDescent="0.25"/>
  </sheetData>
  <protectedRanges>
    <protectedRange sqref="J61:L160" name="Apply Inclusion and Exclusion Criteria"/>
  </protectedRanges>
  <dataConsolidate/>
  <mergeCells count="336">
    <mergeCell ref="B512:C512"/>
    <mergeCell ref="B513:C513"/>
    <mergeCell ref="A514:C514"/>
    <mergeCell ref="A515:C515"/>
    <mergeCell ref="B516:C516"/>
    <mergeCell ref="C501:C503"/>
    <mergeCell ref="C504:C506"/>
    <mergeCell ref="C507:D507"/>
    <mergeCell ref="O507:P507"/>
    <mergeCell ref="O508:P508"/>
    <mergeCell ref="V510:X510"/>
    <mergeCell ref="B492:C492"/>
    <mergeCell ref="C495:G496"/>
    <mergeCell ref="J496:L496"/>
    <mergeCell ref="R497:T497"/>
    <mergeCell ref="V497:X497"/>
    <mergeCell ref="C498:C500"/>
    <mergeCell ref="C475:C477"/>
    <mergeCell ref="C478:C480"/>
    <mergeCell ref="S478:T478"/>
    <mergeCell ref="S479:T479"/>
    <mergeCell ref="B483:C483"/>
    <mergeCell ref="B484:C484"/>
    <mergeCell ref="J461:M461"/>
    <mergeCell ref="N461:Q461"/>
    <mergeCell ref="B467:C467"/>
    <mergeCell ref="V468:X468"/>
    <mergeCell ref="C469:G470"/>
    <mergeCell ref="C472:C474"/>
    <mergeCell ref="B459:C459"/>
    <mergeCell ref="J459:M459"/>
    <mergeCell ref="N459:Q459"/>
    <mergeCell ref="A460:C460"/>
    <mergeCell ref="J460:M460"/>
    <mergeCell ref="N460:Q460"/>
    <mergeCell ref="B457:C457"/>
    <mergeCell ref="J457:M457"/>
    <mergeCell ref="N457:Q457"/>
    <mergeCell ref="B458:C458"/>
    <mergeCell ref="J458:M458"/>
    <mergeCell ref="N458:Q458"/>
    <mergeCell ref="S454:T454"/>
    <mergeCell ref="J455:M455"/>
    <mergeCell ref="N455:Q455"/>
    <mergeCell ref="S455:T455"/>
    <mergeCell ref="J456:M456"/>
    <mergeCell ref="N456:Q456"/>
    <mergeCell ref="C452:C454"/>
    <mergeCell ref="J452:M452"/>
    <mergeCell ref="N452:Q452"/>
    <mergeCell ref="J453:M453"/>
    <mergeCell ref="N453:Q453"/>
    <mergeCell ref="J454:M454"/>
    <mergeCell ref="N454:Q454"/>
    <mergeCell ref="C449:C451"/>
    <mergeCell ref="J449:M449"/>
    <mergeCell ref="N449:Q449"/>
    <mergeCell ref="J450:M450"/>
    <mergeCell ref="N450:Q450"/>
    <mergeCell ref="J451:M451"/>
    <mergeCell ref="N451:Q451"/>
    <mergeCell ref="C446:C448"/>
    <mergeCell ref="J446:M446"/>
    <mergeCell ref="N446:Q446"/>
    <mergeCell ref="J447:M447"/>
    <mergeCell ref="N447:Q447"/>
    <mergeCell ref="J448:M448"/>
    <mergeCell ref="N448:Q448"/>
    <mergeCell ref="B441:C441"/>
    <mergeCell ref="C443:G444"/>
    <mergeCell ref="J444:Q444"/>
    <mergeCell ref="V444:X444"/>
    <mergeCell ref="J445:M445"/>
    <mergeCell ref="N445:Q445"/>
    <mergeCell ref="B288:D288"/>
    <mergeCell ref="B290:D290"/>
    <mergeCell ref="B373:M376"/>
    <mergeCell ref="B435:C435"/>
    <mergeCell ref="E435:F435"/>
    <mergeCell ref="B437:C437"/>
    <mergeCell ref="E437:F437"/>
    <mergeCell ref="G250:G251"/>
    <mergeCell ref="H250:H251"/>
    <mergeCell ref="I250:I251"/>
    <mergeCell ref="B284:D284"/>
    <mergeCell ref="D285:F285"/>
    <mergeCell ref="B286:D286"/>
    <mergeCell ref="B246:E246"/>
    <mergeCell ref="B250:B251"/>
    <mergeCell ref="C250:C251"/>
    <mergeCell ref="D250:D251"/>
    <mergeCell ref="E250:E251"/>
    <mergeCell ref="F250:F251"/>
    <mergeCell ref="G210:G212"/>
    <mergeCell ref="H210:H212"/>
    <mergeCell ref="B238:H238"/>
    <mergeCell ref="B240:C240"/>
    <mergeCell ref="B242:E242"/>
    <mergeCell ref="B244:E244"/>
    <mergeCell ref="B206:E206"/>
    <mergeCell ref="B210:B212"/>
    <mergeCell ref="C210:C212"/>
    <mergeCell ref="D210:D212"/>
    <mergeCell ref="E210:E212"/>
    <mergeCell ref="F210:F212"/>
    <mergeCell ref="B160:C160"/>
    <mergeCell ref="K160:M160"/>
    <mergeCell ref="B198:H198"/>
    <mergeCell ref="B200:C200"/>
    <mergeCell ref="B202:E202"/>
    <mergeCell ref="B204:E204"/>
    <mergeCell ref="B157:C157"/>
    <mergeCell ref="K157:M157"/>
    <mergeCell ref="B158:C158"/>
    <mergeCell ref="K158:M158"/>
    <mergeCell ref="B159:C159"/>
    <mergeCell ref="K159:M159"/>
    <mergeCell ref="B154:C154"/>
    <mergeCell ref="K154:M154"/>
    <mergeCell ref="B155:C155"/>
    <mergeCell ref="K155:M155"/>
    <mergeCell ref="B156:C156"/>
    <mergeCell ref="K156:M156"/>
    <mergeCell ref="B151:C151"/>
    <mergeCell ref="K151:M151"/>
    <mergeCell ref="B152:C152"/>
    <mergeCell ref="K152:M152"/>
    <mergeCell ref="B153:C153"/>
    <mergeCell ref="K153:M153"/>
    <mergeCell ref="B148:C148"/>
    <mergeCell ref="K148:M148"/>
    <mergeCell ref="B149:C149"/>
    <mergeCell ref="K149:M149"/>
    <mergeCell ref="B150:C150"/>
    <mergeCell ref="K150:M150"/>
    <mergeCell ref="B145:C145"/>
    <mergeCell ref="K145:M145"/>
    <mergeCell ref="B146:C146"/>
    <mergeCell ref="K146:M146"/>
    <mergeCell ref="B147:C147"/>
    <mergeCell ref="K147:M147"/>
    <mergeCell ref="B142:C142"/>
    <mergeCell ref="K142:M142"/>
    <mergeCell ref="B143:C143"/>
    <mergeCell ref="K143:M143"/>
    <mergeCell ref="B144:C144"/>
    <mergeCell ref="K144:M144"/>
    <mergeCell ref="B139:C139"/>
    <mergeCell ref="K139:M139"/>
    <mergeCell ref="B140:C140"/>
    <mergeCell ref="K140:M140"/>
    <mergeCell ref="B141:C141"/>
    <mergeCell ref="K141:M141"/>
    <mergeCell ref="B136:C136"/>
    <mergeCell ref="K136:M136"/>
    <mergeCell ref="B137:C137"/>
    <mergeCell ref="K137:M137"/>
    <mergeCell ref="B138:C138"/>
    <mergeCell ref="K138:M138"/>
    <mergeCell ref="B133:C133"/>
    <mergeCell ref="K133:M133"/>
    <mergeCell ref="B134:C134"/>
    <mergeCell ref="K134:M134"/>
    <mergeCell ref="B135:C135"/>
    <mergeCell ref="K135:M135"/>
    <mergeCell ref="B130:C130"/>
    <mergeCell ref="K130:M130"/>
    <mergeCell ref="B131:C131"/>
    <mergeCell ref="K131:M131"/>
    <mergeCell ref="B132:C132"/>
    <mergeCell ref="K132:M132"/>
    <mergeCell ref="B127:C127"/>
    <mergeCell ref="K127:M127"/>
    <mergeCell ref="B128:C128"/>
    <mergeCell ref="K128:M128"/>
    <mergeCell ref="B129:C129"/>
    <mergeCell ref="K129:M129"/>
    <mergeCell ref="B124:C124"/>
    <mergeCell ref="K124:M124"/>
    <mergeCell ref="B125:C125"/>
    <mergeCell ref="K125:M125"/>
    <mergeCell ref="B126:C126"/>
    <mergeCell ref="K126:M126"/>
    <mergeCell ref="B121:C121"/>
    <mergeCell ref="K121:M121"/>
    <mergeCell ref="B122:C122"/>
    <mergeCell ref="K122:M122"/>
    <mergeCell ref="B123:C123"/>
    <mergeCell ref="K123:M123"/>
    <mergeCell ref="B118:C118"/>
    <mergeCell ref="K118:M118"/>
    <mergeCell ref="B119:C119"/>
    <mergeCell ref="K119:M119"/>
    <mergeCell ref="B120:C120"/>
    <mergeCell ref="K120:M120"/>
    <mergeCell ref="B115:C115"/>
    <mergeCell ref="K115:M115"/>
    <mergeCell ref="B116:C116"/>
    <mergeCell ref="K116:M116"/>
    <mergeCell ref="B117:C117"/>
    <mergeCell ref="K117:M117"/>
    <mergeCell ref="B112:C112"/>
    <mergeCell ref="K112:M112"/>
    <mergeCell ref="B113:C113"/>
    <mergeCell ref="K113:M113"/>
    <mergeCell ref="B114:C114"/>
    <mergeCell ref="K114:M114"/>
    <mergeCell ref="B109:C109"/>
    <mergeCell ref="K109:M109"/>
    <mergeCell ref="B110:C110"/>
    <mergeCell ref="K110:M110"/>
    <mergeCell ref="B111:C111"/>
    <mergeCell ref="K111:M111"/>
    <mergeCell ref="B106:C106"/>
    <mergeCell ref="K106:M106"/>
    <mergeCell ref="B107:C107"/>
    <mergeCell ref="K107:M107"/>
    <mergeCell ref="B108:C108"/>
    <mergeCell ref="K108:M108"/>
    <mergeCell ref="B103:C103"/>
    <mergeCell ref="K103:M103"/>
    <mergeCell ref="B104:C104"/>
    <mergeCell ref="K104:M104"/>
    <mergeCell ref="B105:C105"/>
    <mergeCell ref="K105:M105"/>
    <mergeCell ref="B100:C100"/>
    <mergeCell ref="K100:M100"/>
    <mergeCell ref="B101:C101"/>
    <mergeCell ref="K101:M101"/>
    <mergeCell ref="B102:C102"/>
    <mergeCell ref="K102:M102"/>
    <mergeCell ref="B97:C97"/>
    <mergeCell ref="K97:M97"/>
    <mergeCell ref="B98:C98"/>
    <mergeCell ref="K98:M98"/>
    <mergeCell ref="B99:C99"/>
    <mergeCell ref="K99:M99"/>
    <mergeCell ref="B94:C94"/>
    <mergeCell ref="K94:M94"/>
    <mergeCell ref="B95:C95"/>
    <mergeCell ref="K95:M95"/>
    <mergeCell ref="B96:C96"/>
    <mergeCell ref="K96:M96"/>
    <mergeCell ref="B91:C91"/>
    <mergeCell ref="K91:M91"/>
    <mergeCell ref="B92:C92"/>
    <mergeCell ref="K92:M92"/>
    <mergeCell ref="B93:C93"/>
    <mergeCell ref="K93:M93"/>
    <mergeCell ref="B88:C88"/>
    <mergeCell ref="K88:M88"/>
    <mergeCell ref="B89:C89"/>
    <mergeCell ref="K89:M89"/>
    <mergeCell ref="B90:C90"/>
    <mergeCell ref="K90:M90"/>
    <mergeCell ref="B85:C85"/>
    <mergeCell ref="K85:M85"/>
    <mergeCell ref="B86:C86"/>
    <mergeCell ref="K86:M86"/>
    <mergeCell ref="B87:C87"/>
    <mergeCell ref="K87:M87"/>
    <mergeCell ref="B82:C82"/>
    <mergeCell ref="K82:M82"/>
    <mergeCell ref="B83:C83"/>
    <mergeCell ref="K83:M83"/>
    <mergeCell ref="B84:C84"/>
    <mergeCell ref="K84:M84"/>
    <mergeCell ref="B79:C79"/>
    <mergeCell ref="K79:M79"/>
    <mergeCell ref="B80:C80"/>
    <mergeCell ref="K80:M80"/>
    <mergeCell ref="B81:C81"/>
    <mergeCell ref="K81:M81"/>
    <mergeCell ref="B76:C76"/>
    <mergeCell ref="K76:M76"/>
    <mergeCell ref="B77:C77"/>
    <mergeCell ref="K77:M77"/>
    <mergeCell ref="B78:C78"/>
    <mergeCell ref="K78:M78"/>
    <mergeCell ref="B73:C73"/>
    <mergeCell ref="K73:M73"/>
    <mergeCell ref="B74:C74"/>
    <mergeCell ref="K74:M74"/>
    <mergeCell ref="B75:C75"/>
    <mergeCell ref="K75:M75"/>
    <mergeCell ref="B70:C70"/>
    <mergeCell ref="K70:M70"/>
    <mergeCell ref="B71:C71"/>
    <mergeCell ref="K71:M71"/>
    <mergeCell ref="B72:C72"/>
    <mergeCell ref="K72:M72"/>
    <mergeCell ref="B67:C67"/>
    <mergeCell ref="K67:M67"/>
    <mergeCell ref="B68:C68"/>
    <mergeCell ref="K68:M68"/>
    <mergeCell ref="B69:C69"/>
    <mergeCell ref="K69:M69"/>
    <mergeCell ref="B64:C64"/>
    <mergeCell ref="K64:M64"/>
    <mergeCell ref="B65:C65"/>
    <mergeCell ref="K65:M65"/>
    <mergeCell ref="B66:C66"/>
    <mergeCell ref="K66:M66"/>
    <mergeCell ref="K60:M60"/>
    <mergeCell ref="B61:C61"/>
    <mergeCell ref="K61:M61"/>
    <mergeCell ref="B62:C62"/>
    <mergeCell ref="K62:M62"/>
    <mergeCell ref="B63:C63"/>
    <mergeCell ref="K63:M63"/>
    <mergeCell ref="B56:C56"/>
    <mergeCell ref="D56:F56"/>
    <mergeCell ref="G56:I56"/>
    <mergeCell ref="D59:F59"/>
    <mergeCell ref="G59:I59"/>
    <mergeCell ref="B60:C60"/>
    <mergeCell ref="B41:H41"/>
    <mergeCell ref="B43:H43"/>
    <mergeCell ref="B45:E45"/>
    <mergeCell ref="D54:F54"/>
    <mergeCell ref="G54:I54"/>
    <mergeCell ref="B55:C55"/>
    <mergeCell ref="D55:F55"/>
    <mergeCell ref="G55:I55"/>
    <mergeCell ref="B16:E16"/>
    <mergeCell ref="B19:J25"/>
    <mergeCell ref="B28:J30"/>
    <mergeCell ref="B33:E33"/>
    <mergeCell ref="I33:J33"/>
    <mergeCell ref="B36:C36"/>
    <mergeCell ref="B4:E4"/>
    <mergeCell ref="B6:C6"/>
    <mergeCell ref="B8:H8"/>
    <mergeCell ref="B10:H10"/>
    <mergeCell ref="B12:E12"/>
    <mergeCell ref="B14:E14"/>
  </mergeCells>
  <conditionalFormatting sqref="D169">
    <cfRule type="cellIs" dxfId="71" priority="28" operator="greaterThan">
      <formula>1.1</formula>
    </cfRule>
    <cfRule type="cellIs" dxfId="70" priority="27" operator="lessThan">
      <formula>0.9</formula>
    </cfRule>
    <cfRule type="cellIs" dxfId="69" priority="26" operator="between">
      <formula>0.9</formula>
      <formula>1.1</formula>
    </cfRule>
  </conditionalFormatting>
  <conditionalFormatting sqref="D186">
    <cfRule type="cellIs" dxfId="68" priority="1" operator="greaterThan">
      <formula>0.85</formula>
    </cfRule>
  </conditionalFormatting>
  <conditionalFormatting sqref="D355:D356">
    <cfRule type="containsErrors" dxfId="67" priority="14">
      <formula>ISERROR(D355)</formula>
    </cfRule>
  </conditionalFormatting>
  <conditionalFormatting sqref="D426">
    <cfRule type="cellIs" dxfId="66" priority="8" operator="equal">
      <formula>"Fail"</formula>
    </cfRule>
    <cfRule type="cellIs" dxfId="65" priority="9" operator="equal">
      <formula>"Pass"</formula>
    </cfRule>
  </conditionalFormatting>
  <conditionalFormatting sqref="D461">
    <cfRule type="expression" dxfId="64" priority="4">
      <formula>#REF!="pass"</formula>
    </cfRule>
    <cfRule type="expression" dxfId="63" priority="5">
      <formula>#REF!="fail"</formula>
    </cfRule>
  </conditionalFormatting>
  <conditionalFormatting sqref="D486">
    <cfRule type="expression" dxfId="62" priority="2">
      <formula>$D$40="Fail"</formula>
    </cfRule>
    <cfRule type="expression" dxfId="61" priority="3">
      <formula>$D$40="Pass"</formula>
    </cfRule>
  </conditionalFormatting>
  <conditionalFormatting sqref="D517">
    <cfRule type="expression" dxfId="60" priority="35">
      <formula>#REF!="Fail"</formula>
    </cfRule>
    <cfRule type="expression" dxfId="59" priority="36">
      <formula>#REF!="Pass"</formula>
    </cfRule>
  </conditionalFormatting>
  <conditionalFormatting sqref="D342:G343">
    <cfRule type="containsText" dxfId="58" priority="18" operator="containsText" text="Pass">
      <formula>NOT(ISERROR(SEARCH("Pass",D342)))</formula>
    </cfRule>
    <cfRule type="containsText" dxfId="57" priority="19" operator="containsText" text="Fail">
      <formula>NOT(ISERROR(SEARCH("Fail",D342)))</formula>
    </cfRule>
  </conditionalFormatting>
  <conditionalFormatting sqref="D351:G351">
    <cfRule type="containsText" dxfId="56" priority="15" operator="containsText" text="Good">
      <formula>NOT(ISERROR(SEARCH("Good",D351)))</formula>
    </cfRule>
    <cfRule type="containsText" dxfId="55" priority="17" operator="containsText" text="Poor">
      <formula>NOT(ISERROR(SEARCH("Poor",D351)))</formula>
    </cfRule>
    <cfRule type="containsText" dxfId="54" priority="16" operator="containsText" text="Acceptable">
      <formula>NOT(ISERROR(SEARCH("Acceptable",D351)))</formula>
    </cfRule>
  </conditionalFormatting>
  <conditionalFormatting sqref="D362:G364">
    <cfRule type="containsErrors" dxfId="53" priority="13">
      <formula>ISERROR(D362)</formula>
    </cfRule>
  </conditionalFormatting>
  <conditionalFormatting sqref="D366:G367">
    <cfRule type="containsText" dxfId="52" priority="10" operator="containsText" text="Pass">
      <formula>NOT(ISERROR(SEARCH("Pass",D366)))</formula>
    </cfRule>
    <cfRule type="containsText" dxfId="51" priority="11" operator="containsText" text="Fail">
      <formula>NOT(ISERROR(SEARCH("Fail",D366)))</formula>
    </cfRule>
    <cfRule type="containsErrors" dxfId="50" priority="12">
      <formula>ISERROR(D366)</formula>
    </cfRule>
  </conditionalFormatting>
  <conditionalFormatting sqref="H213:H220">
    <cfRule type="cellIs" dxfId="49" priority="22" operator="equal">
      <formula>"Pass"</formula>
    </cfRule>
    <cfRule type="cellIs" dxfId="48" priority="23" operator="equal">
      <formula>"Fail"</formula>
    </cfRule>
  </conditionalFormatting>
  <conditionalFormatting sqref="H226">
    <cfRule type="cellIs" dxfId="47" priority="24" operator="equal">
      <formula>"PASS"</formula>
    </cfRule>
    <cfRule type="cellIs" dxfId="46" priority="25" operator="equal">
      <formula>"CHECK"</formula>
    </cfRule>
  </conditionalFormatting>
  <conditionalFormatting sqref="H252:I259">
    <cfRule type="cellIs" dxfId="45" priority="21" operator="equal">
      <formula>"Pass"</formula>
    </cfRule>
    <cfRule type="cellIs" dxfId="44" priority="20" operator="equal">
      <formula>"Fail"</formula>
    </cfRule>
  </conditionalFormatting>
  <conditionalFormatting sqref="I426">
    <cfRule type="cellIs" dxfId="43" priority="6" operator="equal">
      <formula>"Fail"</formula>
    </cfRule>
    <cfRule type="cellIs" dxfId="42" priority="7" operator="equal">
      <formula>"Pass"</formula>
    </cfRule>
  </conditionalFormatting>
  <conditionalFormatting sqref="J163">
    <cfRule type="cellIs" dxfId="41" priority="31" operator="lessThan">
      <formula>0.95</formula>
    </cfRule>
    <cfRule type="cellIs" dxfId="40" priority="32" operator="greaterThanOrEqual">
      <formula>0.95</formula>
    </cfRule>
  </conditionalFormatting>
  <conditionalFormatting sqref="J164">
    <cfRule type="cellIs" dxfId="39" priority="29" operator="lessThan">
      <formula>0.9025</formula>
    </cfRule>
    <cfRule type="cellIs" dxfId="38" priority="30" operator="greaterThanOrEqual">
      <formula>0.9025</formula>
    </cfRule>
  </conditionalFormatting>
  <conditionalFormatting sqref="J61:K160">
    <cfRule type="cellIs" dxfId="37" priority="33" operator="equal">
      <formula>"EXCLUDE"</formula>
    </cfRule>
    <cfRule type="cellIs" dxfId="36" priority="34" operator="equal">
      <formula>"INCLUDE"</formula>
    </cfRule>
  </conditionalFormatting>
  <dataValidations count="10">
    <dataValidation allowBlank="1" showErrorMessage="1" sqref="B10:H10 B12 F12:H12" xr:uid="{A0D2BEE9-A0BD-4C69-84C1-BBCD233E3FB8}">
      <formula1>0</formula1>
      <formula2>0</formula2>
    </dataValidation>
    <dataValidation allowBlank="1" showInputMessage="1" showErrorMessage="1" promptTitle="Instrument" prompt="Identity and location of instrument. Use serial number if available." sqref="B8:H8" xr:uid="{339298B4-FAC6-408E-BBD5-81C2652A1748}">
      <formula1>0</formula1>
      <formula2>0</formula2>
    </dataValidation>
    <dataValidation allowBlank="1" showErrorMessage="1" promptTitle="Measureand" prompt="Enter analyte, type of measurement and matrix. Example 1: Sodium concentration in serum or plasma. Example 2: ALT activity in serum or plasma" sqref="G47:H47" xr:uid="{20C45965-26FF-4B53-9934-ED560FA680B9}">
      <formula1>0</formula1>
      <formula2>0</formula2>
    </dataValidation>
    <dataValidation allowBlank="1" showErrorMessage="1" prompt="Enter required information" sqref="E46:G46" xr:uid="{CB650D9E-E829-4049-B3B9-0271A6D1FD44}">
      <formula1>0</formula1>
      <formula2>0</formula2>
    </dataValidation>
    <dataValidation allowBlank="1" showErrorMessage="1" promptTitle="Instrument Information" prompt="Identity and location of instrument. Use serial number if available." sqref="F45:G45" xr:uid="{DFD5F51F-B12D-43F9-B658-5F1F032627B2}">
      <formula1>0</formula1>
      <formula2>0</formula2>
    </dataValidation>
    <dataValidation allowBlank="1" showInputMessage="1" showErrorMessage="1" promptTitle="Measurand" prompt="Enter analyte, type of measurement and matrix. Example 1: Sodium concentration in serum or plasma. Example 2: ALT activity in serum or plasma" sqref="B11:H11" xr:uid="{0EB0E708-3661-476B-971B-92DBAB6DAAB7}">
      <formula1>0</formula1>
      <formula2>0</formula2>
    </dataValidation>
    <dataValidation allowBlank="1" showInputMessage="1" showErrorMessage="1" promptTitle="Instrument Information" prompt="Identity and location of instrument. Use serial number if available." sqref="B41" xr:uid="{0B4C02CC-5A87-4218-8C03-62A85F075F89}">
      <formula1>0</formula1>
      <formula2>0</formula2>
    </dataValidation>
    <dataValidation allowBlank="1" showInputMessage="1" showErrorMessage="1" prompt="Enter required information" sqref="B42:B45 D48" xr:uid="{88CCA057-CDFB-4BD9-BBFE-58CBA8761999}">
      <formula1>0</formula1>
      <formula2>0</formula2>
    </dataValidation>
    <dataValidation type="list" allowBlank="1" showInputMessage="1" showErrorMessage="1" sqref="D357" xr:uid="{DE477180-8F0B-418F-8532-6A3612764C4B}">
      <formula1>"Optimal,Desirable,Minimal"</formula1>
    </dataValidation>
    <dataValidation type="list" allowBlank="1" showInputMessage="1" showErrorMessage="1" sqref="J61:J160" xr:uid="{A10EADFA-BD73-4E27-AD96-EF5DB06A6CD9}">
      <formula1>"INCLUDE,EXCLUDE"</formula1>
    </dataValidation>
  </dataValidations>
  <pageMargins left="0.7" right="0.7" top="0.75" bottom="0.75" header="0.511811023622047" footer="0.511811023622047"/>
  <pageSetup paperSize="9" orientation="portrait" horizontalDpi="300" verticalDpi="300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2D78-4398-4FEC-B4DD-874D5D114445}">
  <dimension ref="A1:BC518"/>
  <sheetViews>
    <sheetView topLeftCell="A37" zoomScale="80" zoomScaleNormal="80" workbookViewId="0">
      <selection activeCell="B90" sqref="B90:C90"/>
    </sheetView>
  </sheetViews>
  <sheetFormatPr defaultColWidth="9.140625" defaultRowHeight="18" customHeight="1" x14ac:dyDescent="0.25"/>
  <cols>
    <col min="1" max="30" width="11.28515625" style="3" customWidth="1"/>
    <col min="31" max="16384" width="9.140625" style="3"/>
  </cols>
  <sheetData>
    <row r="1" spans="1:44" s="74" customFormat="1" ht="18" customHeight="1" x14ac:dyDescent="0.25">
      <c r="A1" s="72"/>
      <c r="B1" s="73" t="s">
        <v>258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3" spans="1:44" ht="18" customHeight="1" x14ac:dyDescent="0.25">
      <c r="B3" s="75" t="s">
        <v>259</v>
      </c>
      <c r="G3" s="76" t="s">
        <v>260</v>
      </c>
      <c r="H3" s="77"/>
      <c r="J3" s="78" t="s">
        <v>261</v>
      </c>
    </row>
    <row r="4" spans="1:44" ht="18" customHeight="1" x14ac:dyDescent="0.25">
      <c r="A4" s="8"/>
      <c r="B4" s="263" t="s">
        <v>262</v>
      </c>
      <c r="C4" s="263"/>
      <c r="D4" s="263"/>
      <c r="E4" s="263"/>
      <c r="G4" s="79" t="e">
        <v>#REF!</v>
      </c>
      <c r="H4" s="80"/>
      <c r="J4" s="81" t="e">
        <v>#REF!</v>
      </c>
      <c r="W4" s="82"/>
      <c r="X4" s="82"/>
      <c r="Y4" s="83"/>
      <c r="AQ4" s="82"/>
      <c r="AR4" s="82"/>
    </row>
    <row r="5" spans="1:44" ht="18" customHeight="1" x14ac:dyDescent="0.25">
      <c r="A5" s="8"/>
      <c r="B5" s="75" t="s">
        <v>263</v>
      </c>
      <c r="H5" s="80"/>
      <c r="J5" s="76" t="s">
        <v>264</v>
      </c>
      <c r="W5" s="82"/>
      <c r="X5" s="82"/>
      <c r="Y5" s="83"/>
      <c r="AQ5" s="82"/>
      <c r="AR5" s="82"/>
    </row>
    <row r="6" spans="1:44" ht="18" customHeight="1" x14ac:dyDescent="0.25">
      <c r="A6" s="8"/>
      <c r="B6" s="240" t="s">
        <v>265</v>
      </c>
      <c r="C6" s="242"/>
      <c r="D6" s="84"/>
      <c r="E6" s="84"/>
      <c r="G6" s="8"/>
      <c r="H6" s="80"/>
      <c r="J6" s="85" t="e">
        <v>#REF!</v>
      </c>
      <c r="K6" s="82"/>
      <c r="W6" s="82"/>
      <c r="X6" s="82"/>
      <c r="Y6" s="83"/>
      <c r="AQ6" s="82"/>
      <c r="AR6" s="82"/>
    </row>
    <row r="7" spans="1:44" ht="18" customHeight="1" x14ac:dyDescent="0.25">
      <c r="A7" s="8"/>
      <c r="B7" s="75" t="s">
        <v>266</v>
      </c>
      <c r="G7" s="8"/>
      <c r="H7" s="84"/>
      <c r="I7" s="82"/>
      <c r="J7" s="86" t="s">
        <v>267</v>
      </c>
      <c r="K7" s="82"/>
      <c r="W7" s="82"/>
      <c r="X7" s="82"/>
      <c r="Y7" s="83"/>
      <c r="AQ7" s="82"/>
      <c r="AR7" s="82"/>
    </row>
    <row r="8" spans="1:44" ht="18" customHeight="1" x14ac:dyDescent="0.25">
      <c r="A8" s="8"/>
      <c r="B8" s="264" t="s">
        <v>268</v>
      </c>
      <c r="C8" s="264"/>
      <c r="D8" s="264"/>
      <c r="E8" s="264"/>
      <c r="F8" s="264"/>
      <c r="G8" s="264"/>
      <c r="H8" s="264"/>
      <c r="J8" s="81" t="e">
        <v>#REF!</v>
      </c>
      <c r="K8" s="82"/>
      <c r="L8" s="82"/>
      <c r="M8" s="82"/>
      <c r="N8" s="82"/>
      <c r="W8" s="82"/>
      <c r="X8" s="82"/>
      <c r="Y8" s="83"/>
      <c r="AQ8" s="82"/>
      <c r="AR8" s="82"/>
    </row>
    <row r="9" spans="1:44" ht="18" customHeight="1" x14ac:dyDescent="0.25">
      <c r="A9" s="8"/>
      <c r="B9" s="75" t="s">
        <v>269</v>
      </c>
      <c r="I9" s="87"/>
      <c r="J9" s="87"/>
      <c r="W9" s="82"/>
      <c r="X9" s="82"/>
      <c r="Y9" s="83"/>
      <c r="AQ9" s="82"/>
      <c r="AR9" s="82"/>
    </row>
    <row r="10" spans="1:44" ht="18" customHeight="1" x14ac:dyDescent="0.25">
      <c r="A10" s="8"/>
      <c r="B10" s="264" t="s">
        <v>270</v>
      </c>
      <c r="C10" s="264"/>
      <c r="D10" s="264"/>
      <c r="E10" s="264"/>
      <c r="F10" s="264"/>
      <c r="G10" s="264"/>
      <c r="H10" s="264"/>
      <c r="I10" s="87"/>
      <c r="J10" s="87"/>
      <c r="Q10" s="88"/>
      <c r="W10" s="82"/>
      <c r="X10" s="82"/>
      <c r="Y10" s="83"/>
      <c r="AQ10" s="82"/>
      <c r="AR10" s="82"/>
    </row>
    <row r="11" spans="1:44" ht="18" customHeight="1" x14ac:dyDescent="0.25">
      <c r="A11" s="8"/>
      <c r="B11" s="89" t="s">
        <v>271</v>
      </c>
      <c r="C11" s="90"/>
      <c r="D11" s="90"/>
      <c r="E11" s="90"/>
      <c r="F11" s="90"/>
      <c r="G11" s="90"/>
      <c r="H11" s="90"/>
      <c r="I11" s="87"/>
      <c r="J11" s="87"/>
      <c r="S11" s="3" t="s">
        <v>177</v>
      </c>
      <c r="W11" s="82"/>
      <c r="X11" s="82"/>
      <c r="Y11" s="83"/>
      <c r="AQ11" s="82"/>
      <c r="AR11" s="82"/>
    </row>
    <row r="12" spans="1:44" ht="18" customHeight="1" x14ac:dyDescent="0.25">
      <c r="A12" s="8"/>
      <c r="B12" s="265"/>
      <c r="C12" s="266"/>
      <c r="D12" s="266"/>
      <c r="E12" s="267"/>
      <c r="F12" s="90"/>
      <c r="G12" s="90"/>
      <c r="H12" s="90"/>
      <c r="I12" s="87"/>
      <c r="J12" s="87"/>
      <c r="K12" s="87"/>
      <c r="L12" s="87"/>
      <c r="M12" s="87"/>
      <c r="W12" s="82"/>
      <c r="AQ12" s="82"/>
      <c r="AR12" s="82"/>
    </row>
    <row r="13" spans="1:44" ht="18" customHeight="1" x14ac:dyDescent="0.25">
      <c r="B13" s="76" t="s">
        <v>272</v>
      </c>
      <c r="C13" s="91"/>
      <c r="D13" s="91"/>
      <c r="E13" s="91"/>
      <c r="F13" s="92"/>
      <c r="G13" s="92"/>
      <c r="H13" s="92"/>
      <c r="I13" s="87"/>
      <c r="J13" s="87"/>
      <c r="K13" s="87"/>
      <c r="L13" s="87"/>
      <c r="M13" s="87"/>
      <c r="W13" s="82"/>
      <c r="AQ13" s="82"/>
      <c r="AR13" s="82"/>
    </row>
    <row r="14" spans="1:44" ht="18" customHeight="1" x14ac:dyDescent="0.25">
      <c r="A14" s="8"/>
      <c r="B14" s="268" t="s">
        <v>273</v>
      </c>
      <c r="C14" s="268"/>
      <c r="D14" s="268"/>
      <c r="E14" s="268"/>
      <c r="F14" s="92"/>
      <c r="G14" s="92"/>
      <c r="H14" s="92"/>
      <c r="I14" s="87"/>
      <c r="J14" s="87"/>
      <c r="K14" s="87"/>
      <c r="L14" s="87"/>
      <c r="M14" s="87"/>
      <c r="W14" s="82"/>
      <c r="AQ14" s="82"/>
      <c r="AR14" s="82"/>
    </row>
    <row r="15" spans="1:44" ht="18" customHeight="1" x14ac:dyDescent="0.25">
      <c r="A15" s="8"/>
      <c r="B15" s="93" t="s">
        <v>274</v>
      </c>
      <c r="C15" s="84"/>
      <c r="D15" s="84"/>
      <c r="E15" s="84"/>
      <c r="F15" s="92"/>
      <c r="G15" s="92"/>
      <c r="H15" s="92"/>
      <c r="I15" s="87"/>
      <c r="J15" s="87"/>
      <c r="K15" s="87"/>
      <c r="L15" s="87"/>
      <c r="M15" s="87"/>
      <c r="W15" s="82"/>
      <c r="AQ15" s="82"/>
      <c r="AR15" s="82"/>
    </row>
    <row r="16" spans="1:44" ht="18" customHeight="1" x14ac:dyDescent="0.25">
      <c r="A16" s="8"/>
      <c r="B16" s="240"/>
      <c r="C16" s="241"/>
      <c r="D16" s="241"/>
      <c r="E16" s="242"/>
      <c r="F16" s="92"/>
      <c r="G16" s="92"/>
      <c r="H16" s="92"/>
      <c r="I16" s="87"/>
      <c r="J16" s="87"/>
      <c r="K16" s="87"/>
      <c r="L16" s="87"/>
      <c r="M16" s="87"/>
      <c r="W16" s="82"/>
      <c r="AQ16" s="82"/>
      <c r="AR16" s="82"/>
    </row>
    <row r="17" spans="1:44" ht="18" customHeight="1" x14ac:dyDescent="0.25">
      <c r="A17" s="8"/>
      <c r="B17" s="82"/>
      <c r="C17" s="82"/>
      <c r="D17" s="82"/>
      <c r="E17" s="82"/>
      <c r="F17" s="92"/>
      <c r="G17" s="92"/>
      <c r="H17" s="92"/>
      <c r="I17" s="87"/>
      <c r="J17" s="87"/>
      <c r="K17" s="87"/>
      <c r="L17" s="87"/>
      <c r="M17" s="87"/>
      <c r="W17" s="82"/>
      <c r="AQ17" s="82"/>
      <c r="AR17" s="82"/>
    </row>
    <row r="18" spans="1:44" ht="18" customHeight="1" x14ac:dyDescent="0.25">
      <c r="A18" s="94"/>
      <c r="B18" s="95" t="s">
        <v>275</v>
      </c>
      <c r="C18" s="82"/>
      <c r="D18" s="87"/>
      <c r="E18" s="87"/>
      <c r="F18" s="87"/>
      <c r="G18" s="87"/>
      <c r="H18" s="87"/>
      <c r="I18" s="82"/>
      <c r="J18" s="87"/>
      <c r="K18" s="87"/>
      <c r="L18" s="87"/>
      <c r="M18" s="87"/>
      <c r="N18" s="87"/>
      <c r="O18" s="87"/>
      <c r="P18" s="87"/>
      <c r="Q18" s="87"/>
      <c r="S18" s="87"/>
      <c r="T18" s="87"/>
      <c r="U18" s="87"/>
      <c r="V18" s="87"/>
      <c r="AG18" s="83"/>
      <c r="AH18" s="83"/>
      <c r="AI18" s="83"/>
      <c r="AL18" s="82"/>
      <c r="AM18" s="82"/>
      <c r="AN18" s="82"/>
      <c r="AO18" s="82"/>
      <c r="AQ18" s="82"/>
      <c r="AR18" s="82"/>
    </row>
    <row r="19" spans="1:44" ht="18" customHeight="1" x14ac:dyDescent="0.25">
      <c r="A19" s="8"/>
      <c r="B19" s="243"/>
      <c r="C19" s="244"/>
      <c r="D19" s="244"/>
      <c r="E19" s="244"/>
      <c r="F19" s="244"/>
      <c r="G19" s="244"/>
      <c r="H19" s="244"/>
      <c r="I19" s="244"/>
      <c r="J19" s="245"/>
      <c r="S19" s="87"/>
      <c r="T19" s="87"/>
      <c r="U19" s="87"/>
      <c r="V19" s="87"/>
      <c r="AG19" s="83"/>
      <c r="AH19" s="83"/>
      <c r="AI19" s="83"/>
      <c r="AL19" s="82"/>
      <c r="AM19" s="82"/>
      <c r="AN19" s="82"/>
      <c r="AO19" s="82"/>
      <c r="AQ19" s="82"/>
      <c r="AR19" s="82"/>
    </row>
    <row r="20" spans="1:44" ht="18" customHeight="1" x14ac:dyDescent="0.25">
      <c r="A20" s="8"/>
      <c r="B20" s="246"/>
      <c r="C20" s="247"/>
      <c r="D20" s="247"/>
      <c r="E20" s="247"/>
      <c r="F20" s="247"/>
      <c r="G20" s="247"/>
      <c r="H20" s="247"/>
      <c r="I20" s="247"/>
      <c r="J20" s="248"/>
      <c r="S20" s="87"/>
      <c r="T20" s="87"/>
      <c r="U20" s="87"/>
      <c r="V20" s="87"/>
      <c r="AG20" s="83"/>
      <c r="AH20" s="83"/>
      <c r="AI20" s="83"/>
      <c r="AL20" s="82"/>
      <c r="AM20" s="82"/>
      <c r="AN20" s="82"/>
      <c r="AO20" s="82"/>
      <c r="AQ20" s="82"/>
      <c r="AR20" s="82"/>
    </row>
    <row r="21" spans="1:44" ht="18" customHeight="1" x14ac:dyDescent="0.25">
      <c r="A21" s="8"/>
      <c r="B21" s="246"/>
      <c r="C21" s="247"/>
      <c r="D21" s="247"/>
      <c r="E21" s="247"/>
      <c r="F21" s="247"/>
      <c r="G21" s="247"/>
      <c r="H21" s="247"/>
      <c r="I21" s="247"/>
      <c r="J21" s="248"/>
      <c r="S21" s="87"/>
      <c r="T21" s="87"/>
      <c r="U21" s="87"/>
      <c r="V21" s="87"/>
      <c r="AG21" s="83"/>
      <c r="AH21" s="83"/>
      <c r="AI21" s="83"/>
      <c r="AL21" s="82"/>
      <c r="AM21" s="82"/>
      <c r="AN21" s="82"/>
      <c r="AO21" s="82"/>
      <c r="AQ21" s="82"/>
      <c r="AR21" s="82"/>
    </row>
    <row r="22" spans="1:44" ht="18" customHeight="1" x14ac:dyDescent="0.25">
      <c r="A22" s="8"/>
      <c r="B22" s="246"/>
      <c r="C22" s="247"/>
      <c r="D22" s="247"/>
      <c r="E22" s="247"/>
      <c r="F22" s="247"/>
      <c r="G22" s="247"/>
      <c r="H22" s="247"/>
      <c r="I22" s="247"/>
      <c r="J22" s="248"/>
      <c r="S22" s="87"/>
      <c r="T22" s="87"/>
      <c r="U22" s="87"/>
      <c r="V22" s="87"/>
      <c r="AG22" s="83"/>
      <c r="AH22" s="83"/>
      <c r="AI22" s="83"/>
      <c r="AL22" s="82"/>
      <c r="AM22" s="82"/>
      <c r="AN22" s="82"/>
      <c r="AO22" s="82"/>
      <c r="AQ22" s="82"/>
      <c r="AR22" s="82"/>
    </row>
    <row r="23" spans="1:44" ht="18" customHeight="1" x14ac:dyDescent="0.25">
      <c r="A23" s="8"/>
      <c r="B23" s="246"/>
      <c r="C23" s="247"/>
      <c r="D23" s="247"/>
      <c r="E23" s="247"/>
      <c r="F23" s="247"/>
      <c r="G23" s="247"/>
      <c r="H23" s="247"/>
      <c r="I23" s="247"/>
      <c r="J23" s="248"/>
      <c r="S23" s="87"/>
      <c r="T23" s="87"/>
      <c r="U23" s="87"/>
      <c r="V23" s="87"/>
      <c r="AG23" s="83"/>
      <c r="AH23" s="83"/>
      <c r="AI23" s="83"/>
      <c r="AL23" s="82"/>
      <c r="AM23" s="82"/>
      <c r="AN23" s="82"/>
      <c r="AO23" s="82"/>
      <c r="AQ23" s="82"/>
      <c r="AR23" s="82"/>
    </row>
    <row r="24" spans="1:44" ht="18" customHeight="1" x14ac:dyDescent="0.25">
      <c r="A24" s="8"/>
      <c r="B24" s="246"/>
      <c r="C24" s="247"/>
      <c r="D24" s="247"/>
      <c r="E24" s="247"/>
      <c r="F24" s="247"/>
      <c r="G24" s="247"/>
      <c r="H24" s="247"/>
      <c r="I24" s="247"/>
      <c r="J24" s="248"/>
      <c r="S24" s="87"/>
      <c r="T24" s="87"/>
      <c r="U24" s="87"/>
      <c r="V24" s="87"/>
      <c r="AG24" s="83"/>
      <c r="AH24" s="83"/>
      <c r="AI24" s="83"/>
      <c r="AL24" s="82"/>
      <c r="AM24" s="82"/>
      <c r="AN24" s="82"/>
      <c r="AO24" s="82"/>
      <c r="AQ24" s="82"/>
      <c r="AR24" s="82"/>
    </row>
    <row r="25" spans="1:44" ht="18" customHeight="1" x14ac:dyDescent="0.25">
      <c r="A25" s="8"/>
      <c r="B25" s="249"/>
      <c r="C25" s="250"/>
      <c r="D25" s="250"/>
      <c r="E25" s="250"/>
      <c r="F25" s="250"/>
      <c r="G25" s="250"/>
      <c r="H25" s="250"/>
      <c r="I25" s="250"/>
      <c r="J25" s="251"/>
      <c r="S25" s="87"/>
      <c r="T25" s="87"/>
      <c r="U25" s="87"/>
      <c r="V25" s="87"/>
      <c r="AG25" s="83"/>
      <c r="AH25" s="83"/>
      <c r="AI25" s="83"/>
      <c r="AL25" s="82"/>
      <c r="AM25" s="82"/>
      <c r="AN25" s="82"/>
      <c r="AO25" s="82"/>
      <c r="AQ25" s="82"/>
      <c r="AR25" s="82"/>
    </row>
    <row r="26" spans="1:44" ht="18" customHeight="1" x14ac:dyDescent="0.25">
      <c r="A26" s="8"/>
      <c r="F26" s="96"/>
      <c r="G26" s="97"/>
      <c r="H26" s="97"/>
      <c r="I26" s="97"/>
      <c r="J26" s="97"/>
      <c r="S26" s="87"/>
      <c r="T26" s="87"/>
      <c r="U26" s="87"/>
      <c r="V26" s="87"/>
      <c r="AG26" s="83"/>
      <c r="AH26" s="83"/>
      <c r="AI26" s="83"/>
      <c r="AL26" s="82"/>
      <c r="AM26" s="82"/>
      <c r="AN26" s="82"/>
      <c r="AO26" s="82"/>
      <c r="AQ26" s="82"/>
      <c r="AR26" s="82"/>
    </row>
    <row r="27" spans="1:44" ht="18" customHeight="1" x14ac:dyDescent="0.25">
      <c r="A27" s="94"/>
      <c r="B27" s="95" t="s">
        <v>276</v>
      </c>
      <c r="C27" s="82"/>
      <c r="D27" s="87"/>
      <c r="E27" s="87"/>
      <c r="F27" s="87"/>
      <c r="G27" s="87"/>
      <c r="H27" s="87"/>
      <c r="I27" s="82"/>
      <c r="J27" s="87"/>
      <c r="K27" s="87"/>
      <c r="L27" s="87"/>
      <c r="M27" s="87"/>
      <c r="N27" s="87"/>
      <c r="O27" s="87"/>
      <c r="P27" s="87"/>
      <c r="Q27" s="94"/>
      <c r="W27" s="82"/>
      <c r="X27" s="82"/>
      <c r="Y27" s="82"/>
      <c r="Z27" s="87"/>
      <c r="AQ27" s="82"/>
      <c r="AR27" s="82"/>
    </row>
    <row r="28" spans="1:44" s="99" customFormat="1" ht="18" customHeight="1" x14ac:dyDescent="0.25">
      <c r="A28" s="98"/>
      <c r="B28" s="252"/>
      <c r="C28" s="253"/>
      <c r="D28" s="253"/>
      <c r="E28" s="253"/>
      <c r="F28" s="253"/>
      <c r="G28" s="253"/>
      <c r="H28" s="253"/>
      <c r="I28" s="253"/>
      <c r="J28" s="254"/>
      <c r="K28" s="3"/>
      <c r="L28" s="3"/>
      <c r="M28" s="3"/>
      <c r="N28" s="3"/>
      <c r="AQ28" s="82"/>
      <c r="AR28" s="82"/>
    </row>
    <row r="29" spans="1:44" s="99" customFormat="1" ht="18" customHeight="1" x14ac:dyDescent="0.25">
      <c r="A29" s="98"/>
      <c r="B29" s="255"/>
      <c r="C29" s="256"/>
      <c r="D29" s="256"/>
      <c r="E29" s="256"/>
      <c r="F29" s="256"/>
      <c r="G29" s="256"/>
      <c r="H29" s="256"/>
      <c r="I29" s="256"/>
      <c r="J29" s="257"/>
      <c r="K29" s="3"/>
      <c r="L29" s="3"/>
      <c r="M29" s="3"/>
      <c r="N29" s="3"/>
      <c r="AQ29" s="82"/>
      <c r="AR29" s="82"/>
    </row>
    <row r="30" spans="1:44" s="99" customFormat="1" ht="18" customHeight="1" x14ac:dyDescent="0.25">
      <c r="A30" s="98"/>
      <c r="B30" s="258"/>
      <c r="C30" s="259"/>
      <c r="D30" s="259"/>
      <c r="E30" s="259"/>
      <c r="F30" s="259"/>
      <c r="G30" s="259"/>
      <c r="H30" s="259"/>
      <c r="I30" s="259"/>
      <c r="J30" s="260"/>
      <c r="K30" s="3"/>
      <c r="L30" s="3"/>
      <c r="M30" s="3"/>
      <c r="N30" s="3"/>
      <c r="AQ30" s="82"/>
      <c r="AR30" s="82"/>
    </row>
    <row r="31" spans="1:44" s="99" customFormat="1" ht="18" customHeight="1" x14ac:dyDescent="0.25">
      <c r="A31" s="98"/>
      <c r="B31" s="100"/>
      <c r="C31" s="100"/>
      <c r="D31" s="100"/>
      <c r="E31" s="100"/>
      <c r="F31" s="100"/>
      <c r="G31" s="100"/>
      <c r="H31" s="100"/>
      <c r="I31" s="100"/>
      <c r="J31" s="100"/>
      <c r="K31" s="3"/>
      <c r="L31" s="3"/>
      <c r="M31" s="3"/>
      <c r="N31" s="3"/>
      <c r="AQ31" s="82"/>
      <c r="AR31" s="82"/>
    </row>
    <row r="32" spans="1:44" s="102" customFormat="1" ht="18" customHeight="1" x14ac:dyDescent="0.25">
      <c r="A32" s="8"/>
      <c r="B32" s="93" t="s">
        <v>277</v>
      </c>
      <c r="C32" s="101"/>
      <c r="D32" s="101"/>
      <c r="E32" s="101"/>
      <c r="F32" s="101"/>
      <c r="G32" s="101"/>
      <c r="I32" s="93" t="s">
        <v>278</v>
      </c>
      <c r="J32" s="101"/>
      <c r="K32" s="75"/>
      <c r="L32" s="75"/>
      <c r="M32" s="75"/>
      <c r="N32" s="75"/>
      <c r="AQ32" s="86"/>
      <c r="AR32" s="86"/>
    </row>
    <row r="33" spans="1:44" s="99" customFormat="1" ht="18" customHeight="1" x14ac:dyDescent="0.25">
      <c r="A33" s="98"/>
      <c r="B33" s="240"/>
      <c r="C33" s="241"/>
      <c r="D33" s="241"/>
      <c r="E33" s="242"/>
      <c r="F33" s="100"/>
      <c r="G33" s="100"/>
      <c r="I33" s="261"/>
      <c r="J33" s="262"/>
      <c r="K33" s="3"/>
      <c r="L33" s="3"/>
      <c r="M33" s="3"/>
      <c r="N33" s="3"/>
      <c r="AQ33" s="82"/>
      <c r="AR33" s="82"/>
    </row>
    <row r="34" spans="1:44" s="99" customFormat="1" ht="18" customHeight="1" x14ac:dyDescent="0.25">
      <c r="A34" s="98"/>
      <c r="B34" s="100"/>
      <c r="C34" s="100"/>
      <c r="D34" s="100"/>
      <c r="E34" s="100"/>
      <c r="F34" s="100"/>
      <c r="G34" s="100"/>
      <c r="H34" s="100"/>
      <c r="I34" s="100"/>
      <c r="J34" s="100"/>
      <c r="K34" s="3"/>
      <c r="L34" s="3"/>
      <c r="M34" s="3"/>
      <c r="N34" s="3"/>
      <c r="AQ34" s="82"/>
      <c r="AR34" s="82"/>
    </row>
    <row r="35" spans="1:44" s="99" customFormat="1" ht="18" customHeight="1" x14ac:dyDescent="0.25">
      <c r="A35" s="98"/>
      <c r="B35" s="93" t="s">
        <v>279</v>
      </c>
      <c r="C35" s="100"/>
      <c r="D35" s="100"/>
      <c r="E35" s="100"/>
      <c r="F35" s="100"/>
      <c r="G35" s="100"/>
      <c r="H35" s="100"/>
      <c r="I35" s="100"/>
      <c r="J35" s="100"/>
      <c r="K35" s="3"/>
      <c r="L35" s="3"/>
      <c r="M35" s="3"/>
      <c r="N35" s="3"/>
      <c r="AQ35" s="82"/>
      <c r="AR35" s="82"/>
    </row>
    <row r="36" spans="1:44" s="99" customFormat="1" ht="18" customHeight="1" x14ac:dyDescent="0.25">
      <c r="A36" s="98"/>
      <c r="B36" s="261"/>
      <c r="C36" s="262"/>
      <c r="D36" s="103"/>
      <c r="E36" s="103"/>
      <c r="F36" s="103"/>
      <c r="G36" s="103"/>
      <c r="H36" s="103"/>
      <c r="I36" s="103"/>
      <c r="J36" s="103"/>
      <c r="K36" s="3"/>
      <c r="L36" s="3"/>
      <c r="M36" s="3"/>
      <c r="N36" s="3"/>
      <c r="AQ36" s="82"/>
      <c r="AR36" s="82"/>
    </row>
    <row r="37" spans="1:44" s="99" customFormat="1" ht="18" customHeight="1" x14ac:dyDescent="0.25">
      <c r="A37" s="3"/>
      <c r="B37" s="104"/>
      <c r="C37" s="105"/>
      <c r="D37" s="105"/>
      <c r="E37" s="105"/>
      <c r="F37" s="105"/>
      <c r="G37" s="3"/>
      <c r="H37" s="3"/>
      <c r="I37" s="3"/>
      <c r="J37" s="3"/>
      <c r="K37" s="3"/>
      <c r="L37" s="3"/>
      <c r="M37" s="3"/>
      <c r="N37" s="3"/>
      <c r="O37" s="3"/>
      <c r="AQ37" s="82"/>
      <c r="AR37" s="82"/>
    </row>
    <row r="38" spans="1:44" s="99" customFormat="1" ht="18" customHeight="1" x14ac:dyDescent="0.25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AQ38" s="82"/>
      <c r="AR38" s="82"/>
    </row>
    <row r="39" spans="1:44" s="74" customFormat="1" ht="18" customHeight="1" x14ac:dyDescent="0.25">
      <c r="B39" s="106" t="s">
        <v>280</v>
      </c>
      <c r="C39" s="107"/>
      <c r="D39" s="108"/>
      <c r="E39" s="108"/>
      <c r="F39" s="108"/>
      <c r="G39" s="108"/>
      <c r="H39" s="108"/>
      <c r="I39" s="107"/>
      <c r="J39" s="108"/>
      <c r="K39" s="108"/>
      <c r="L39" s="108"/>
      <c r="M39" s="108"/>
      <c r="N39" s="108"/>
      <c r="O39" s="108"/>
      <c r="P39" s="108"/>
      <c r="Q39" s="106"/>
      <c r="W39" s="107"/>
      <c r="X39" s="107"/>
      <c r="Y39" s="107"/>
      <c r="Z39" s="108"/>
      <c r="AQ39" s="107"/>
      <c r="AR39" s="107"/>
    </row>
    <row r="40" spans="1:44" ht="18" customHeight="1" x14ac:dyDescent="0.25">
      <c r="B40" s="75" t="s">
        <v>281</v>
      </c>
    </row>
    <row r="41" spans="1:44" ht="18" customHeight="1" x14ac:dyDescent="0.25">
      <c r="A41" s="109"/>
      <c r="B41" s="265"/>
      <c r="C41" s="266"/>
      <c r="D41" s="266"/>
      <c r="E41" s="266"/>
      <c r="F41" s="266"/>
      <c r="G41" s="266"/>
      <c r="H41" s="267"/>
    </row>
    <row r="42" spans="1:44" ht="18" customHeight="1" x14ac:dyDescent="0.25">
      <c r="A42" s="94"/>
      <c r="B42" s="110" t="s">
        <v>282</v>
      </c>
      <c r="C42" s="111"/>
      <c r="D42" s="111"/>
      <c r="E42" s="77"/>
      <c r="F42" s="77"/>
      <c r="G42" s="77"/>
    </row>
    <row r="43" spans="1:44" ht="18" customHeight="1" x14ac:dyDescent="0.25">
      <c r="A43" s="8"/>
      <c r="B43" s="265"/>
      <c r="C43" s="266"/>
      <c r="D43" s="266"/>
      <c r="E43" s="266"/>
      <c r="F43" s="266"/>
      <c r="G43" s="266"/>
      <c r="H43" s="267"/>
    </row>
    <row r="44" spans="1:44" ht="18" customHeight="1" x14ac:dyDescent="0.25">
      <c r="A44" s="8"/>
      <c r="B44" s="112" t="s">
        <v>283</v>
      </c>
      <c r="C44" s="113"/>
      <c r="D44" s="114"/>
      <c r="E44" s="87"/>
      <c r="F44" s="87"/>
      <c r="G44" s="87"/>
    </row>
    <row r="45" spans="1:44" ht="18" customHeight="1" x14ac:dyDescent="0.25">
      <c r="A45" s="115"/>
      <c r="B45" s="265"/>
      <c r="C45" s="266"/>
      <c r="D45" s="266"/>
      <c r="E45" s="267"/>
      <c r="F45" s="116"/>
      <c r="G45" s="116"/>
    </row>
    <row r="46" spans="1:44" ht="18" customHeight="1" x14ac:dyDescent="0.25">
      <c r="A46" s="115"/>
      <c r="E46" s="116"/>
      <c r="F46" s="116"/>
      <c r="G46" s="116"/>
    </row>
    <row r="47" spans="1:44" ht="18" customHeight="1" x14ac:dyDescent="0.25">
      <c r="B47" s="75" t="s">
        <v>284</v>
      </c>
      <c r="D47" s="75"/>
      <c r="E47" s="75"/>
      <c r="F47" s="75"/>
      <c r="G47" s="116"/>
      <c r="H47" s="116"/>
    </row>
    <row r="48" spans="1:44" ht="18" customHeight="1" x14ac:dyDescent="0.25">
      <c r="B48" s="8"/>
      <c r="D48" s="117" t="s">
        <v>285</v>
      </c>
      <c r="E48" s="117"/>
      <c r="F48" s="117"/>
      <c r="G48" s="118" t="s">
        <v>286</v>
      </c>
      <c r="H48" s="116"/>
    </row>
    <row r="49" spans="2:55" ht="18" customHeight="1" x14ac:dyDescent="0.25">
      <c r="B49" s="119"/>
      <c r="D49" s="120">
        <v>2000</v>
      </c>
      <c r="E49" s="121" t="str">
        <f>IF(ISBLANK(D49),"",IF(OR(NOT(ISNUMBER(D49)),NOT(ISNUMBER(G49))),"Numbers only",""))</f>
        <v/>
      </c>
      <c r="F49" s="122"/>
      <c r="G49" s="123">
        <v>2010</v>
      </c>
      <c r="H49" s="77"/>
    </row>
    <row r="50" spans="2:55" ht="18" customHeight="1" x14ac:dyDescent="0.25">
      <c r="B50" s="8"/>
      <c r="D50" s="120">
        <v>4000</v>
      </c>
      <c r="E50" s="124" t="str">
        <f>IF(ISBLANK(D50),"",IF(OR(NOT(ISNUMBER(D50)),NOT(ISNUMBER(G50))),"Numbers only",""))</f>
        <v/>
      </c>
      <c r="F50" s="122"/>
      <c r="G50" s="123">
        <v>4010</v>
      </c>
      <c r="H50" s="77"/>
    </row>
    <row r="51" spans="2:55" ht="18" customHeight="1" x14ac:dyDescent="0.25">
      <c r="B51" s="8"/>
      <c r="D51" s="120">
        <v>6000</v>
      </c>
      <c r="E51" s="124" t="str">
        <f>IF(ISBLANK(D51),"",IF(OR(NOT(ISNUMBER(D51)),NOT(ISNUMBER(G51))),"Numbers only",""))</f>
        <v/>
      </c>
      <c r="F51" s="122"/>
      <c r="G51" s="123">
        <v>6010</v>
      </c>
      <c r="H51" s="77"/>
    </row>
    <row r="52" spans="2:55" ht="18" customHeight="1" x14ac:dyDescent="0.25">
      <c r="B52" s="8"/>
      <c r="D52" s="120"/>
      <c r="E52" s="124" t="str">
        <f>IF(ISBLANK(D52),"",IF(OR(NOT(ISNUMBER(D52)),NOT(ISNUMBER(G52))),"Numbers only",""))</f>
        <v/>
      </c>
      <c r="F52" s="122"/>
      <c r="G52" s="123"/>
    </row>
    <row r="53" spans="2:55" ht="18" customHeight="1" x14ac:dyDescent="0.25">
      <c r="B53" s="8"/>
      <c r="C53" s="3" t="str">
        <f>IF(NOT(COUNT(D49:D52)=COUNT(G49:G52)),"Reference and proposed methods must have the same number of thresholds","")</f>
        <v/>
      </c>
    </row>
    <row r="54" spans="2:55" ht="18" customHeight="1" x14ac:dyDescent="0.25">
      <c r="B54" s="8"/>
      <c r="D54" s="274" t="s">
        <v>0</v>
      </c>
      <c r="E54" s="274"/>
      <c r="F54" s="274"/>
      <c r="G54" s="274" t="s">
        <v>1</v>
      </c>
      <c r="H54" s="274"/>
      <c r="I54" s="274"/>
    </row>
    <row r="55" spans="2:55" ht="18" customHeight="1" x14ac:dyDescent="0.25">
      <c r="B55" s="269" t="s">
        <v>287</v>
      </c>
      <c r="C55" s="270"/>
      <c r="D55" s="271"/>
      <c r="E55" s="271"/>
      <c r="F55" s="271"/>
      <c r="G55" s="271"/>
      <c r="H55" s="271"/>
      <c r="I55" s="271"/>
    </row>
    <row r="56" spans="2:55" ht="18" customHeight="1" x14ac:dyDescent="0.25">
      <c r="B56" s="269" t="s">
        <v>288</v>
      </c>
      <c r="C56" s="270"/>
      <c r="D56" s="271"/>
      <c r="E56" s="271"/>
      <c r="F56" s="271"/>
      <c r="G56" s="271"/>
      <c r="H56" s="271"/>
      <c r="I56" s="271"/>
    </row>
    <row r="57" spans="2:55" ht="18" customHeight="1" x14ac:dyDescent="0.25">
      <c r="B57" s="8"/>
    </row>
    <row r="58" spans="2:55" ht="18" customHeight="1" x14ac:dyDescent="0.25">
      <c r="B58" s="8"/>
    </row>
    <row r="59" spans="2:55" ht="18" customHeight="1" x14ac:dyDescent="0.25">
      <c r="B59" s="8"/>
      <c r="C59" s="94"/>
      <c r="D59" s="272" t="s">
        <v>0</v>
      </c>
      <c r="E59" s="272"/>
      <c r="F59" s="272"/>
      <c r="G59" s="272" t="s">
        <v>1</v>
      </c>
      <c r="H59" s="272"/>
      <c r="I59" s="272"/>
      <c r="J59" s="86"/>
      <c r="K59" s="86"/>
      <c r="L59" s="86"/>
      <c r="M59" s="86"/>
      <c r="O59" s="3" t="s">
        <v>0</v>
      </c>
      <c r="R59" s="3" t="s">
        <v>1</v>
      </c>
    </row>
    <row r="60" spans="2:55" ht="18" customHeight="1" x14ac:dyDescent="0.25">
      <c r="B60" s="273" t="s">
        <v>2</v>
      </c>
      <c r="C60" s="273"/>
      <c r="D60" s="125" t="s">
        <v>289</v>
      </c>
      <c r="E60" s="125" t="s">
        <v>3</v>
      </c>
      <c r="F60" s="125" t="s">
        <v>4</v>
      </c>
      <c r="G60" s="6" t="str">
        <f>D60</f>
        <v>Operator</v>
      </c>
      <c r="H60" s="125" t="s">
        <v>3</v>
      </c>
      <c r="I60" s="125" t="s">
        <v>4</v>
      </c>
      <c r="J60" s="126" t="s">
        <v>290</v>
      </c>
      <c r="K60" s="278" t="s">
        <v>291</v>
      </c>
      <c r="L60" s="279"/>
      <c r="M60" s="280"/>
      <c r="O60" s="127" t="s">
        <v>292</v>
      </c>
      <c r="P60" s="128" t="s">
        <v>293</v>
      </c>
      <c r="Q60" s="128" t="s">
        <v>294</v>
      </c>
      <c r="R60" s="128" t="s">
        <v>295</v>
      </c>
      <c r="S60" s="128" t="s">
        <v>296</v>
      </c>
      <c r="T60" s="128" t="s">
        <v>297</v>
      </c>
    </row>
    <row r="61" spans="2:55" ht="18" customHeight="1" x14ac:dyDescent="0.25">
      <c r="B61" s="322">
        <v>1000</v>
      </c>
      <c r="C61" s="322"/>
      <c r="D61" s="9"/>
      <c r="E61" s="129" t="s">
        <v>241</v>
      </c>
      <c r="F61" s="129"/>
      <c r="G61" s="9"/>
      <c r="H61" s="129" t="s">
        <v>241</v>
      </c>
      <c r="I61" s="9"/>
      <c r="J61" s="130" t="s">
        <v>299</v>
      </c>
      <c r="K61" s="277"/>
      <c r="L61" s="277"/>
      <c r="M61" s="277"/>
      <c r="O61" s="131" t="str">
        <f t="shared" ref="O61:O124" si="0">IF($J61="INCLUDE",E61,"")</f>
        <v>A</v>
      </c>
      <c r="P61" s="132" t="str">
        <f t="shared" ref="P61:P124" si="1">IF(AND($J61="INCLUDE",ISNUMBER(F61)),F61,"")</f>
        <v/>
      </c>
      <c r="Q61" s="132" t="e">
        <f t="shared" ref="Q61:Q124" si="2">IF($J61="INCLUDE",AVERAGE(O61:P61),"")</f>
        <v>#DIV/0!</v>
      </c>
      <c r="R61" s="132" t="str">
        <f t="shared" ref="R61:R124" si="3">IF($J61="INCLUDE",H61,"")</f>
        <v>A</v>
      </c>
      <c r="S61" s="132" t="str">
        <f t="shared" ref="S61:S124" si="4">IF(AND($J61="INCLUDE",ISNUMBER(I61)),I61,"")</f>
        <v/>
      </c>
      <c r="T61" s="132" t="e">
        <f t="shared" ref="T61:T124" si="5">IF($J61="INCLUDE",AVERAGE(R61:S61),"")</f>
        <v>#DIV/0!</v>
      </c>
      <c r="AP61" s="3" t="s">
        <v>95</v>
      </c>
      <c r="AQ61" s="3" t="s">
        <v>300</v>
      </c>
      <c r="AR61" s="3" t="s">
        <v>5</v>
      </c>
      <c r="AS61" s="3" t="s">
        <v>6</v>
      </c>
    </row>
    <row r="62" spans="2:55" ht="18" customHeight="1" x14ac:dyDescent="0.25">
      <c r="B62" s="322">
        <v>1001</v>
      </c>
      <c r="C62" s="322"/>
      <c r="D62" s="9"/>
      <c r="E62" s="129" t="s">
        <v>241</v>
      </c>
      <c r="F62" s="9"/>
      <c r="G62" s="9"/>
      <c r="H62" s="9" t="s">
        <v>241</v>
      </c>
      <c r="I62" s="9"/>
      <c r="J62" s="130" t="s">
        <v>299</v>
      </c>
      <c r="K62" s="277"/>
      <c r="L62" s="277"/>
      <c r="M62" s="277"/>
      <c r="O62" s="131" t="str">
        <f t="shared" si="0"/>
        <v>A</v>
      </c>
      <c r="P62" s="132" t="str">
        <f t="shared" si="1"/>
        <v/>
      </c>
      <c r="Q62" s="132" t="e">
        <f t="shared" si="2"/>
        <v>#DIV/0!</v>
      </c>
      <c r="R62" s="132" t="str">
        <f t="shared" si="3"/>
        <v>A</v>
      </c>
      <c r="S62" s="132" t="str">
        <f t="shared" si="4"/>
        <v/>
      </c>
      <c r="T62" s="132" t="e">
        <f t="shared" si="5"/>
        <v>#DIV/0!</v>
      </c>
      <c r="AP62" s="3">
        <v>10559.5</v>
      </c>
      <c r="AQ62" s="3">
        <v>3.4471329134902223E-2</v>
      </c>
      <c r="AR62" s="3">
        <v>10377.5</v>
      </c>
      <c r="AS62" s="3">
        <v>10741.5</v>
      </c>
      <c r="AT62" s="3">
        <v>444.75</v>
      </c>
      <c r="AU62" s="3">
        <v>2.9560018366431778E-2</v>
      </c>
      <c r="AV62" s="3">
        <v>444.75</v>
      </c>
      <c r="AW62" s="3">
        <v>0.16132419694229849</v>
      </c>
      <c r="AX62" s="3">
        <v>444.75</v>
      </c>
      <c r="AY62" s="3">
        <v>-0.10220416020943494</v>
      </c>
      <c r="AZ62" s="3">
        <v>100</v>
      </c>
      <c r="BA62" s="3">
        <v>0.1</v>
      </c>
      <c r="BB62" s="3">
        <v>100</v>
      </c>
      <c r="BC62" s="3">
        <v>-0.1</v>
      </c>
    </row>
    <row r="63" spans="2:55" ht="18" customHeight="1" x14ac:dyDescent="0.25">
      <c r="B63" s="322">
        <v>1002</v>
      </c>
      <c r="C63" s="322"/>
      <c r="D63" s="9"/>
      <c r="E63" s="129" t="s">
        <v>241</v>
      </c>
      <c r="F63" s="9"/>
      <c r="G63" s="9"/>
      <c r="H63" s="9" t="s">
        <v>241</v>
      </c>
      <c r="I63" s="9"/>
      <c r="J63" s="130" t="s">
        <v>299</v>
      </c>
      <c r="K63" s="277"/>
      <c r="L63" s="277"/>
      <c r="M63" s="277"/>
      <c r="O63" s="131" t="str">
        <f t="shared" si="0"/>
        <v>A</v>
      </c>
      <c r="P63" s="132" t="str">
        <f t="shared" si="1"/>
        <v/>
      </c>
      <c r="Q63" s="132" t="e">
        <f t="shared" si="2"/>
        <v>#DIV/0!</v>
      </c>
      <c r="R63" s="132" t="str">
        <f t="shared" si="3"/>
        <v>A</v>
      </c>
      <c r="S63" s="132" t="str">
        <f t="shared" si="4"/>
        <v/>
      </c>
      <c r="T63" s="132" t="e">
        <f t="shared" si="5"/>
        <v>#DIV/0!</v>
      </c>
      <c r="AP63" s="3">
        <v>3952.25</v>
      </c>
      <c r="AQ63" s="3">
        <v>-5.2501739515465877E-2</v>
      </c>
      <c r="AR63" s="3">
        <v>4056</v>
      </c>
      <c r="AS63" s="3">
        <v>3848.5</v>
      </c>
      <c r="AT63" s="3">
        <v>17217.75</v>
      </c>
      <c r="AU63" s="3">
        <v>2.9560018366431778E-2</v>
      </c>
      <c r="AV63" s="3">
        <v>17217.75</v>
      </c>
      <c r="AW63" s="3">
        <v>0.16132419694229849</v>
      </c>
      <c r="AX63" s="3">
        <v>17217.75</v>
      </c>
      <c r="AY63" s="3">
        <v>-0.10220416020943494</v>
      </c>
      <c r="AZ63" s="3">
        <v>17217.75</v>
      </c>
      <c r="BA63" s="3">
        <v>0.1</v>
      </c>
      <c r="BB63" s="3">
        <v>17217.75</v>
      </c>
      <c r="BC63" s="3">
        <v>-0.1</v>
      </c>
    </row>
    <row r="64" spans="2:55" ht="18" customHeight="1" x14ac:dyDescent="0.25">
      <c r="B64" s="322">
        <v>1003</v>
      </c>
      <c r="C64" s="322"/>
      <c r="D64" s="9"/>
      <c r="E64" s="129" t="s">
        <v>241</v>
      </c>
      <c r="F64" s="129"/>
      <c r="G64" s="9"/>
      <c r="H64" s="129" t="s">
        <v>241</v>
      </c>
      <c r="I64" s="9"/>
      <c r="J64" s="130" t="s">
        <v>299</v>
      </c>
      <c r="K64" s="277"/>
      <c r="L64" s="277"/>
      <c r="M64" s="277"/>
      <c r="O64" s="131" t="str">
        <f t="shared" si="0"/>
        <v>A</v>
      </c>
      <c r="P64" s="132" t="str">
        <f t="shared" si="1"/>
        <v/>
      </c>
      <c r="Q64" s="132" t="e">
        <f t="shared" si="2"/>
        <v>#DIV/0!</v>
      </c>
      <c r="R64" s="132" t="str">
        <f t="shared" si="3"/>
        <v>A</v>
      </c>
      <c r="S64" s="132" t="str">
        <f t="shared" si="4"/>
        <v/>
      </c>
      <c r="T64" s="132" t="e">
        <f t="shared" si="5"/>
        <v>#DIV/0!</v>
      </c>
      <c r="AP64" s="3">
        <v>2654.75</v>
      </c>
      <c r="AQ64" s="3">
        <v>5.6502495526885774E-4</v>
      </c>
      <c r="AR64" s="3">
        <v>2654</v>
      </c>
      <c r="AS64" s="3">
        <v>2655.5</v>
      </c>
    </row>
    <row r="65" spans="2:55" ht="18" customHeight="1" x14ac:dyDescent="0.25">
      <c r="B65" s="322">
        <v>1004</v>
      </c>
      <c r="C65" s="322"/>
      <c r="D65" s="9"/>
      <c r="E65" s="129" t="s">
        <v>241</v>
      </c>
      <c r="F65" s="9"/>
      <c r="G65" s="9"/>
      <c r="H65" s="9" t="s">
        <v>241</v>
      </c>
      <c r="I65" s="9"/>
      <c r="J65" s="130" t="s">
        <v>299</v>
      </c>
      <c r="K65" s="277"/>
      <c r="L65" s="277"/>
      <c r="M65" s="277"/>
      <c r="O65" s="131" t="str">
        <f t="shared" si="0"/>
        <v>A</v>
      </c>
      <c r="P65" s="132" t="str">
        <f t="shared" si="1"/>
        <v/>
      </c>
      <c r="Q65" s="132" t="e">
        <f t="shared" si="2"/>
        <v>#DIV/0!</v>
      </c>
      <c r="R65" s="132" t="str">
        <f t="shared" si="3"/>
        <v>A</v>
      </c>
      <c r="S65" s="132" t="str">
        <f t="shared" si="4"/>
        <v/>
      </c>
      <c r="T65" s="132" t="e">
        <f t="shared" si="5"/>
        <v>#DIV/0!</v>
      </c>
      <c r="AP65" s="3">
        <v>4968.75</v>
      </c>
      <c r="AQ65" s="3">
        <v>8.925786163522012E-2</v>
      </c>
      <c r="AR65" s="3">
        <v>4747</v>
      </c>
      <c r="AS65" s="3">
        <v>5190.5</v>
      </c>
    </row>
    <row r="66" spans="2:55" ht="18" customHeight="1" x14ac:dyDescent="0.25">
      <c r="B66" s="322">
        <v>1005</v>
      </c>
      <c r="C66" s="322"/>
      <c r="D66" s="9"/>
      <c r="E66" s="129" t="s">
        <v>241</v>
      </c>
      <c r="F66" s="9"/>
      <c r="G66" s="9"/>
      <c r="H66" s="9" t="s">
        <v>241</v>
      </c>
      <c r="I66" s="9"/>
      <c r="J66" s="130" t="s">
        <v>299</v>
      </c>
      <c r="K66" s="277"/>
      <c r="L66" s="277"/>
      <c r="M66" s="277"/>
      <c r="O66" s="131" t="str">
        <f t="shared" si="0"/>
        <v>A</v>
      </c>
      <c r="P66" s="132" t="str">
        <f t="shared" si="1"/>
        <v/>
      </c>
      <c r="Q66" s="132" t="e">
        <f t="shared" si="2"/>
        <v>#DIV/0!</v>
      </c>
      <c r="R66" s="132" t="str">
        <f t="shared" si="3"/>
        <v>A</v>
      </c>
      <c r="S66" s="132" t="str">
        <f t="shared" si="4"/>
        <v/>
      </c>
      <c r="T66" s="132" t="e">
        <f t="shared" si="5"/>
        <v>#DIV/0!</v>
      </c>
      <c r="AP66" s="3">
        <v>1507</v>
      </c>
      <c r="AQ66" s="3">
        <v>6.3039150630391505E-2</v>
      </c>
      <c r="AR66" s="3">
        <v>1459.5</v>
      </c>
      <c r="AS66" s="3">
        <v>1554.5</v>
      </c>
    </row>
    <row r="67" spans="2:55" ht="18" customHeight="1" x14ac:dyDescent="0.25">
      <c r="B67" s="322">
        <v>1006</v>
      </c>
      <c r="C67" s="322"/>
      <c r="D67" s="9"/>
      <c r="E67" s="129" t="s">
        <v>241</v>
      </c>
      <c r="F67" s="129"/>
      <c r="G67" s="9"/>
      <c r="H67" s="129" t="s">
        <v>241</v>
      </c>
      <c r="I67" s="9"/>
      <c r="J67" s="130" t="s">
        <v>299</v>
      </c>
      <c r="K67" s="277"/>
      <c r="L67" s="277"/>
      <c r="M67" s="277"/>
      <c r="O67" s="131" t="str">
        <f t="shared" si="0"/>
        <v>A</v>
      </c>
      <c r="P67" s="132" t="str">
        <f t="shared" si="1"/>
        <v/>
      </c>
      <c r="Q67" s="132" t="e">
        <f t="shared" si="2"/>
        <v>#DIV/0!</v>
      </c>
      <c r="R67" s="132" t="str">
        <f t="shared" si="3"/>
        <v>A</v>
      </c>
      <c r="S67" s="132" t="str">
        <f t="shared" si="4"/>
        <v/>
      </c>
      <c r="T67" s="132" t="e">
        <f t="shared" si="5"/>
        <v>#DIV/0!</v>
      </c>
      <c r="AP67" s="3">
        <v>5952.5</v>
      </c>
      <c r="AQ67" s="3">
        <v>2.4359512809743807E-2</v>
      </c>
      <c r="AR67" s="3">
        <v>5880</v>
      </c>
      <c r="AS67" s="3">
        <v>6025</v>
      </c>
    </row>
    <row r="68" spans="2:55" ht="18" customHeight="1" x14ac:dyDescent="0.25">
      <c r="B68" s="322">
        <v>1007</v>
      </c>
      <c r="C68" s="322"/>
      <c r="D68" s="9"/>
      <c r="E68" s="129" t="s">
        <v>241</v>
      </c>
      <c r="F68" s="129"/>
      <c r="G68" s="9"/>
      <c r="H68" s="129" t="s">
        <v>241</v>
      </c>
      <c r="I68" s="9"/>
      <c r="J68" s="130" t="s">
        <v>299</v>
      </c>
      <c r="K68" s="277"/>
      <c r="L68" s="277"/>
      <c r="M68" s="277"/>
      <c r="O68" s="131" t="str">
        <f t="shared" si="0"/>
        <v>A</v>
      </c>
      <c r="P68" s="132" t="str">
        <f t="shared" si="1"/>
        <v/>
      </c>
      <c r="Q68" s="132" t="e">
        <f t="shared" si="2"/>
        <v>#DIV/0!</v>
      </c>
      <c r="R68" s="132" t="str">
        <f t="shared" si="3"/>
        <v>A</v>
      </c>
      <c r="S68" s="132" t="str">
        <f t="shared" si="4"/>
        <v/>
      </c>
      <c r="T68" s="132" t="e">
        <f t="shared" si="5"/>
        <v>#DIV/0!</v>
      </c>
      <c r="AP68" s="3">
        <v>3866.25</v>
      </c>
      <c r="AQ68" s="3">
        <v>-2.4571613320400905E-3</v>
      </c>
      <c r="AR68" s="3">
        <v>3871</v>
      </c>
      <c r="AS68" s="3">
        <v>3861.5</v>
      </c>
    </row>
    <row r="69" spans="2:55" ht="18" customHeight="1" x14ac:dyDescent="0.25">
      <c r="B69" s="322">
        <v>1008</v>
      </c>
      <c r="C69" s="322"/>
      <c r="D69" s="9"/>
      <c r="E69" s="129" t="s">
        <v>241</v>
      </c>
      <c r="F69" s="9"/>
      <c r="G69" s="9"/>
      <c r="H69" s="9" t="s">
        <v>240</v>
      </c>
      <c r="I69" s="9"/>
      <c r="J69" s="130" t="s">
        <v>299</v>
      </c>
      <c r="K69" s="277"/>
      <c r="L69" s="277"/>
      <c r="M69" s="277"/>
      <c r="O69" s="131" t="str">
        <f t="shared" si="0"/>
        <v>A</v>
      </c>
      <c r="P69" s="132" t="str">
        <f t="shared" si="1"/>
        <v/>
      </c>
      <c r="Q69" s="132" t="e">
        <f t="shared" si="2"/>
        <v>#DIV/0!</v>
      </c>
      <c r="R69" s="132" t="str">
        <f t="shared" si="3"/>
        <v>B</v>
      </c>
      <c r="S69" s="132" t="str">
        <f t="shared" si="4"/>
        <v/>
      </c>
      <c r="T69" s="132" t="e">
        <f t="shared" si="5"/>
        <v>#DIV/0!</v>
      </c>
      <c r="AC69" s="104"/>
      <c r="AP69" s="3">
        <v>2497.25</v>
      </c>
      <c r="AQ69" s="3">
        <v>2.9031935128641505E-2</v>
      </c>
      <c r="AR69" s="3">
        <v>2461</v>
      </c>
      <c r="AS69" s="3">
        <v>2533.5</v>
      </c>
    </row>
    <row r="70" spans="2:55" ht="18" customHeight="1" x14ac:dyDescent="0.25">
      <c r="B70" s="322">
        <v>1009</v>
      </c>
      <c r="C70" s="322"/>
      <c r="D70" s="9"/>
      <c r="E70" s="129" t="s">
        <v>241</v>
      </c>
      <c r="F70" s="129"/>
      <c r="G70" s="9"/>
      <c r="H70" s="129" t="s">
        <v>240</v>
      </c>
      <c r="I70" s="9"/>
      <c r="J70" s="130" t="s">
        <v>299</v>
      </c>
      <c r="K70" s="277"/>
      <c r="L70" s="277"/>
      <c r="M70" s="277"/>
      <c r="O70" s="131" t="str">
        <f t="shared" si="0"/>
        <v>A</v>
      </c>
      <c r="P70" s="132" t="str">
        <f t="shared" si="1"/>
        <v/>
      </c>
      <c r="Q70" s="132" t="e">
        <f t="shared" si="2"/>
        <v>#DIV/0!</v>
      </c>
      <c r="R70" s="132" t="str">
        <f t="shared" si="3"/>
        <v>B</v>
      </c>
      <c r="S70" s="132" t="str">
        <f t="shared" si="4"/>
        <v/>
      </c>
      <c r="T70" s="132" t="e">
        <f t="shared" si="5"/>
        <v>#DIV/0!</v>
      </c>
      <c r="AC70" s="104"/>
      <c r="AP70" s="3">
        <v>1830</v>
      </c>
      <c r="AQ70" s="3">
        <v>3.0601092896174863E-2</v>
      </c>
      <c r="AR70" s="3">
        <v>1802</v>
      </c>
      <c r="AS70" s="3">
        <v>1858</v>
      </c>
    </row>
    <row r="71" spans="2:55" ht="18" customHeight="1" x14ac:dyDescent="0.25">
      <c r="B71" s="322">
        <v>1010</v>
      </c>
      <c r="C71" s="322"/>
      <c r="D71" s="9"/>
      <c r="E71" s="129" t="s">
        <v>240</v>
      </c>
      <c r="F71" s="129"/>
      <c r="G71" s="9"/>
      <c r="H71" s="129" t="s">
        <v>241</v>
      </c>
      <c r="I71" s="9"/>
      <c r="J71" s="130" t="s">
        <v>299</v>
      </c>
      <c r="K71" s="277"/>
      <c r="L71" s="277"/>
      <c r="M71" s="277"/>
      <c r="O71" s="131" t="str">
        <f t="shared" si="0"/>
        <v>B</v>
      </c>
      <c r="P71" s="132" t="str">
        <f t="shared" si="1"/>
        <v/>
      </c>
      <c r="Q71" s="132" t="e">
        <f t="shared" si="2"/>
        <v>#DIV/0!</v>
      </c>
      <c r="R71" s="132" t="str">
        <f t="shared" si="3"/>
        <v>A</v>
      </c>
      <c r="S71" s="132" t="str">
        <f t="shared" si="4"/>
        <v/>
      </c>
      <c r="T71" s="132" t="e">
        <f t="shared" si="5"/>
        <v>#DIV/0!</v>
      </c>
      <c r="AP71" s="3">
        <v>1621.75</v>
      </c>
      <c r="AQ71" s="3">
        <v>1.7573608755973486E-2</v>
      </c>
      <c r="AR71" s="3">
        <v>1607.5</v>
      </c>
      <c r="AS71" s="3">
        <v>1636</v>
      </c>
      <c r="AV71" s="3">
        <v>408.5</v>
      </c>
      <c r="AW71" s="3">
        <v>408.5</v>
      </c>
      <c r="AX71" s="3">
        <v>408.5</v>
      </c>
      <c r="AY71" s="3">
        <v>465.2344989898815</v>
      </c>
      <c r="AZ71" s="3">
        <v>100</v>
      </c>
      <c r="BA71" s="3">
        <v>110</v>
      </c>
      <c r="BB71" s="3">
        <v>100</v>
      </c>
      <c r="BC71" s="3">
        <v>90</v>
      </c>
    </row>
    <row r="72" spans="2:55" ht="18" customHeight="1" x14ac:dyDescent="0.25">
      <c r="B72" s="322">
        <v>1011</v>
      </c>
      <c r="C72" s="322"/>
      <c r="D72" s="9"/>
      <c r="E72" s="129" t="s">
        <v>240</v>
      </c>
      <c r="F72" s="129"/>
      <c r="G72" s="9"/>
      <c r="H72" s="129" t="s">
        <v>240</v>
      </c>
      <c r="I72" s="9"/>
      <c r="J72" s="130" t="s">
        <v>299</v>
      </c>
      <c r="K72" s="277"/>
      <c r="L72" s="277"/>
      <c r="M72" s="277"/>
      <c r="O72" s="131" t="str">
        <f t="shared" si="0"/>
        <v>B</v>
      </c>
      <c r="P72" s="132" t="str">
        <f t="shared" si="1"/>
        <v/>
      </c>
      <c r="Q72" s="132" t="e">
        <f t="shared" si="2"/>
        <v>#DIV/0!</v>
      </c>
      <c r="R72" s="132" t="str">
        <f t="shared" si="3"/>
        <v>B</v>
      </c>
      <c r="S72" s="132" t="str">
        <f t="shared" si="4"/>
        <v/>
      </c>
      <c r="T72" s="132" t="e">
        <f t="shared" si="5"/>
        <v>#DIV/0!</v>
      </c>
      <c r="AP72" s="3">
        <v>4335.25</v>
      </c>
      <c r="AQ72" s="3">
        <v>2.8833400611268092E-3</v>
      </c>
      <c r="AR72" s="3">
        <v>4329</v>
      </c>
      <c r="AS72" s="3">
        <v>4341.5</v>
      </c>
      <c r="AV72" s="3">
        <v>17859</v>
      </c>
      <c r="AW72" s="3">
        <v>17859</v>
      </c>
      <c r="AX72" s="3">
        <v>17859</v>
      </c>
      <c r="AY72" s="3">
        <v>17894.649250210412</v>
      </c>
      <c r="AZ72" s="3">
        <v>17859</v>
      </c>
      <c r="BA72" s="3">
        <v>19644.900000000001</v>
      </c>
      <c r="BB72" s="3">
        <v>17859</v>
      </c>
      <c r="BC72" s="3">
        <v>16073.1</v>
      </c>
    </row>
    <row r="73" spans="2:55" ht="18" customHeight="1" x14ac:dyDescent="0.25">
      <c r="B73" s="322">
        <v>1012</v>
      </c>
      <c r="C73" s="322"/>
      <c r="D73" s="9"/>
      <c r="E73" s="129" t="s">
        <v>240</v>
      </c>
      <c r="F73" s="129"/>
      <c r="G73" s="9"/>
      <c r="H73" s="129" t="s">
        <v>240</v>
      </c>
      <c r="I73" s="9"/>
      <c r="J73" s="130" t="s">
        <v>299</v>
      </c>
      <c r="K73" s="277"/>
      <c r="L73" s="277"/>
      <c r="M73" s="277"/>
      <c r="O73" s="131" t="str">
        <f t="shared" si="0"/>
        <v>B</v>
      </c>
      <c r="P73" s="132" t="str">
        <f t="shared" si="1"/>
        <v/>
      </c>
      <c r="Q73" s="132" t="e">
        <f t="shared" si="2"/>
        <v>#DIV/0!</v>
      </c>
      <c r="R73" s="132" t="str">
        <f t="shared" si="3"/>
        <v>B</v>
      </c>
      <c r="S73" s="132" t="str">
        <f t="shared" si="4"/>
        <v/>
      </c>
      <c r="T73" s="132" t="e">
        <f t="shared" si="5"/>
        <v>#DIV/0!</v>
      </c>
      <c r="AC73" s="104"/>
      <c r="AP73" s="3">
        <v>8048.25</v>
      </c>
      <c r="AQ73" s="3">
        <v>3.3982542788805019E-2</v>
      </c>
      <c r="AR73" s="3">
        <v>7911.5</v>
      </c>
      <c r="AS73" s="3">
        <v>8185</v>
      </c>
    </row>
    <row r="74" spans="2:55" ht="18" customHeight="1" x14ac:dyDescent="0.25">
      <c r="B74" s="322">
        <v>1013</v>
      </c>
      <c r="C74" s="322"/>
      <c r="D74" s="9"/>
      <c r="E74" s="129" t="s">
        <v>240</v>
      </c>
      <c r="F74" s="9"/>
      <c r="G74" s="9"/>
      <c r="H74" s="9" t="s">
        <v>240</v>
      </c>
      <c r="I74" s="9"/>
      <c r="J74" s="130" t="s">
        <v>299</v>
      </c>
      <c r="K74" s="277"/>
      <c r="L74" s="277"/>
      <c r="M74" s="277"/>
      <c r="O74" s="131" t="str">
        <f t="shared" si="0"/>
        <v>B</v>
      </c>
      <c r="P74" s="132" t="str">
        <f t="shared" si="1"/>
        <v/>
      </c>
      <c r="Q74" s="132" t="e">
        <f t="shared" si="2"/>
        <v>#DIV/0!</v>
      </c>
      <c r="R74" s="132" t="str">
        <f t="shared" si="3"/>
        <v>B</v>
      </c>
      <c r="S74" s="132" t="str">
        <f t="shared" si="4"/>
        <v/>
      </c>
      <c r="T74" s="132" t="e">
        <f t="shared" si="5"/>
        <v>#DIV/0!</v>
      </c>
      <c r="AC74" s="104"/>
      <c r="AP74" s="3">
        <v>1776</v>
      </c>
      <c r="AQ74" s="3">
        <v>-2.5337837837837839E-2</v>
      </c>
      <c r="AR74" s="3">
        <v>1798.5</v>
      </c>
      <c r="AS74" s="3">
        <v>1753.5</v>
      </c>
    </row>
    <row r="75" spans="2:55" ht="18" customHeight="1" x14ac:dyDescent="0.25">
      <c r="B75" s="322">
        <v>1014</v>
      </c>
      <c r="C75" s="322"/>
      <c r="D75" s="9"/>
      <c r="E75" s="133" t="s">
        <v>240</v>
      </c>
      <c r="F75" s="129"/>
      <c r="G75" s="9"/>
      <c r="H75" s="129" t="s">
        <v>240</v>
      </c>
      <c r="I75" s="9"/>
      <c r="J75" s="130" t="s">
        <v>299</v>
      </c>
      <c r="K75" s="277"/>
      <c r="L75" s="277"/>
      <c r="M75" s="277"/>
      <c r="O75" s="131" t="str">
        <f t="shared" si="0"/>
        <v>B</v>
      </c>
      <c r="P75" s="132" t="str">
        <f t="shared" si="1"/>
        <v/>
      </c>
      <c r="Q75" s="132" t="e">
        <f t="shared" si="2"/>
        <v>#DIV/0!</v>
      </c>
      <c r="R75" s="132" t="str">
        <f t="shared" si="3"/>
        <v>B</v>
      </c>
      <c r="S75" s="132" t="str">
        <f t="shared" si="4"/>
        <v/>
      </c>
      <c r="T75" s="132" t="e">
        <f t="shared" si="5"/>
        <v>#DIV/0!</v>
      </c>
      <c r="AC75" s="104"/>
      <c r="AP75" s="3">
        <v>6648.5</v>
      </c>
      <c r="AQ75" s="3">
        <v>4.3468451530420393E-2</v>
      </c>
      <c r="AR75" s="3">
        <v>6504</v>
      </c>
      <c r="AS75" s="3">
        <v>6793</v>
      </c>
    </row>
    <row r="76" spans="2:55" ht="18" customHeight="1" x14ac:dyDescent="0.25">
      <c r="B76" s="322">
        <v>1015</v>
      </c>
      <c r="C76" s="322"/>
      <c r="D76" s="9"/>
      <c r="E76" s="133" t="s">
        <v>240</v>
      </c>
      <c r="F76" s="129"/>
      <c r="G76" s="9"/>
      <c r="H76" s="129" t="s">
        <v>240</v>
      </c>
      <c r="I76" s="9"/>
      <c r="J76" s="130" t="s">
        <v>299</v>
      </c>
      <c r="K76" s="277"/>
      <c r="L76" s="277"/>
      <c r="M76" s="277"/>
      <c r="O76" s="131" t="str">
        <f t="shared" si="0"/>
        <v>B</v>
      </c>
      <c r="P76" s="132" t="str">
        <f t="shared" si="1"/>
        <v/>
      </c>
      <c r="Q76" s="132" t="e">
        <f t="shared" si="2"/>
        <v>#DIV/0!</v>
      </c>
      <c r="R76" s="132" t="str">
        <f t="shared" si="3"/>
        <v>B</v>
      </c>
      <c r="S76" s="132" t="str">
        <f t="shared" si="4"/>
        <v/>
      </c>
      <c r="T76" s="132" t="e">
        <f t="shared" si="5"/>
        <v>#DIV/0!</v>
      </c>
      <c r="AP76" s="3">
        <v>9281.25</v>
      </c>
      <c r="AQ76" s="3">
        <v>-4.8538720538720541E-2</v>
      </c>
      <c r="AR76" s="3">
        <v>9506.5</v>
      </c>
      <c r="AS76" s="3">
        <v>9056</v>
      </c>
    </row>
    <row r="77" spans="2:55" ht="18" customHeight="1" x14ac:dyDescent="0.25">
      <c r="B77" s="322">
        <v>1016</v>
      </c>
      <c r="C77" s="322"/>
      <c r="D77" s="9"/>
      <c r="E77" s="133" t="s">
        <v>240</v>
      </c>
      <c r="F77" s="9"/>
      <c r="G77" s="9"/>
      <c r="H77" s="9" t="s">
        <v>240</v>
      </c>
      <c r="I77" s="9"/>
      <c r="J77" s="130" t="s">
        <v>299</v>
      </c>
      <c r="K77" s="277"/>
      <c r="L77" s="277"/>
      <c r="M77" s="277"/>
      <c r="O77" s="131" t="str">
        <f t="shared" si="0"/>
        <v>B</v>
      </c>
      <c r="P77" s="132" t="str">
        <f t="shared" si="1"/>
        <v/>
      </c>
      <c r="Q77" s="132" t="e">
        <f t="shared" si="2"/>
        <v>#DIV/0!</v>
      </c>
      <c r="R77" s="132" t="str">
        <f t="shared" si="3"/>
        <v>B</v>
      </c>
      <c r="S77" s="132" t="str">
        <f t="shared" si="4"/>
        <v/>
      </c>
      <c r="T77" s="132" t="e">
        <f t="shared" si="5"/>
        <v>#DIV/0!</v>
      </c>
      <c r="AP77" s="3">
        <v>4752.75</v>
      </c>
      <c r="AQ77" s="3">
        <v>-1.1887854400084162E-2</v>
      </c>
      <c r="AR77" s="3">
        <v>4781</v>
      </c>
      <c r="AS77" s="3">
        <v>4724.5</v>
      </c>
    </row>
    <row r="78" spans="2:55" ht="18" customHeight="1" x14ac:dyDescent="0.25">
      <c r="B78" s="322">
        <v>1017</v>
      </c>
      <c r="C78" s="322"/>
      <c r="D78" s="9"/>
      <c r="E78" s="129" t="s">
        <v>240</v>
      </c>
      <c r="F78" s="129"/>
      <c r="G78" s="9"/>
      <c r="H78" s="129" t="s">
        <v>240</v>
      </c>
      <c r="I78" s="9"/>
      <c r="J78" s="130" t="s">
        <v>299</v>
      </c>
      <c r="K78" s="277"/>
      <c r="L78" s="277"/>
      <c r="M78" s="277"/>
      <c r="O78" s="131" t="str">
        <f t="shared" si="0"/>
        <v>B</v>
      </c>
      <c r="P78" s="132" t="str">
        <f t="shared" si="1"/>
        <v/>
      </c>
      <c r="Q78" s="132" t="e">
        <f t="shared" si="2"/>
        <v>#DIV/0!</v>
      </c>
      <c r="R78" s="132" t="str">
        <f t="shared" si="3"/>
        <v>B</v>
      </c>
      <c r="S78" s="132" t="str">
        <f t="shared" si="4"/>
        <v/>
      </c>
      <c r="T78" s="132" t="e">
        <f t="shared" si="5"/>
        <v>#DIV/0!</v>
      </c>
      <c r="AP78" s="3">
        <v>2127.75</v>
      </c>
      <c r="AQ78" s="3">
        <v>5.4047702972623663E-3</v>
      </c>
      <c r="AR78" s="3">
        <v>2122</v>
      </c>
      <c r="AS78" s="3">
        <v>2133.5</v>
      </c>
    </row>
    <row r="79" spans="2:55" ht="18" customHeight="1" x14ac:dyDescent="0.25">
      <c r="B79" s="322">
        <v>1018</v>
      </c>
      <c r="C79" s="322"/>
      <c r="D79" s="9"/>
      <c r="E79" s="133" t="s">
        <v>240</v>
      </c>
      <c r="F79" s="129"/>
      <c r="G79" s="9"/>
      <c r="H79" s="129" t="s">
        <v>240</v>
      </c>
      <c r="I79" s="9"/>
      <c r="J79" s="130" t="s">
        <v>299</v>
      </c>
      <c r="K79" s="277"/>
      <c r="L79" s="277"/>
      <c r="M79" s="277"/>
      <c r="O79" s="131" t="str">
        <f t="shared" si="0"/>
        <v>B</v>
      </c>
      <c r="P79" s="132" t="str">
        <f t="shared" si="1"/>
        <v/>
      </c>
      <c r="Q79" s="132" t="e">
        <f t="shared" si="2"/>
        <v>#DIV/0!</v>
      </c>
      <c r="R79" s="132" t="str">
        <f t="shared" si="3"/>
        <v>B</v>
      </c>
      <c r="S79" s="132" t="str">
        <f t="shared" si="4"/>
        <v/>
      </c>
      <c r="T79" s="132" t="e">
        <f t="shared" si="5"/>
        <v>#DIV/0!</v>
      </c>
      <c r="AD79" s="134"/>
      <c r="AE79" s="134"/>
      <c r="AF79" s="134"/>
      <c r="AG79" s="134"/>
      <c r="AH79" s="134"/>
      <c r="AI79" s="134"/>
      <c r="AP79" s="3">
        <v>17217.75</v>
      </c>
      <c r="AQ79" s="3">
        <v>-7.4487084549374916E-2</v>
      </c>
      <c r="AR79" s="3">
        <v>17859</v>
      </c>
      <c r="AS79" s="3">
        <v>16576.5</v>
      </c>
    </row>
    <row r="80" spans="2:55" ht="18" customHeight="1" x14ac:dyDescent="0.25">
      <c r="B80" s="322">
        <v>1019</v>
      </c>
      <c r="C80" s="322"/>
      <c r="D80" s="9"/>
      <c r="E80" s="129" t="s">
        <v>240</v>
      </c>
      <c r="F80" s="129"/>
      <c r="G80" s="9"/>
      <c r="H80" s="129" t="s">
        <v>239</v>
      </c>
      <c r="I80" s="9"/>
      <c r="J80" s="130" t="s">
        <v>299</v>
      </c>
      <c r="K80" s="277"/>
      <c r="L80" s="277"/>
      <c r="M80" s="277"/>
      <c r="O80" s="131" t="str">
        <f t="shared" si="0"/>
        <v>B</v>
      </c>
      <c r="P80" s="132" t="str">
        <f t="shared" si="1"/>
        <v/>
      </c>
      <c r="Q80" s="132" t="e">
        <f t="shared" si="2"/>
        <v>#DIV/0!</v>
      </c>
      <c r="R80" s="132" t="str">
        <f t="shared" si="3"/>
        <v>C</v>
      </c>
      <c r="S80" s="132" t="str">
        <f t="shared" si="4"/>
        <v/>
      </c>
      <c r="T80" s="132" t="e">
        <f t="shared" si="5"/>
        <v>#DIV/0!</v>
      </c>
      <c r="AD80" s="134"/>
      <c r="AE80" s="134"/>
      <c r="AF80" s="134"/>
      <c r="AG80" s="134"/>
      <c r="AH80" s="134"/>
      <c r="AI80" s="134"/>
      <c r="AP80" s="3">
        <v>7085.25</v>
      </c>
      <c r="AQ80" s="3">
        <v>5.9983769097773547E-3</v>
      </c>
      <c r="AR80" s="3">
        <v>7064</v>
      </c>
      <c r="AS80" s="3">
        <v>7106.5</v>
      </c>
    </row>
    <row r="81" spans="2:45" ht="18" customHeight="1" x14ac:dyDescent="0.25">
      <c r="B81" s="322">
        <v>1020</v>
      </c>
      <c r="C81" s="322"/>
      <c r="D81" s="9"/>
      <c r="E81" s="129" t="s">
        <v>239</v>
      </c>
      <c r="F81" s="9"/>
      <c r="G81" s="9"/>
      <c r="H81" s="9" t="s">
        <v>240</v>
      </c>
      <c r="I81" s="9"/>
      <c r="J81" s="130" t="s">
        <v>299</v>
      </c>
      <c r="K81" s="277"/>
      <c r="L81" s="277"/>
      <c r="M81" s="277"/>
      <c r="O81" s="131" t="str">
        <f t="shared" si="0"/>
        <v>C</v>
      </c>
      <c r="P81" s="132" t="str">
        <f t="shared" si="1"/>
        <v/>
      </c>
      <c r="Q81" s="132" t="e">
        <f t="shared" si="2"/>
        <v>#DIV/0!</v>
      </c>
      <c r="R81" s="132" t="str">
        <f t="shared" si="3"/>
        <v>B</v>
      </c>
      <c r="S81" s="132" t="str">
        <f t="shared" si="4"/>
        <v/>
      </c>
      <c r="T81" s="132" t="e">
        <f t="shared" si="5"/>
        <v>#DIV/0!</v>
      </c>
      <c r="AD81" s="134"/>
      <c r="AE81" s="134"/>
      <c r="AF81" s="134"/>
      <c r="AG81" s="134"/>
      <c r="AH81" s="134"/>
      <c r="AI81" s="134"/>
      <c r="AP81" s="3">
        <v>975</v>
      </c>
      <c r="AQ81" s="3">
        <v>2.3589743589743591E-2</v>
      </c>
      <c r="AR81" s="3">
        <v>963.5</v>
      </c>
      <c r="AS81" s="3">
        <v>986.5</v>
      </c>
    </row>
    <row r="82" spans="2:45" ht="18" customHeight="1" x14ac:dyDescent="0.25">
      <c r="B82" s="322">
        <v>1021</v>
      </c>
      <c r="C82" s="322"/>
      <c r="D82" s="9"/>
      <c r="E82" s="129" t="s">
        <v>239</v>
      </c>
      <c r="F82" s="9"/>
      <c r="G82" s="9"/>
      <c r="H82" s="9" t="s">
        <v>239</v>
      </c>
      <c r="I82" s="9"/>
      <c r="J82" s="130" t="s">
        <v>299</v>
      </c>
      <c r="K82" s="277"/>
      <c r="L82" s="277"/>
      <c r="M82" s="277"/>
      <c r="O82" s="131" t="str">
        <f t="shared" si="0"/>
        <v>C</v>
      </c>
      <c r="P82" s="132" t="str">
        <f t="shared" si="1"/>
        <v/>
      </c>
      <c r="Q82" s="132" t="e">
        <f t="shared" si="2"/>
        <v>#DIV/0!</v>
      </c>
      <c r="R82" s="132" t="str">
        <f t="shared" si="3"/>
        <v>C</v>
      </c>
      <c r="S82" s="132" t="str">
        <f t="shared" si="4"/>
        <v/>
      </c>
      <c r="T82" s="132" t="e">
        <f t="shared" si="5"/>
        <v>#DIV/0!</v>
      </c>
      <c r="AD82" s="134"/>
      <c r="AE82" s="134"/>
      <c r="AF82" s="134"/>
      <c r="AG82" s="134"/>
      <c r="AH82" s="134"/>
      <c r="AI82" s="134"/>
      <c r="AP82" s="3">
        <v>444.75</v>
      </c>
      <c r="AQ82" s="3">
        <v>0.16301292861157954</v>
      </c>
      <c r="AR82" s="3">
        <v>408.5</v>
      </c>
      <c r="AS82" s="3">
        <v>481</v>
      </c>
    </row>
    <row r="83" spans="2:45" ht="18" customHeight="1" x14ac:dyDescent="0.25">
      <c r="B83" s="322">
        <v>1022</v>
      </c>
      <c r="C83" s="322"/>
      <c r="D83" s="9"/>
      <c r="E83" s="129" t="s">
        <v>239</v>
      </c>
      <c r="F83" s="129"/>
      <c r="G83" s="9"/>
      <c r="H83" s="129" t="s">
        <v>239</v>
      </c>
      <c r="I83" s="9"/>
      <c r="J83" s="130" t="s">
        <v>299</v>
      </c>
      <c r="K83" s="277"/>
      <c r="L83" s="277"/>
      <c r="M83" s="277"/>
      <c r="O83" s="131" t="str">
        <f t="shared" si="0"/>
        <v>C</v>
      </c>
      <c r="P83" s="132" t="str">
        <f t="shared" si="1"/>
        <v/>
      </c>
      <c r="Q83" s="132" t="e">
        <f t="shared" si="2"/>
        <v>#DIV/0!</v>
      </c>
      <c r="R83" s="132" t="str">
        <f t="shared" si="3"/>
        <v>C</v>
      </c>
      <c r="S83" s="132" t="str">
        <f t="shared" si="4"/>
        <v/>
      </c>
      <c r="T83" s="132" t="e">
        <f t="shared" si="5"/>
        <v>#DIV/0!</v>
      </c>
      <c r="AD83" s="134"/>
      <c r="AE83" s="134"/>
      <c r="AF83" s="134"/>
      <c r="AG83" s="134"/>
      <c r="AH83" s="134"/>
      <c r="AI83" s="134"/>
      <c r="AP83" s="3">
        <v>5613</v>
      </c>
      <c r="AQ83" s="3">
        <v>-3.5631569570639585E-3</v>
      </c>
      <c r="AR83" s="3">
        <v>5623</v>
      </c>
      <c r="AS83" s="3">
        <v>5603</v>
      </c>
    </row>
    <row r="84" spans="2:45" ht="18" customHeight="1" x14ac:dyDescent="0.25">
      <c r="B84" s="322">
        <v>1023</v>
      </c>
      <c r="C84" s="322"/>
      <c r="D84" s="9"/>
      <c r="E84" s="129" t="s">
        <v>239</v>
      </c>
      <c r="F84" s="129"/>
      <c r="G84" s="9"/>
      <c r="H84" s="129" t="s">
        <v>239</v>
      </c>
      <c r="I84" s="9"/>
      <c r="J84" s="130" t="s">
        <v>299</v>
      </c>
      <c r="K84" s="277"/>
      <c r="L84" s="277"/>
      <c r="M84" s="277"/>
      <c r="O84" s="131" t="str">
        <f t="shared" si="0"/>
        <v>C</v>
      </c>
      <c r="P84" s="132" t="str">
        <f t="shared" si="1"/>
        <v/>
      </c>
      <c r="Q84" s="132" t="e">
        <f t="shared" si="2"/>
        <v>#DIV/0!</v>
      </c>
      <c r="R84" s="132" t="str">
        <f t="shared" si="3"/>
        <v>C</v>
      </c>
      <c r="S84" s="132" t="str">
        <f t="shared" si="4"/>
        <v/>
      </c>
      <c r="T84" s="132" t="e">
        <f t="shared" si="5"/>
        <v>#DIV/0!</v>
      </c>
      <c r="AD84" s="134"/>
      <c r="AE84" s="134"/>
      <c r="AF84" s="134"/>
      <c r="AG84" s="134"/>
      <c r="AH84" s="134"/>
      <c r="AI84" s="134"/>
      <c r="AP84" s="3">
        <v>4984.75</v>
      </c>
      <c r="AQ84" s="3">
        <v>2.4574953608505944E-2</v>
      </c>
      <c r="AR84" s="3">
        <v>4923.5</v>
      </c>
      <c r="AS84" s="3">
        <v>5046</v>
      </c>
    </row>
    <row r="85" spans="2:45" ht="18" customHeight="1" x14ac:dyDescent="0.25">
      <c r="B85" s="322">
        <v>1024</v>
      </c>
      <c r="C85" s="322"/>
      <c r="D85" s="9"/>
      <c r="E85" s="129" t="s">
        <v>239</v>
      </c>
      <c r="F85" s="129"/>
      <c r="G85" s="9"/>
      <c r="H85" s="129" t="s">
        <v>239</v>
      </c>
      <c r="I85" s="9"/>
      <c r="J85" s="130" t="s">
        <v>299</v>
      </c>
      <c r="K85" s="277"/>
      <c r="L85" s="277"/>
      <c r="M85" s="277"/>
      <c r="O85" s="131" t="str">
        <f t="shared" si="0"/>
        <v>C</v>
      </c>
      <c r="P85" s="132" t="str">
        <f t="shared" si="1"/>
        <v/>
      </c>
      <c r="Q85" s="132" t="e">
        <f t="shared" si="2"/>
        <v>#DIV/0!</v>
      </c>
      <c r="R85" s="132" t="str">
        <f t="shared" si="3"/>
        <v>C</v>
      </c>
      <c r="S85" s="132" t="str">
        <f t="shared" si="4"/>
        <v/>
      </c>
      <c r="T85" s="132" t="e">
        <f t="shared" si="5"/>
        <v>#DIV/0!</v>
      </c>
      <c r="AP85" s="3">
        <v>2772.25</v>
      </c>
      <c r="AQ85" s="3">
        <v>1.9659121652087653E-2</v>
      </c>
      <c r="AR85" s="3">
        <v>2745</v>
      </c>
      <c r="AS85" s="3">
        <v>2799.5</v>
      </c>
    </row>
    <row r="86" spans="2:45" ht="18" customHeight="1" x14ac:dyDescent="0.25">
      <c r="B86" s="322">
        <v>1025</v>
      </c>
      <c r="C86" s="322"/>
      <c r="D86" s="9"/>
      <c r="E86" s="129" t="s">
        <v>239</v>
      </c>
      <c r="F86" s="129"/>
      <c r="G86" s="9"/>
      <c r="H86" s="129" t="s">
        <v>239</v>
      </c>
      <c r="I86" s="9"/>
      <c r="J86" s="130" t="s">
        <v>299</v>
      </c>
      <c r="K86" s="277"/>
      <c r="L86" s="277"/>
      <c r="M86" s="277"/>
      <c r="O86" s="131" t="str">
        <f t="shared" si="0"/>
        <v>C</v>
      </c>
      <c r="P86" s="132" t="str">
        <f t="shared" si="1"/>
        <v/>
      </c>
      <c r="Q86" s="132" t="e">
        <f t="shared" si="2"/>
        <v>#DIV/0!</v>
      </c>
      <c r="R86" s="132" t="str">
        <f t="shared" si="3"/>
        <v>C</v>
      </c>
      <c r="S86" s="132" t="str">
        <f t="shared" si="4"/>
        <v/>
      </c>
      <c r="T86" s="132" t="e">
        <f t="shared" si="5"/>
        <v>#DIV/0!</v>
      </c>
      <c r="AP86" s="3">
        <v>1730</v>
      </c>
      <c r="AQ86" s="3">
        <v>-9.8265895953757246E-3</v>
      </c>
      <c r="AR86" s="3">
        <v>1738.5</v>
      </c>
      <c r="AS86" s="3">
        <v>1721.5</v>
      </c>
    </row>
    <row r="87" spans="2:45" ht="18" customHeight="1" x14ac:dyDescent="0.25">
      <c r="B87" s="322">
        <v>1026</v>
      </c>
      <c r="C87" s="322"/>
      <c r="D87" s="9"/>
      <c r="E87" s="129" t="s">
        <v>239</v>
      </c>
      <c r="F87" s="129"/>
      <c r="G87" s="9"/>
      <c r="H87" s="129" t="s">
        <v>239</v>
      </c>
      <c r="I87" s="9"/>
      <c r="J87" s="130" t="s">
        <v>299</v>
      </c>
      <c r="K87" s="277"/>
      <c r="L87" s="277"/>
      <c r="M87" s="277"/>
      <c r="O87" s="131" t="str">
        <f t="shared" si="0"/>
        <v>C</v>
      </c>
      <c r="P87" s="132" t="str">
        <f t="shared" si="1"/>
        <v/>
      </c>
      <c r="Q87" s="132" t="e">
        <f t="shared" si="2"/>
        <v>#DIV/0!</v>
      </c>
      <c r="R87" s="132" t="str">
        <f t="shared" si="3"/>
        <v>C</v>
      </c>
      <c r="S87" s="132" t="str">
        <f t="shared" si="4"/>
        <v/>
      </c>
      <c r="T87" s="132" t="e">
        <f t="shared" si="5"/>
        <v>#DIV/0!</v>
      </c>
      <c r="AP87" s="3">
        <v>7302.25</v>
      </c>
      <c r="AQ87" s="3">
        <v>6.7171077407648327E-2</v>
      </c>
      <c r="AR87" s="3">
        <v>7057</v>
      </c>
      <c r="AS87" s="3">
        <v>7547.5</v>
      </c>
    </row>
    <row r="88" spans="2:45" ht="18" customHeight="1" x14ac:dyDescent="0.25">
      <c r="B88" s="322">
        <v>1027</v>
      </c>
      <c r="C88" s="322"/>
      <c r="D88" s="9"/>
      <c r="E88" s="129" t="s">
        <v>239</v>
      </c>
      <c r="F88" s="129"/>
      <c r="G88" s="9"/>
      <c r="H88" s="129" t="s">
        <v>239</v>
      </c>
      <c r="I88" s="9"/>
      <c r="J88" s="130" t="s">
        <v>299</v>
      </c>
      <c r="K88" s="277"/>
      <c r="L88" s="277"/>
      <c r="M88" s="277"/>
      <c r="O88" s="131" t="str">
        <f t="shared" si="0"/>
        <v>C</v>
      </c>
      <c r="P88" s="132" t="str">
        <f t="shared" si="1"/>
        <v/>
      </c>
      <c r="Q88" s="132" t="e">
        <f t="shared" si="2"/>
        <v>#DIV/0!</v>
      </c>
      <c r="R88" s="132" t="str">
        <f t="shared" si="3"/>
        <v>C</v>
      </c>
      <c r="S88" s="132" t="str">
        <f t="shared" si="4"/>
        <v/>
      </c>
      <c r="T88" s="132" t="e">
        <f t="shared" si="5"/>
        <v>#DIV/0!</v>
      </c>
      <c r="AP88" s="3">
        <v>3005.5</v>
      </c>
      <c r="AQ88" s="3">
        <v>2.6617867243387125E-3</v>
      </c>
      <c r="AR88" s="3">
        <v>3001.5</v>
      </c>
      <c r="AS88" s="3">
        <v>3009.5</v>
      </c>
    </row>
    <row r="89" spans="2:45" ht="18" customHeight="1" x14ac:dyDescent="0.25">
      <c r="B89" s="322">
        <v>1028</v>
      </c>
      <c r="C89" s="322"/>
      <c r="D89" s="9"/>
      <c r="E89" s="129" t="s">
        <v>239</v>
      </c>
      <c r="F89" s="9"/>
      <c r="G89" s="9"/>
      <c r="H89" s="9" t="s">
        <v>238</v>
      </c>
      <c r="I89" s="9"/>
      <c r="J89" s="130" t="s">
        <v>299</v>
      </c>
      <c r="K89" s="277"/>
      <c r="L89" s="277"/>
      <c r="M89" s="277"/>
      <c r="O89" s="131" t="str">
        <f t="shared" si="0"/>
        <v>C</v>
      </c>
      <c r="P89" s="132" t="str">
        <f t="shared" si="1"/>
        <v/>
      </c>
      <c r="Q89" s="132" t="e">
        <f t="shared" si="2"/>
        <v>#DIV/0!</v>
      </c>
      <c r="R89" s="132" t="str">
        <f t="shared" si="3"/>
        <v>D</v>
      </c>
      <c r="S89" s="132" t="str">
        <f t="shared" si="4"/>
        <v/>
      </c>
      <c r="T89" s="132" t="e">
        <f t="shared" si="5"/>
        <v>#DIV/0!</v>
      </c>
      <c r="AP89" s="3">
        <v>941</v>
      </c>
      <c r="AQ89" s="3">
        <v>9.6705632306057401E-2</v>
      </c>
      <c r="AR89" s="3">
        <v>895.5</v>
      </c>
      <c r="AS89" s="3">
        <v>986.5</v>
      </c>
    </row>
    <row r="90" spans="2:45" ht="18" customHeight="1" x14ac:dyDescent="0.25">
      <c r="B90" s="322">
        <v>1029</v>
      </c>
      <c r="C90" s="322"/>
      <c r="D90" s="9"/>
      <c r="E90" s="133" t="s">
        <v>239</v>
      </c>
      <c r="F90" s="129"/>
      <c r="G90" s="9"/>
      <c r="H90" s="129" t="s">
        <v>238</v>
      </c>
      <c r="I90" s="9"/>
      <c r="J90" s="130" t="s">
        <v>299</v>
      </c>
      <c r="K90" s="277"/>
      <c r="L90" s="277"/>
      <c r="M90" s="277"/>
      <c r="O90" s="131" t="str">
        <f t="shared" si="0"/>
        <v>C</v>
      </c>
      <c r="P90" s="132" t="str">
        <f t="shared" si="1"/>
        <v/>
      </c>
      <c r="Q90" s="132" t="e">
        <f t="shared" si="2"/>
        <v>#DIV/0!</v>
      </c>
      <c r="R90" s="132" t="str">
        <f t="shared" si="3"/>
        <v>D</v>
      </c>
      <c r="S90" s="132" t="str">
        <f t="shared" si="4"/>
        <v/>
      </c>
      <c r="T90" s="132" t="e">
        <f t="shared" si="5"/>
        <v>#DIV/0!</v>
      </c>
      <c r="AP90" s="3">
        <v>11933.75</v>
      </c>
      <c r="AQ90" s="3">
        <v>-3.716350686079397E-2</v>
      </c>
      <c r="AR90" s="3">
        <v>12155.5</v>
      </c>
      <c r="AS90" s="3">
        <v>11712</v>
      </c>
    </row>
    <row r="91" spans="2:45" ht="18" customHeight="1" x14ac:dyDescent="0.25">
      <c r="B91" s="322">
        <v>1030</v>
      </c>
      <c r="C91" s="322"/>
      <c r="D91" s="9"/>
      <c r="E91" s="129" t="s">
        <v>238</v>
      </c>
      <c r="F91" s="129"/>
      <c r="G91" s="9"/>
      <c r="H91" s="129" t="s">
        <v>238</v>
      </c>
      <c r="I91" s="9"/>
      <c r="J91" s="130" t="s">
        <v>299</v>
      </c>
      <c r="K91" s="277"/>
      <c r="L91" s="277"/>
      <c r="M91" s="277"/>
      <c r="O91" s="131" t="str">
        <f t="shared" si="0"/>
        <v>D</v>
      </c>
      <c r="P91" s="132" t="str">
        <f t="shared" si="1"/>
        <v/>
      </c>
      <c r="Q91" s="132" t="e">
        <f t="shared" si="2"/>
        <v>#DIV/0!</v>
      </c>
      <c r="R91" s="132" t="str">
        <f t="shared" si="3"/>
        <v>D</v>
      </c>
      <c r="S91" s="132" t="str">
        <f t="shared" si="4"/>
        <v/>
      </c>
      <c r="T91" s="132" t="e">
        <f t="shared" si="5"/>
        <v>#DIV/0!</v>
      </c>
      <c r="AP91" s="3">
        <v>1353.25</v>
      </c>
      <c r="AQ91" s="3">
        <v>9.2739700720487719E-2</v>
      </c>
      <c r="AR91" s="3">
        <v>1290.5</v>
      </c>
      <c r="AS91" s="3">
        <v>1416</v>
      </c>
    </row>
    <row r="92" spans="2:45" ht="18" customHeight="1" x14ac:dyDescent="0.25">
      <c r="B92" s="322">
        <v>1031</v>
      </c>
      <c r="C92" s="322"/>
      <c r="D92" s="9"/>
      <c r="E92" s="129" t="s">
        <v>238</v>
      </c>
      <c r="F92" s="9"/>
      <c r="G92" s="9"/>
      <c r="H92" s="9" t="s">
        <v>238</v>
      </c>
      <c r="I92" s="9"/>
      <c r="J92" s="130" t="s">
        <v>299</v>
      </c>
      <c r="K92" s="277"/>
      <c r="L92" s="277"/>
      <c r="M92" s="277"/>
      <c r="O92" s="131" t="str">
        <f t="shared" si="0"/>
        <v>D</v>
      </c>
      <c r="P92" s="132" t="str">
        <f t="shared" si="1"/>
        <v/>
      </c>
      <c r="Q92" s="132" t="e">
        <f t="shared" si="2"/>
        <v>#DIV/0!</v>
      </c>
      <c r="R92" s="132" t="str">
        <f t="shared" si="3"/>
        <v>D</v>
      </c>
      <c r="S92" s="132" t="str">
        <f t="shared" si="4"/>
        <v/>
      </c>
      <c r="T92" s="132" t="e">
        <f t="shared" si="5"/>
        <v>#DIV/0!</v>
      </c>
      <c r="AP92" s="3">
        <v>970.75</v>
      </c>
      <c r="AQ92" s="3">
        <v>5.7172289466907028E-2</v>
      </c>
      <c r="AR92" s="3">
        <v>943</v>
      </c>
      <c r="AS92" s="3">
        <v>998.5</v>
      </c>
    </row>
    <row r="93" spans="2:45" ht="18" customHeight="1" x14ac:dyDescent="0.25">
      <c r="B93" s="322">
        <v>1032</v>
      </c>
      <c r="C93" s="322"/>
      <c r="D93" s="9"/>
      <c r="E93" s="129" t="s">
        <v>238</v>
      </c>
      <c r="F93" s="129"/>
      <c r="G93" s="9"/>
      <c r="H93" s="129" t="s">
        <v>238</v>
      </c>
      <c r="I93" s="9"/>
      <c r="J93" s="130" t="s">
        <v>299</v>
      </c>
      <c r="K93" s="277"/>
      <c r="L93" s="277"/>
      <c r="M93" s="277"/>
      <c r="O93" s="131" t="str">
        <f t="shared" si="0"/>
        <v>D</v>
      </c>
      <c r="P93" s="132" t="str">
        <f t="shared" si="1"/>
        <v/>
      </c>
      <c r="Q93" s="132" t="e">
        <f t="shared" si="2"/>
        <v>#DIV/0!</v>
      </c>
      <c r="R93" s="132" t="str">
        <f t="shared" si="3"/>
        <v>D</v>
      </c>
      <c r="S93" s="132" t="str">
        <f t="shared" si="4"/>
        <v/>
      </c>
      <c r="T93" s="132" t="e">
        <f t="shared" si="5"/>
        <v>#DIV/0!</v>
      </c>
      <c r="AP93" s="3">
        <v>11505.5</v>
      </c>
      <c r="AQ93" s="3">
        <v>3.3549172135065836E-2</v>
      </c>
      <c r="AR93" s="3">
        <v>11312.5</v>
      </c>
      <c r="AS93" s="3">
        <v>11698.5</v>
      </c>
    </row>
    <row r="94" spans="2:45" ht="18" customHeight="1" x14ac:dyDescent="0.25">
      <c r="B94" s="322">
        <v>1033</v>
      </c>
      <c r="C94" s="322"/>
      <c r="D94" s="9"/>
      <c r="E94" s="129" t="s">
        <v>238</v>
      </c>
      <c r="F94" s="129"/>
      <c r="G94" s="9"/>
      <c r="H94" s="129" t="s">
        <v>238</v>
      </c>
      <c r="I94" s="9"/>
      <c r="J94" s="130" t="s">
        <v>299</v>
      </c>
      <c r="K94" s="277"/>
      <c r="L94" s="277"/>
      <c r="M94" s="277"/>
      <c r="O94" s="131" t="str">
        <f t="shared" si="0"/>
        <v>D</v>
      </c>
      <c r="P94" s="132" t="str">
        <f t="shared" si="1"/>
        <v/>
      </c>
      <c r="Q94" s="132" t="e">
        <f t="shared" si="2"/>
        <v>#DIV/0!</v>
      </c>
      <c r="R94" s="132" t="str">
        <f t="shared" si="3"/>
        <v>D</v>
      </c>
      <c r="S94" s="132" t="str">
        <f t="shared" si="4"/>
        <v/>
      </c>
      <c r="T94" s="132" t="e">
        <f t="shared" si="5"/>
        <v>#DIV/0!</v>
      </c>
      <c r="AP94" s="3">
        <v>2764.5</v>
      </c>
      <c r="AQ94" s="3">
        <v>4.6663049376017361E-2</v>
      </c>
      <c r="AR94" s="3">
        <v>2700</v>
      </c>
      <c r="AS94" s="3">
        <v>2829</v>
      </c>
    </row>
    <row r="95" spans="2:45" ht="18" customHeight="1" x14ac:dyDescent="0.25">
      <c r="B95" s="322">
        <v>1034</v>
      </c>
      <c r="C95" s="322"/>
      <c r="D95" s="9"/>
      <c r="E95" s="133" t="s">
        <v>238</v>
      </c>
      <c r="F95" s="9"/>
      <c r="G95" s="9"/>
      <c r="H95" s="9" t="s">
        <v>238</v>
      </c>
      <c r="I95" s="9"/>
      <c r="J95" s="130" t="s">
        <v>299</v>
      </c>
      <c r="K95" s="277"/>
      <c r="L95" s="277"/>
      <c r="M95" s="277"/>
      <c r="O95" s="131" t="str">
        <f t="shared" si="0"/>
        <v>D</v>
      </c>
      <c r="P95" s="132" t="str">
        <f t="shared" si="1"/>
        <v/>
      </c>
      <c r="Q95" s="132" t="e">
        <f t="shared" si="2"/>
        <v>#DIV/0!</v>
      </c>
      <c r="R95" s="132" t="str">
        <f t="shared" si="3"/>
        <v>D</v>
      </c>
      <c r="S95" s="132" t="str">
        <f t="shared" si="4"/>
        <v/>
      </c>
      <c r="T95" s="132" t="e">
        <f t="shared" si="5"/>
        <v>#DIV/0!</v>
      </c>
      <c r="AP95" s="3">
        <v>3668.75</v>
      </c>
      <c r="AQ95" s="3">
        <v>5.8739352640545146E-2</v>
      </c>
      <c r="AR95" s="3">
        <v>3561</v>
      </c>
      <c r="AS95" s="3">
        <v>3776.5</v>
      </c>
    </row>
    <row r="96" spans="2:45" ht="18" customHeight="1" x14ac:dyDescent="0.25">
      <c r="B96" s="322">
        <v>1035</v>
      </c>
      <c r="C96" s="322"/>
      <c r="D96" s="9"/>
      <c r="E96" s="129" t="s">
        <v>238</v>
      </c>
      <c r="F96" s="129"/>
      <c r="G96" s="9"/>
      <c r="H96" s="129" t="s">
        <v>238</v>
      </c>
      <c r="I96" s="9"/>
      <c r="J96" s="130" t="s">
        <v>299</v>
      </c>
      <c r="K96" s="277"/>
      <c r="L96" s="277"/>
      <c r="M96" s="277"/>
      <c r="O96" s="131" t="str">
        <f t="shared" si="0"/>
        <v>D</v>
      </c>
      <c r="P96" s="132" t="str">
        <f t="shared" si="1"/>
        <v/>
      </c>
      <c r="Q96" s="132" t="e">
        <f t="shared" si="2"/>
        <v>#DIV/0!</v>
      </c>
      <c r="R96" s="132" t="str">
        <f t="shared" si="3"/>
        <v>D</v>
      </c>
      <c r="S96" s="132" t="str">
        <f t="shared" si="4"/>
        <v/>
      </c>
      <c r="T96" s="132" t="e">
        <f t="shared" si="5"/>
        <v>#DIV/0!</v>
      </c>
      <c r="AP96" s="3">
        <v>1805</v>
      </c>
      <c r="AQ96" s="3">
        <v>0.10415512465373961</v>
      </c>
      <c r="AR96" s="3">
        <v>1711</v>
      </c>
      <c r="AS96" s="3">
        <v>1899</v>
      </c>
    </row>
    <row r="97" spans="2:45" ht="18" customHeight="1" x14ac:dyDescent="0.25">
      <c r="B97" s="322">
        <v>1036</v>
      </c>
      <c r="C97" s="322"/>
      <c r="D97" s="9"/>
      <c r="E97" s="129" t="s">
        <v>238</v>
      </c>
      <c r="F97" s="129"/>
      <c r="G97" s="9"/>
      <c r="H97" s="129" t="s">
        <v>238</v>
      </c>
      <c r="I97" s="9"/>
      <c r="J97" s="130" t="s">
        <v>299</v>
      </c>
      <c r="K97" s="277"/>
      <c r="L97" s="277"/>
      <c r="M97" s="277"/>
      <c r="O97" s="131" t="str">
        <f t="shared" si="0"/>
        <v>D</v>
      </c>
      <c r="P97" s="132" t="str">
        <f t="shared" si="1"/>
        <v/>
      </c>
      <c r="Q97" s="132" t="e">
        <f t="shared" si="2"/>
        <v>#DIV/0!</v>
      </c>
      <c r="R97" s="132" t="str">
        <f t="shared" si="3"/>
        <v>D</v>
      </c>
      <c r="S97" s="132" t="str">
        <f t="shared" si="4"/>
        <v/>
      </c>
      <c r="T97" s="132" t="e">
        <f t="shared" si="5"/>
        <v>#DIV/0!</v>
      </c>
      <c r="AP97" s="3">
        <v>1024</v>
      </c>
      <c r="AQ97" s="3">
        <v>3.515625E-2</v>
      </c>
      <c r="AR97" s="3">
        <v>1006</v>
      </c>
      <c r="AS97" s="3">
        <v>1042</v>
      </c>
    </row>
    <row r="98" spans="2:45" ht="18" customHeight="1" x14ac:dyDescent="0.25">
      <c r="B98" s="322">
        <v>1037</v>
      </c>
      <c r="C98" s="322"/>
      <c r="D98" s="9"/>
      <c r="E98" s="129" t="s">
        <v>238</v>
      </c>
      <c r="F98" s="129"/>
      <c r="G98" s="9"/>
      <c r="H98" s="129" t="s">
        <v>238</v>
      </c>
      <c r="I98" s="9"/>
      <c r="J98" s="130" t="s">
        <v>299</v>
      </c>
      <c r="K98" s="277"/>
      <c r="L98" s="277"/>
      <c r="M98" s="277"/>
      <c r="O98" s="131" t="str">
        <f t="shared" si="0"/>
        <v>D</v>
      </c>
      <c r="P98" s="132" t="str">
        <f t="shared" si="1"/>
        <v/>
      </c>
      <c r="Q98" s="132" t="e">
        <f t="shared" si="2"/>
        <v>#DIV/0!</v>
      </c>
      <c r="R98" s="132" t="str">
        <f t="shared" si="3"/>
        <v>D</v>
      </c>
      <c r="S98" s="132" t="str">
        <f t="shared" si="4"/>
        <v/>
      </c>
      <c r="T98" s="132" t="e">
        <f t="shared" si="5"/>
        <v>#DIV/0!</v>
      </c>
      <c r="AP98" s="3">
        <v>1398.25</v>
      </c>
      <c r="AQ98" s="3">
        <v>0.31146075451457178</v>
      </c>
      <c r="AR98" s="3">
        <v>1180.5</v>
      </c>
      <c r="AS98" s="3">
        <v>1616</v>
      </c>
    </row>
    <row r="99" spans="2:45" ht="18" customHeight="1" x14ac:dyDescent="0.25">
      <c r="B99" s="322">
        <v>1038</v>
      </c>
      <c r="C99" s="322"/>
      <c r="D99" s="9"/>
      <c r="E99" s="129" t="s">
        <v>238</v>
      </c>
      <c r="F99" s="129"/>
      <c r="G99" s="9"/>
      <c r="H99" s="129" t="s">
        <v>238</v>
      </c>
      <c r="I99" s="9"/>
      <c r="J99" s="130" t="s">
        <v>299</v>
      </c>
      <c r="K99" s="277"/>
      <c r="L99" s="277"/>
      <c r="M99" s="277"/>
      <c r="O99" s="131" t="str">
        <f t="shared" si="0"/>
        <v>D</v>
      </c>
      <c r="P99" s="132" t="str">
        <f t="shared" si="1"/>
        <v/>
      </c>
      <c r="Q99" s="132" t="e">
        <f t="shared" si="2"/>
        <v>#DIV/0!</v>
      </c>
      <c r="R99" s="132" t="str">
        <f t="shared" si="3"/>
        <v>D</v>
      </c>
      <c r="S99" s="132" t="str">
        <f t="shared" si="4"/>
        <v/>
      </c>
      <c r="T99" s="132" t="e">
        <f t="shared" si="5"/>
        <v>#DIV/0!</v>
      </c>
      <c r="AP99" s="3">
        <v>9193.75</v>
      </c>
      <c r="AQ99" s="3">
        <v>4.0625424881033309E-2</v>
      </c>
      <c r="AR99" s="3">
        <v>9007</v>
      </c>
      <c r="AS99" s="3">
        <v>9380.5</v>
      </c>
    </row>
    <row r="100" spans="2:45" ht="18" customHeight="1" x14ac:dyDescent="0.25">
      <c r="B100" s="322">
        <v>1039</v>
      </c>
      <c r="C100" s="322"/>
      <c r="D100" s="9"/>
      <c r="E100" s="129" t="s">
        <v>238</v>
      </c>
      <c r="F100" s="129"/>
      <c r="G100" s="9"/>
      <c r="H100" s="129" t="s">
        <v>238</v>
      </c>
      <c r="I100" s="9"/>
      <c r="J100" s="130" t="s">
        <v>299</v>
      </c>
      <c r="K100" s="277"/>
      <c r="L100" s="277"/>
      <c r="M100" s="277"/>
      <c r="O100" s="131" t="str">
        <f t="shared" si="0"/>
        <v>D</v>
      </c>
      <c r="P100" s="132" t="str">
        <f t="shared" si="1"/>
        <v/>
      </c>
      <c r="Q100" s="132" t="e">
        <f t="shared" si="2"/>
        <v>#DIV/0!</v>
      </c>
      <c r="R100" s="132" t="str">
        <f t="shared" si="3"/>
        <v>D</v>
      </c>
      <c r="S100" s="132" t="str">
        <f t="shared" si="4"/>
        <v/>
      </c>
      <c r="T100" s="132" t="e">
        <f t="shared" si="5"/>
        <v>#DIV/0!</v>
      </c>
      <c r="AP100" s="3">
        <v>4385.25</v>
      </c>
      <c r="AQ100" s="3">
        <v>-2.4057921441194913E-2</v>
      </c>
      <c r="AR100" s="3">
        <v>4438</v>
      </c>
      <c r="AS100" s="3">
        <v>4332.5</v>
      </c>
    </row>
    <row r="101" spans="2:45" ht="18" customHeight="1" x14ac:dyDescent="0.25">
      <c r="B101" s="281"/>
      <c r="C101" s="281"/>
      <c r="D101" s="9"/>
      <c r="E101" s="129"/>
      <c r="F101" s="129"/>
      <c r="G101" s="9"/>
      <c r="H101" s="129"/>
      <c r="I101" s="9"/>
      <c r="J101" s="130" t="str">
        <f>IF(ISERROR(VLOOKUP(#REF!,#REF!,2,FALSE)),"EXCLUDE",VLOOKUP(#REF!,#REF!,2,FALSE))</f>
        <v>EXCLUDE</v>
      </c>
      <c r="K101" s="277"/>
      <c r="L101" s="277"/>
      <c r="M101" s="277"/>
      <c r="O101" s="131" t="str">
        <f t="shared" si="0"/>
        <v/>
      </c>
      <c r="P101" s="132" t="str">
        <f t="shared" si="1"/>
        <v/>
      </c>
      <c r="Q101" s="132" t="str">
        <f t="shared" si="2"/>
        <v/>
      </c>
      <c r="R101" s="132" t="str">
        <f t="shared" si="3"/>
        <v/>
      </c>
      <c r="S101" s="132" t="str">
        <f t="shared" si="4"/>
        <v/>
      </c>
      <c r="T101" s="132" t="str">
        <f t="shared" si="5"/>
        <v/>
      </c>
      <c r="AP101" s="3">
        <v>3457.25</v>
      </c>
      <c r="AQ101" s="3">
        <v>-8.6051052136813938E-2</v>
      </c>
      <c r="AR101" s="3">
        <v>3606</v>
      </c>
      <c r="AS101" s="3">
        <v>3308.5</v>
      </c>
    </row>
    <row r="102" spans="2:45" ht="18" customHeight="1" x14ac:dyDescent="0.25">
      <c r="B102" s="281"/>
      <c r="C102" s="281"/>
      <c r="D102" s="9"/>
      <c r="E102" s="129"/>
      <c r="F102" s="129"/>
      <c r="G102" s="9"/>
      <c r="H102" s="129"/>
      <c r="I102" s="9"/>
      <c r="J102" s="130" t="str">
        <f>IF(ISERROR(VLOOKUP(#REF!,#REF!,2,FALSE)),"EXCLUDE",VLOOKUP(#REF!,#REF!,2,FALSE))</f>
        <v>EXCLUDE</v>
      </c>
      <c r="K102" s="277"/>
      <c r="L102" s="277"/>
      <c r="M102" s="277"/>
      <c r="O102" s="131" t="str">
        <f t="shared" si="0"/>
        <v/>
      </c>
      <c r="P102" s="132" t="str">
        <f t="shared" si="1"/>
        <v/>
      </c>
      <c r="Q102" s="132" t="str">
        <f t="shared" si="2"/>
        <v/>
      </c>
      <c r="R102" s="132" t="str">
        <f t="shared" si="3"/>
        <v/>
      </c>
      <c r="S102" s="132" t="str">
        <f t="shared" si="4"/>
        <v/>
      </c>
      <c r="T102" s="132" t="str">
        <f t="shared" si="5"/>
        <v/>
      </c>
    </row>
    <row r="103" spans="2:45" ht="18" customHeight="1" x14ac:dyDescent="0.25">
      <c r="B103" s="281"/>
      <c r="C103" s="281"/>
      <c r="D103" s="9"/>
      <c r="E103" s="129"/>
      <c r="F103" s="129"/>
      <c r="G103" s="9"/>
      <c r="H103" s="129"/>
      <c r="I103" s="9"/>
      <c r="J103" s="130" t="str">
        <f>IF(ISERROR(VLOOKUP(#REF!,#REF!,2,FALSE)),"EXCLUDE",VLOOKUP(#REF!,#REF!,2,FALSE))</f>
        <v>EXCLUDE</v>
      </c>
      <c r="K103" s="277"/>
      <c r="L103" s="277"/>
      <c r="M103" s="277"/>
      <c r="O103" s="131" t="str">
        <f t="shared" si="0"/>
        <v/>
      </c>
      <c r="P103" s="132" t="str">
        <f t="shared" si="1"/>
        <v/>
      </c>
      <c r="Q103" s="132" t="str">
        <f t="shared" si="2"/>
        <v/>
      </c>
      <c r="R103" s="132" t="str">
        <f t="shared" si="3"/>
        <v/>
      </c>
      <c r="S103" s="132" t="str">
        <f t="shared" si="4"/>
        <v/>
      </c>
      <c r="T103" s="132" t="str">
        <f t="shared" si="5"/>
        <v/>
      </c>
    </row>
    <row r="104" spans="2:45" ht="18" customHeight="1" x14ac:dyDescent="0.25">
      <c r="B104" s="281"/>
      <c r="C104" s="281"/>
      <c r="D104" s="9"/>
      <c r="E104" s="129"/>
      <c r="F104" s="129"/>
      <c r="G104" s="9"/>
      <c r="H104" s="129"/>
      <c r="I104" s="9"/>
      <c r="J104" s="130" t="str">
        <f>IF(ISERROR(VLOOKUP(#REF!,#REF!,2,FALSE)),"EXCLUDE",VLOOKUP(#REF!,#REF!,2,FALSE))</f>
        <v>EXCLUDE</v>
      </c>
      <c r="K104" s="277"/>
      <c r="L104" s="277"/>
      <c r="M104" s="277"/>
      <c r="O104" s="131" t="str">
        <f t="shared" si="0"/>
        <v/>
      </c>
      <c r="P104" s="132" t="str">
        <f t="shared" si="1"/>
        <v/>
      </c>
      <c r="Q104" s="132" t="str">
        <f t="shared" si="2"/>
        <v/>
      </c>
      <c r="R104" s="132" t="str">
        <f t="shared" si="3"/>
        <v/>
      </c>
      <c r="S104" s="132" t="str">
        <f t="shared" si="4"/>
        <v/>
      </c>
      <c r="T104" s="132" t="str">
        <f t="shared" si="5"/>
        <v/>
      </c>
    </row>
    <row r="105" spans="2:45" ht="18" customHeight="1" x14ac:dyDescent="0.25">
      <c r="B105" s="281"/>
      <c r="C105" s="281"/>
      <c r="D105" s="9"/>
      <c r="E105" s="129"/>
      <c r="F105" s="129"/>
      <c r="G105" s="9"/>
      <c r="H105" s="129"/>
      <c r="I105" s="9"/>
      <c r="J105" s="130" t="str">
        <f>IF(ISERROR(VLOOKUP(#REF!,#REF!,2,FALSE)),"EXCLUDE",VLOOKUP(#REF!,#REF!,2,FALSE))</f>
        <v>EXCLUDE</v>
      </c>
      <c r="K105" s="277"/>
      <c r="L105" s="277"/>
      <c r="M105" s="277"/>
      <c r="O105" s="131" t="str">
        <f t="shared" si="0"/>
        <v/>
      </c>
      <c r="P105" s="132" t="str">
        <f t="shared" si="1"/>
        <v/>
      </c>
      <c r="Q105" s="132" t="str">
        <f t="shared" si="2"/>
        <v/>
      </c>
      <c r="R105" s="132" t="str">
        <f t="shared" si="3"/>
        <v/>
      </c>
      <c r="S105" s="132" t="str">
        <f t="shared" si="4"/>
        <v/>
      </c>
      <c r="T105" s="132" t="str">
        <f t="shared" si="5"/>
        <v/>
      </c>
    </row>
    <row r="106" spans="2:45" ht="18" customHeight="1" x14ac:dyDescent="0.25">
      <c r="B106" s="281"/>
      <c r="C106" s="281"/>
      <c r="D106" s="9"/>
      <c r="E106" s="129"/>
      <c r="F106" s="129"/>
      <c r="G106" s="9"/>
      <c r="H106" s="129"/>
      <c r="I106" s="9"/>
      <c r="J106" s="130" t="str">
        <f>IF(ISERROR(VLOOKUP(#REF!,#REF!,2,FALSE)),"EXCLUDE",VLOOKUP(#REF!,#REF!,2,FALSE))</f>
        <v>EXCLUDE</v>
      </c>
      <c r="K106" s="277"/>
      <c r="L106" s="277"/>
      <c r="M106" s="277"/>
      <c r="O106" s="131" t="str">
        <f t="shared" si="0"/>
        <v/>
      </c>
      <c r="P106" s="132" t="str">
        <f t="shared" si="1"/>
        <v/>
      </c>
      <c r="Q106" s="132" t="str">
        <f t="shared" si="2"/>
        <v/>
      </c>
      <c r="R106" s="132" t="str">
        <f t="shared" si="3"/>
        <v/>
      </c>
      <c r="S106" s="132" t="str">
        <f t="shared" si="4"/>
        <v/>
      </c>
      <c r="T106" s="132" t="str">
        <f t="shared" si="5"/>
        <v/>
      </c>
    </row>
    <row r="107" spans="2:45" ht="18" customHeight="1" x14ac:dyDescent="0.25">
      <c r="B107" s="281"/>
      <c r="C107" s="281"/>
      <c r="D107" s="9"/>
      <c r="E107" s="129"/>
      <c r="F107" s="9"/>
      <c r="G107" s="9"/>
      <c r="H107" s="9"/>
      <c r="I107" s="9"/>
      <c r="J107" s="130" t="str">
        <f>IF(ISERROR(VLOOKUP(#REF!,#REF!,2,FALSE)),"EXCLUDE",VLOOKUP(#REF!,#REF!,2,FALSE))</f>
        <v>EXCLUDE</v>
      </c>
      <c r="K107" s="277"/>
      <c r="L107" s="277"/>
      <c r="M107" s="277"/>
      <c r="O107" s="131" t="str">
        <f t="shared" si="0"/>
        <v/>
      </c>
      <c r="P107" s="132" t="str">
        <f t="shared" si="1"/>
        <v/>
      </c>
      <c r="Q107" s="132" t="str">
        <f t="shared" si="2"/>
        <v/>
      </c>
      <c r="R107" s="132" t="str">
        <f t="shared" si="3"/>
        <v/>
      </c>
      <c r="S107" s="132" t="str">
        <f t="shared" si="4"/>
        <v/>
      </c>
      <c r="T107" s="132" t="str">
        <f t="shared" si="5"/>
        <v/>
      </c>
    </row>
    <row r="108" spans="2:45" ht="18" customHeight="1" x14ac:dyDescent="0.25">
      <c r="B108" s="281"/>
      <c r="C108" s="281"/>
      <c r="D108" s="9"/>
      <c r="E108" s="129"/>
      <c r="F108" s="9"/>
      <c r="G108" s="9"/>
      <c r="H108" s="9"/>
      <c r="I108" s="9"/>
      <c r="J108" s="130" t="str">
        <f>IF(ISERROR(VLOOKUP(#REF!,#REF!,2,FALSE)),"EXCLUDE",VLOOKUP(#REF!,#REF!,2,FALSE))</f>
        <v>EXCLUDE</v>
      </c>
      <c r="K108" s="277"/>
      <c r="L108" s="277"/>
      <c r="M108" s="277"/>
      <c r="O108" s="131" t="str">
        <f t="shared" si="0"/>
        <v/>
      </c>
      <c r="P108" s="132" t="str">
        <f t="shared" si="1"/>
        <v/>
      </c>
      <c r="Q108" s="132" t="str">
        <f t="shared" si="2"/>
        <v/>
      </c>
      <c r="R108" s="132" t="str">
        <f t="shared" si="3"/>
        <v/>
      </c>
      <c r="S108" s="132" t="str">
        <f t="shared" si="4"/>
        <v/>
      </c>
      <c r="T108" s="132" t="str">
        <f t="shared" si="5"/>
        <v/>
      </c>
    </row>
    <row r="109" spans="2:45" ht="18" customHeight="1" x14ac:dyDescent="0.25">
      <c r="B109" s="281"/>
      <c r="C109" s="281"/>
      <c r="D109" s="9"/>
      <c r="E109" s="129"/>
      <c r="F109" s="129"/>
      <c r="G109" s="9"/>
      <c r="H109" s="129"/>
      <c r="I109" s="9"/>
      <c r="J109" s="130" t="str">
        <f>IF(ISERROR(VLOOKUP(#REF!,#REF!,2,FALSE)),"EXCLUDE",VLOOKUP(#REF!,#REF!,2,FALSE))</f>
        <v>EXCLUDE</v>
      </c>
      <c r="K109" s="277"/>
      <c r="L109" s="277"/>
      <c r="M109" s="277"/>
      <c r="O109" s="131" t="str">
        <f t="shared" si="0"/>
        <v/>
      </c>
      <c r="P109" s="132" t="str">
        <f t="shared" si="1"/>
        <v/>
      </c>
      <c r="Q109" s="132" t="str">
        <f t="shared" si="2"/>
        <v/>
      </c>
      <c r="R109" s="132" t="str">
        <f t="shared" si="3"/>
        <v/>
      </c>
      <c r="S109" s="132" t="str">
        <f t="shared" si="4"/>
        <v/>
      </c>
      <c r="T109" s="132" t="str">
        <f t="shared" si="5"/>
        <v/>
      </c>
    </row>
    <row r="110" spans="2:45" ht="18" customHeight="1" x14ac:dyDescent="0.25">
      <c r="B110" s="281"/>
      <c r="C110" s="281"/>
      <c r="D110" s="9"/>
      <c r="E110" s="129"/>
      <c r="F110" s="9"/>
      <c r="G110" s="9"/>
      <c r="H110" s="9"/>
      <c r="I110" s="9"/>
      <c r="J110" s="130" t="str">
        <f>IF(ISERROR(VLOOKUP(#REF!,#REF!,2,FALSE)),"EXCLUDE",VLOOKUP(#REF!,#REF!,2,FALSE))</f>
        <v>EXCLUDE</v>
      </c>
      <c r="K110" s="277"/>
      <c r="L110" s="277"/>
      <c r="M110" s="277"/>
      <c r="O110" s="131" t="str">
        <f t="shared" si="0"/>
        <v/>
      </c>
      <c r="P110" s="132" t="str">
        <f t="shared" si="1"/>
        <v/>
      </c>
      <c r="Q110" s="132" t="str">
        <f t="shared" si="2"/>
        <v/>
      </c>
      <c r="R110" s="132" t="str">
        <f t="shared" si="3"/>
        <v/>
      </c>
      <c r="S110" s="132" t="str">
        <f t="shared" si="4"/>
        <v/>
      </c>
      <c r="T110" s="132" t="str">
        <f t="shared" si="5"/>
        <v/>
      </c>
    </row>
    <row r="111" spans="2:45" ht="18" customHeight="1" x14ac:dyDescent="0.25">
      <c r="B111" s="281"/>
      <c r="C111" s="281"/>
      <c r="D111" s="9"/>
      <c r="E111" s="129"/>
      <c r="F111" s="9"/>
      <c r="G111" s="9"/>
      <c r="H111" s="9"/>
      <c r="I111" s="9"/>
      <c r="J111" s="130" t="str">
        <f>IF(ISERROR(VLOOKUP(#REF!,#REF!,2,FALSE)),"EXCLUDE",VLOOKUP(#REF!,#REF!,2,FALSE))</f>
        <v>EXCLUDE</v>
      </c>
      <c r="K111" s="277"/>
      <c r="L111" s="277"/>
      <c r="M111" s="277"/>
      <c r="O111" s="131" t="str">
        <f t="shared" si="0"/>
        <v/>
      </c>
      <c r="P111" s="132" t="str">
        <f t="shared" si="1"/>
        <v/>
      </c>
      <c r="Q111" s="132" t="str">
        <f t="shared" si="2"/>
        <v/>
      </c>
      <c r="R111" s="132" t="str">
        <f t="shared" si="3"/>
        <v/>
      </c>
      <c r="S111" s="132" t="str">
        <f t="shared" si="4"/>
        <v/>
      </c>
      <c r="T111" s="132" t="str">
        <f t="shared" si="5"/>
        <v/>
      </c>
    </row>
    <row r="112" spans="2:45" ht="18" customHeight="1" x14ac:dyDescent="0.25">
      <c r="B112" s="281"/>
      <c r="C112" s="281"/>
      <c r="D112" s="9"/>
      <c r="E112" s="129"/>
      <c r="F112" s="129"/>
      <c r="G112" s="9"/>
      <c r="H112" s="129"/>
      <c r="I112" s="9"/>
      <c r="J112" s="130" t="str">
        <f>IF(ISERROR(VLOOKUP(#REF!,#REF!,2,FALSE)),"EXCLUDE",VLOOKUP(#REF!,#REF!,2,FALSE))</f>
        <v>EXCLUDE</v>
      </c>
      <c r="K112" s="277"/>
      <c r="L112" s="277"/>
      <c r="M112" s="277"/>
      <c r="O112" s="131" t="str">
        <f t="shared" si="0"/>
        <v/>
      </c>
      <c r="P112" s="132" t="str">
        <f t="shared" si="1"/>
        <v/>
      </c>
      <c r="Q112" s="132" t="str">
        <f t="shared" si="2"/>
        <v/>
      </c>
      <c r="R112" s="132" t="str">
        <f t="shared" si="3"/>
        <v/>
      </c>
      <c r="S112" s="132" t="str">
        <f t="shared" si="4"/>
        <v/>
      </c>
      <c r="T112" s="132" t="str">
        <f t="shared" si="5"/>
        <v/>
      </c>
    </row>
    <row r="113" spans="2:20" ht="18" customHeight="1" x14ac:dyDescent="0.25">
      <c r="B113" s="281"/>
      <c r="C113" s="281"/>
      <c r="D113" s="9"/>
      <c r="E113" s="129"/>
      <c r="F113" s="129"/>
      <c r="G113" s="9"/>
      <c r="H113" s="129"/>
      <c r="I113" s="9"/>
      <c r="J113" s="130" t="str">
        <f>IF(ISERROR(VLOOKUP(#REF!,#REF!,2,FALSE)),"EXCLUDE",VLOOKUP(#REF!,#REF!,2,FALSE))</f>
        <v>EXCLUDE</v>
      </c>
      <c r="K113" s="277"/>
      <c r="L113" s="277"/>
      <c r="M113" s="277"/>
      <c r="O113" s="131" t="str">
        <f t="shared" si="0"/>
        <v/>
      </c>
      <c r="P113" s="132" t="str">
        <f t="shared" si="1"/>
        <v/>
      </c>
      <c r="Q113" s="132" t="str">
        <f t="shared" si="2"/>
        <v/>
      </c>
      <c r="R113" s="132" t="str">
        <f t="shared" si="3"/>
        <v/>
      </c>
      <c r="S113" s="132" t="str">
        <f t="shared" si="4"/>
        <v/>
      </c>
      <c r="T113" s="132" t="str">
        <f t="shared" si="5"/>
        <v/>
      </c>
    </row>
    <row r="114" spans="2:20" ht="18" customHeight="1" x14ac:dyDescent="0.25">
      <c r="B114" s="281"/>
      <c r="C114" s="281"/>
      <c r="D114" s="9"/>
      <c r="E114" s="129"/>
      <c r="F114" s="9"/>
      <c r="G114" s="9"/>
      <c r="H114" s="9"/>
      <c r="I114" s="9"/>
      <c r="J114" s="130" t="str">
        <f>IF(ISERROR(VLOOKUP(#REF!,#REF!,2,FALSE)),"EXCLUDE",VLOOKUP(#REF!,#REF!,2,FALSE))</f>
        <v>EXCLUDE</v>
      </c>
      <c r="K114" s="277"/>
      <c r="L114" s="277"/>
      <c r="M114" s="277"/>
      <c r="O114" s="131" t="str">
        <f t="shared" si="0"/>
        <v/>
      </c>
      <c r="P114" s="132" t="str">
        <f t="shared" si="1"/>
        <v/>
      </c>
      <c r="Q114" s="132" t="str">
        <f t="shared" si="2"/>
        <v/>
      </c>
      <c r="R114" s="132" t="str">
        <f t="shared" si="3"/>
        <v/>
      </c>
      <c r="S114" s="132" t="str">
        <f t="shared" si="4"/>
        <v/>
      </c>
      <c r="T114" s="132" t="str">
        <f t="shared" si="5"/>
        <v/>
      </c>
    </row>
    <row r="115" spans="2:20" ht="18" customHeight="1" x14ac:dyDescent="0.25">
      <c r="B115" s="281"/>
      <c r="C115" s="281"/>
      <c r="D115" s="9"/>
      <c r="E115" s="129"/>
      <c r="F115" s="129"/>
      <c r="G115" s="9"/>
      <c r="H115" s="129"/>
      <c r="I115" s="9"/>
      <c r="J115" s="130" t="str">
        <f>IF(ISERROR(VLOOKUP(#REF!,#REF!,2,FALSE)),"EXCLUDE",VLOOKUP(#REF!,#REF!,2,FALSE))</f>
        <v>EXCLUDE</v>
      </c>
      <c r="K115" s="277"/>
      <c r="L115" s="277"/>
      <c r="M115" s="277"/>
      <c r="O115" s="131" t="str">
        <f t="shared" si="0"/>
        <v/>
      </c>
      <c r="P115" s="132" t="str">
        <f t="shared" si="1"/>
        <v/>
      </c>
      <c r="Q115" s="132" t="str">
        <f t="shared" si="2"/>
        <v/>
      </c>
      <c r="R115" s="132" t="str">
        <f t="shared" si="3"/>
        <v/>
      </c>
      <c r="S115" s="132" t="str">
        <f t="shared" si="4"/>
        <v/>
      </c>
      <c r="T115" s="132" t="str">
        <f t="shared" si="5"/>
        <v/>
      </c>
    </row>
    <row r="116" spans="2:20" ht="18" customHeight="1" x14ac:dyDescent="0.25">
      <c r="B116" s="281"/>
      <c r="C116" s="281"/>
      <c r="D116" s="9"/>
      <c r="E116" s="129"/>
      <c r="F116" s="9"/>
      <c r="G116" s="9"/>
      <c r="H116" s="9"/>
      <c r="I116" s="9"/>
      <c r="J116" s="130" t="str">
        <f>IF(ISERROR(VLOOKUP(#REF!,#REF!,2,FALSE)),"EXCLUDE",VLOOKUP(#REF!,#REF!,2,FALSE))</f>
        <v>EXCLUDE</v>
      </c>
      <c r="K116" s="277"/>
      <c r="L116" s="277"/>
      <c r="M116" s="277"/>
      <c r="O116" s="131" t="str">
        <f t="shared" si="0"/>
        <v/>
      </c>
      <c r="P116" s="132" t="str">
        <f t="shared" si="1"/>
        <v/>
      </c>
      <c r="Q116" s="132" t="str">
        <f t="shared" si="2"/>
        <v/>
      </c>
      <c r="R116" s="132" t="str">
        <f t="shared" si="3"/>
        <v/>
      </c>
      <c r="S116" s="132" t="str">
        <f t="shared" si="4"/>
        <v/>
      </c>
      <c r="T116" s="132" t="str">
        <f t="shared" si="5"/>
        <v/>
      </c>
    </row>
    <row r="117" spans="2:20" ht="18" customHeight="1" x14ac:dyDescent="0.25">
      <c r="B117" s="281"/>
      <c r="C117" s="281"/>
      <c r="D117" s="9"/>
      <c r="E117" s="129"/>
      <c r="F117" s="9"/>
      <c r="G117" s="9"/>
      <c r="H117" s="9"/>
      <c r="I117" s="9"/>
      <c r="J117" s="130" t="str">
        <f>IF(ISERROR(VLOOKUP(#REF!,#REF!,2,FALSE)),"EXCLUDE",VLOOKUP(#REF!,#REF!,2,FALSE))</f>
        <v>EXCLUDE</v>
      </c>
      <c r="K117" s="277"/>
      <c r="L117" s="277"/>
      <c r="M117" s="277"/>
      <c r="O117" s="131" t="str">
        <f t="shared" si="0"/>
        <v/>
      </c>
      <c r="P117" s="132" t="str">
        <f t="shared" si="1"/>
        <v/>
      </c>
      <c r="Q117" s="132" t="str">
        <f t="shared" si="2"/>
        <v/>
      </c>
      <c r="R117" s="132" t="str">
        <f t="shared" si="3"/>
        <v/>
      </c>
      <c r="S117" s="132" t="str">
        <f t="shared" si="4"/>
        <v/>
      </c>
      <c r="T117" s="132" t="str">
        <f t="shared" si="5"/>
        <v/>
      </c>
    </row>
    <row r="118" spans="2:20" ht="18" customHeight="1" x14ac:dyDescent="0.25">
      <c r="B118" s="281"/>
      <c r="C118" s="281"/>
      <c r="D118" s="9"/>
      <c r="E118" s="129"/>
      <c r="F118" s="129"/>
      <c r="G118" s="9"/>
      <c r="H118" s="129"/>
      <c r="I118" s="9"/>
      <c r="J118" s="130" t="str">
        <f>IF(ISERROR(VLOOKUP(#REF!,#REF!,2,FALSE)),"EXCLUDE",VLOOKUP(#REF!,#REF!,2,FALSE))</f>
        <v>EXCLUDE</v>
      </c>
      <c r="K118" s="277"/>
      <c r="L118" s="277"/>
      <c r="M118" s="277"/>
      <c r="O118" s="131" t="str">
        <f t="shared" si="0"/>
        <v/>
      </c>
      <c r="P118" s="132" t="str">
        <f t="shared" si="1"/>
        <v/>
      </c>
      <c r="Q118" s="132" t="str">
        <f t="shared" si="2"/>
        <v/>
      </c>
      <c r="R118" s="132" t="str">
        <f t="shared" si="3"/>
        <v/>
      </c>
      <c r="S118" s="132" t="str">
        <f t="shared" si="4"/>
        <v/>
      </c>
      <c r="T118" s="132" t="str">
        <f t="shared" si="5"/>
        <v/>
      </c>
    </row>
    <row r="119" spans="2:20" ht="18" customHeight="1" x14ac:dyDescent="0.25">
      <c r="B119" s="281"/>
      <c r="C119" s="281"/>
      <c r="D119" s="9"/>
      <c r="E119" s="129"/>
      <c r="F119" s="9"/>
      <c r="G119" s="9"/>
      <c r="H119" s="9"/>
      <c r="I119" s="9"/>
      <c r="J119" s="130" t="str">
        <f>IF(ISERROR(VLOOKUP(#REF!,#REF!,2,FALSE)),"EXCLUDE",VLOOKUP(#REF!,#REF!,2,FALSE))</f>
        <v>EXCLUDE</v>
      </c>
      <c r="K119" s="277"/>
      <c r="L119" s="277"/>
      <c r="M119" s="277"/>
      <c r="O119" s="131" t="str">
        <f t="shared" si="0"/>
        <v/>
      </c>
      <c r="P119" s="132" t="str">
        <f t="shared" si="1"/>
        <v/>
      </c>
      <c r="Q119" s="132" t="str">
        <f t="shared" si="2"/>
        <v/>
      </c>
      <c r="R119" s="132" t="str">
        <f t="shared" si="3"/>
        <v/>
      </c>
      <c r="S119" s="132" t="str">
        <f t="shared" si="4"/>
        <v/>
      </c>
      <c r="T119" s="132" t="str">
        <f t="shared" si="5"/>
        <v/>
      </c>
    </row>
    <row r="120" spans="2:20" ht="18" customHeight="1" x14ac:dyDescent="0.25">
      <c r="B120" s="281"/>
      <c r="C120" s="281"/>
      <c r="D120" s="9"/>
      <c r="E120" s="129"/>
      <c r="F120" s="9"/>
      <c r="G120" s="9"/>
      <c r="H120" s="9"/>
      <c r="I120" s="9"/>
      <c r="J120" s="130" t="str">
        <f>IF(ISERROR(VLOOKUP(#REF!,#REF!,2,FALSE)),"EXCLUDE",VLOOKUP(#REF!,#REF!,2,FALSE))</f>
        <v>EXCLUDE</v>
      </c>
      <c r="K120" s="277"/>
      <c r="L120" s="277"/>
      <c r="M120" s="277"/>
      <c r="O120" s="131" t="str">
        <f t="shared" si="0"/>
        <v/>
      </c>
      <c r="P120" s="132" t="str">
        <f t="shared" si="1"/>
        <v/>
      </c>
      <c r="Q120" s="132" t="str">
        <f t="shared" si="2"/>
        <v/>
      </c>
      <c r="R120" s="132" t="str">
        <f t="shared" si="3"/>
        <v/>
      </c>
      <c r="S120" s="132" t="str">
        <f t="shared" si="4"/>
        <v/>
      </c>
      <c r="T120" s="132" t="str">
        <f t="shared" si="5"/>
        <v/>
      </c>
    </row>
    <row r="121" spans="2:20" ht="18" customHeight="1" x14ac:dyDescent="0.25">
      <c r="B121" s="281"/>
      <c r="C121" s="281"/>
      <c r="D121" s="9"/>
      <c r="E121" s="129"/>
      <c r="F121" s="129"/>
      <c r="G121" s="9"/>
      <c r="H121" s="129"/>
      <c r="I121" s="9"/>
      <c r="J121" s="130" t="str">
        <f>IF(ISERROR(VLOOKUP(#REF!,#REF!,2,FALSE)),"EXCLUDE",VLOOKUP(#REF!,#REF!,2,FALSE))</f>
        <v>EXCLUDE</v>
      </c>
      <c r="K121" s="277"/>
      <c r="L121" s="277"/>
      <c r="M121" s="277"/>
      <c r="O121" s="131" t="str">
        <f t="shared" si="0"/>
        <v/>
      </c>
      <c r="P121" s="132" t="str">
        <f t="shared" si="1"/>
        <v/>
      </c>
      <c r="Q121" s="132" t="str">
        <f t="shared" si="2"/>
        <v/>
      </c>
      <c r="R121" s="132" t="str">
        <f t="shared" si="3"/>
        <v/>
      </c>
      <c r="S121" s="132" t="str">
        <f t="shared" si="4"/>
        <v/>
      </c>
      <c r="T121" s="132" t="str">
        <f t="shared" si="5"/>
        <v/>
      </c>
    </row>
    <row r="122" spans="2:20" ht="18" customHeight="1" x14ac:dyDescent="0.25">
      <c r="B122" s="281"/>
      <c r="C122" s="281"/>
      <c r="D122" s="9"/>
      <c r="E122" s="129"/>
      <c r="F122" s="129"/>
      <c r="G122" s="9"/>
      <c r="H122" s="129"/>
      <c r="I122" s="9"/>
      <c r="J122" s="130" t="str">
        <f>IF(ISERROR(VLOOKUP(#REF!,#REF!,2,FALSE)),"EXCLUDE",VLOOKUP(#REF!,#REF!,2,FALSE))</f>
        <v>EXCLUDE</v>
      </c>
      <c r="K122" s="277"/>
      <c r="L122" s="277"/>
      <c r="M122" s="277"/>
      <c r="O122" s="131" t="str">
        <f t="shared" si="0"/>
        <v/>
      </c>
      <c r="P122" s="132" t="str">
        <f t="shared" si="1"/>
        <v/>
      </c>
      <c r="Q122" s="132" t="str">
        <f t="shared" si="2"/>
        <v/>
      </c>
      <c r="R122" s="132" t="str">
        <f t="shared" si="3"/>
        <v/>
      </c>
      <c r="S122" s="132" t="str">
        <f t="shared" si="4"/>
        <v/>
      </c>
      <c r="T122" s="132" t="str">
        <f t="shared" si="5"/>
        <v/>
      </c>
    </row>
    <row r="123" spans="2:20" ht="18" customHeight="1" x14ac:dyDescent="0.25">
      <c r="B123" s="281"/>
      <c r="C123" s="281"/>
      <c r="D123" s="9"/>
      <c r="E123" s="129"/>
      <c r="F123" s="129"/>
      <c r="G123" s="9"/>
      <c r="H123" s="129"/>
      <c r="I123" s="9"/>
      <c r="J123" s="130" t="str">
        <f>IF(ISERROR(VLOOKUP(#REF!,#REF!,2,FALSE)),"EXCLUDE",VLOOKUP(#REF!,#REF!,2,FALSE))</f>
        <v>EXCLUDE</v>
      </c>
      <c r="K123" s="277"/>
      <c r="L123" s="277"/>
      <c r="M123" s="277"/>
      <c r="O123" s="131" t="str">
        <f t="shared" si="0"/>
        <v/>
      </c>
      <c r="P123" s="132" t="str">
        <f t="shared" si="1"/>
        <v/>
      </c>
      <c r="Q123" s="132" t="str">
        <f t="shared" si="2"/>
        <v/>
      </c>
      <c r="R123" s="132" t="str">
        <f t="shared" si="3"/>
        <v/>
      </c>
      <c r="S123" s="132" t="str">
        <f t="shared" si="4"/>
        <v/>
      </c>
      <c r="T123" s="132" t="str">
        <f t="shared" si="5"/>
        <v/>
      </c>
    </row>
    <row r="124" spans="2:20" ht="18" customHeight="1" x14ac:dyDescent="0.25">
      <c r="B124" s="281"/>
      <c r="C124" s="281"/>
      <c r="D124" s="9"/>
      <c r="E124" s="129"/>
      <c r="F124" s="129"/>
      <c r="G124" s="9"/>
      <c r="H124" s="129"/>
      <c r="I124" s="9"/>
      <c r="J124" s="130" t="str">
        <f>IF(ISERROR(VLOOKUP(#REF!,#REF!,2,FALSE)),"EXCLUDE",VLOOKUP(#REF!,#REF!,2,FALSE))</f>
        <v>EXCLUDE</v>
      </c>
      <c r="K124" s="277"/>
      <c r="L124" s="277"/>
      <c r="M124" s="277"/>
      <c r="O124" s="131" t="str">
        <f t="shared" si="0"/>
        <v/>
      </c>
      <c r="P124" s="132" t="str">
        <f t="shared" si="1"/>
        <v/>
      </c>
      <c r="Q124" s="132" t="str">
        <f t="shared" si="2"/>
        <v/>
      </c>
      <c r="R124" s="132" t="str">
        <f t="shared" si="3"/>
        <v/>
      </c>
      <c r="S124" s="132" t="str">
        <f t="shared" si="4"/>
        <v/>
      </c>
      <c r="T124" s="132" t="str">
        <f t="shared" si="5"/>
        <v/>
      </c>
    </row>
    <row r="125" spans="2:20" ht="18" customHeight="1" x14ac:dyDescent="0.25">
      <c r="B125" s="281"/>
      <c r="C125" s="281"/>
      <c r="D125" s="9"/>
      <c r="E125" s="129"/>
      <c r="F125" s="129"/>
      <c r="G125" s="9"/>
      <c r="H125" s="129"/>
      <c r="I125" s="9"/>
      <c r="J125" s="130" t="str">
        <f>IF(ISERROR(VLOOKUP(#REF!,#REF!,2,FALSE)),"EXCLUDE",VLOOKUP(#REF!,#REF!,2,FALSE))</f>
        <v>EXCLUDE</v>
      </c>
      <c r="K125" s="277"/>
      <c r="L125" s="277"/>
      <c r="M125" s="277"/>
      <c r="O125" s="131" t="str">
        <f t="shared" ref="O125:O160" si="6">IF($J125="INCLUDE",E125,"")</f>
        <v/>
      </c>
      <c r="P125" s="132" t="str">
        <f t="shared" ref="P125:P160" si="7">IF(AND($J125="INCLUDE",ISNUMBER(F125)),F125,"")</f>
        <v/>
      </c>
      <c r="Q125" s="132" t="str">
        <f t="shared" ref="Q125:Q160" si="8">IF($J125="INCLUDE",AVERAGE(O125:P125),"")</f>
        <v/>
      </c>
      <c r="R125" s="132" t="str">
        <f t="shared" ref="R125:R160" si="9">IF($J125="INCLUDE",H125,"")</f>
        <v/>
      </c>
      <c r="S125" s="132" t="str">
        <f t="shared" ref="S125:S160" si="10">IF(AND($J125="INCLUDE",ISNUMBER(I125)),I125,"")</f>
        <v/>
      </c>
      <c r="T125" s="132" t="str">
        <f t="shared" ref="T125:T160" si="11">IF($J125="INCLUDE",AVERAGE(R125:S125),"")</f>
        <v/>
      </c>
    </row>
    <row r="126" spans="2:20" ht="18" customHeight="1" x14ac:dyDescent="0.25">
      <c r="B126" s="281"/>
      <c r="C126" s="281"/>
      <c r="D126" s="9"/>
      <c r="E126" s="129"/>
      <c r="F126" s="9"/>
      <c r="G126" s="9"/>
      <c r="H126" s="9"/>
      <c r="I126" s="9"/>
      <c r="J126" s="130" t="str">
        <f>IF(ISERROR(VLOOKUP(#REF!,#REF!,2,FALSE)),"EXCLUDE",VLOOKUP(#REF!,#REF!,2,FALSE))</f>
        <v>EXCLUDE</v>
      </c>
      <c r="K126" s="277"/>
      <c r="L126" s="277"/>
      <c r="M126" s="277"/>
      <c r="O126" s="131" t="str">
        <f t="shared" si="6"/>
        <v/>
      </c>
      <c r="P126" s="132" t="str">
        <f t="shared" si="7"/>
        <v/>
      </c>
      <c r="Q126" s="132" t="str">
        <f t="shared" si="8"/>
        <v/>
      </c>
      <c r="R126" s="132" t="str">
        <f t="shared" si="9"/>
        <v/>
      </c>
      <c r="S126" s="132" t="str">
        <f t="shared" si="10"/>
        <v/>
      </c>
      <c r="T126" s="132" t="str">
        <f t="shared" si="11"/>
        <v/>
      </c>
    </row>
    <row r="127" spans="2:20" ht="18" customHeight="1" x14ac:dyDescent="0.25">
      <c r="B127" s="281"/>
      <c r="C127" s="281"/>
      <c r="D127" s="9"/>
      <c r="E127" s="129"/>
      <c r="F127" s="9"/>
      <c r="G127" s="9"/>
      <c r="H127" s="9"/>
      <c r="I127" s="9"/>
      <c r="J127" s="130" t="str">
        <f>IF(ISERROR(VLOOKUP(#REF!,#REF!,2,FALSE)),"EXCLUDE",VLOOKUP(#REF!,#REF!,2,FALSE))</f>
        <v>EXCLUDE</v>
      </c>
      <c r="K127" s="277"/>
      <c r="L127" s="277"/>
      <c r="M127" s="277"/>
      <c r="O127" s="131" t="str">
        <f t="shared" si="6"/>
        <v/>
      </c>
      <c r="P127" s="132" t="str">
        <f t="shared" si="7"/>
        <v/>
      </c>
      <c r="Q127" s="132" t="str">
        <f t="shared" si="8"/>
        <v/>
      </c>
      <c r="R127" s="132" t="str">
        <f t="shared" si="9"/>
        <v/>
      </c>
      <c r="S127" s="132" t="str">
        <f t="shared" si="10"/>
        <v/>
      </c>
      <c r="T127" s="132" t="str">
        <f t="shared" si="11"/>
        <v/>
      </c>
    </row>
    <row r="128" spans="2:20" ht="18" customHeight="1" x14ac:dyDescent="0.25">
      <c r="B128" s="281"/>
      <c r="C128" s="281"/>
      <c r="D128" s="9"/>
      <c r="E128" s="129"/>
      <c r="F128" s="129"/>
      <c r="G128" s="9"/>
      <c r="H128" s="129"/>
      <c r="I128" s="9"/>
      <c r="J128" s="130" t="str">
        <f>IF(ISERROR(VLOOKUP(#REF!,#REF!,2,FALSE)),"EXCLUDE",VLOOKUP(#REF!,#REF!,2,FALSE))</f>
        <v>EXCLUDE</v>
      </c>
      <c r="K128" s="277"/>
      <c r="L128" s="277"/>
      <c r="M128" s="277"/>
      <c r="O128" s="131" t="str">
        <f t="shared" si="6"/>
        <v/>
      </c>
      <c r="P128" s="132" t="str">
        <f t="shared" si="7"/>
        <v/>
      </c>
      <c r="Q128" s="132" t="str">
        <f t="shared" si="8"/>
        <v/>
      </c>
      <c r="R128" s="132" t="str">
        <f t="shared" si="9"/>
        <v/>
      </c>
      <c r="S128" s="132" t="str">
        <f t="shared" si="10"/>
        <v/>
      </c>
      <c r="T128" s="132" t="str">
        <f t="shared" si="11"/>
        <v/>
      </c>
    </row>
    <row r="129" spans="2:20" ht="18" customHeight="1" x14ac:dyDescent="0.25">
      <c r="B129" s="281"/>
      <c r="C129" s="281"/>
      <c r="D129" s="9"/>
      <c r="E129" s="129"/>
      <c r="F129" s="129"/>
      <c r="G129" s="9"/>
      <c r="H129" s="129"/>
      <c r="I129" s="9"/>
      <c r="J129" s="130" t="str">
        <f>IF(ISERROR(VLOOKUP(#REF!,#REF!,2,FALSE)),"EXCLUDE",VLOOKUP(#REF!,#REF!,2,FALSE))</f>
        <v>EXCLUDE</v>
      </c>
      <c r="K129" s="277"/>
      <c r="L129" s="277"/>
      <c r="M129" s="277"/>
      <c r="O129" s="131" t="str">
        <f t="shared" si="6"/>
        <v/>
      </c>
      <c r="P129" s="132" t="str">
        <f t="shared" si="7"/>
        <v/>
      </c>
      <c r="Q129" s="132" t="str">
        <f t="shared" si="8"/>
        <v/>
      </c>
      <c r="R129" s="132" t="str">
        <f t="shared" si="9"/>
        <v/>
      </c>
      <c r="S129" s="132" t="str">
        <f t="shared" si="10"/>
        <v/>
      </c>
      <c r="T129" s="132" t="str">
        <f t="shared" si="11"/>
        <v/>
      </c>
    </row>
    <row r="130" spans="2:20" ht="18" customHeight="1" x14ac:dyDescent="0.25">
      <c r="B130" s="281"/>
      <c r="C130" s="281"/>
      <c r="D130" s="9"/>
      <c r="E130" s="129"/>
      <c r="F130" s="129"/>
      <c r="G130" s="9"/>
      <c r="H130" s="129"/>
      <c r="I130" s="9"/>
      <c r="J130" s="130" t="str">
        <f>IF(ISERROR(VLOOKUP(#REF!,#REF!,2,FALSE)),"EXCLUDE",VLOOKUP(#REF!,#REF!,2,FALSE))</f>
        <v>EXCLUDE</v>
      </c>
      <c r="K130" s="277"/>
      <c r="L130" s="277"/>
      <c r="M130" s="277"/>
      <c r="O130" s="131" t="str">
        <f t="shared" si="6"/>
        <v/>
      </c>
      <c r="P130" s="132" t="str">
        <f t="shared" si="7"/>
        <v/>
      </c>
      <c r="Q130" s="132" t="str">
        <f t="shared" si="8"/>
        <v/>
      </c>
      <c r="R130" s="132" t="str">
        <f t="shared" si="9"/>
        <v/>
      </c>
      <c r="S130" s="132" t="str">
        <f t="shared" si="10"/>
        <v/>
      </c>
      <c r="T130" s="132" t="str">
        <f t="shared" si="11"/>
        <v/>
      </c>
    </row>
    <row r="131" spans="2:20" ht="18" customHeight="1" x14ac:dyDescent="0.25">
      <c r="B131" s="281"/>
      <c r="C131" s="281"/>
      <c r="D131" s="9"/>
      <c r="E131" s="129"/>
      <c r="F131" s="129"/>
      <c r="G131" s="9"/>
      <c r="H131" s="129"/>
      <c r="I131" s="9"/>
      <c r="J131" s="130" t="str">
        <f>IF(ISERROR(VLOOKUP(#REF!,#REF!,2,FALSE)),"EXCLUDE",VLOOKUP(#REF!,#REF!,2,FALSE))</f>
        <v>EXCLUDE</v>
      </c>
      <c r="K131" s="277"/>
      <c r="L131" s="277"/>
      <c r="M131" s="277"/>
      <c r="O131" s="131" t="str">
        <f t="shared" si="6"/>
        <v/>
      </c>
      <c r="P131" s="132" t="str">
        <f t="shared" si="7"/>
        <v/>
      </c>
      <c r="Q131" s="132" t="str">
        <f t="shared" si="8"/>
        <v/>
      </c>
      <c r="R131" s="132" t="str">
        <f t="shared" si="9"/>
        <v/>
      </c>
      <c r="S131" s="132" t="str">
        <f t="shared" si="10"/>
        <v/>
      </c>
      <c r="T131" s="132" t="str">
        <f t="shared" si="11"/>
        <v/>
      </c>
    </row>
    <row r="132" spans="2:20" ht="18" customHeight="1" x14ac:dyDescent="0.25">
      <c r="B132" s="281"/>
      <c r="C132" s="281"/>
      <c r="D132" s="9"/>
      <c r="E132" s="129"/>
      <c r="F132" s="129"/>
      <c r="G132" s="9"/>
      <c r="H132" s="129"/>
      <c r="I132" s="9"/>
      <c r="J132" s="130" t="str">
        <f>IF(ISERROR(VLOOKUP(#REF!,#REF!,2,FALSE)),"EXCLUDE",VLOOKUP(#REF!,#REF!,2,FALSE))</f>
        <v>EXCLUDE</v>
      </c>
      <c r="K132" s="277"/>
      <c r="L132" s="277"/>
      <c r="M132" s="277"/>
      <c r="O132" s="131" t="str">
        <f t="shared" si="6"/>
        <v/>
      </c>
      <c r="P132" s="132" t="str">
        <f t="shared" si="7"/>
        <v/>
      </c>
      <c r="Q132" s="132" t="str">
        <f t="shared" si="8"/>
        <v/>
      </c>
      <c r="R132" s="132" t="str">
        <f t="shared" si="9"/>
        <v/>
      </c>
      <c r="S132" s="132" t="str">
        <f t="shared" si="10"/>
        <v/>
      </c>
      <c r="T132" s="132" t="str">
        <f t="shared" si="11"/>
        <v/>
      </c>
    </row>
    <row r="133" spans="2:20" ht="18" customHeight="1" x14ac:dyDescent="0.25">
      <c r="B133" s="281"/>
      <c r="C133" s="281"/>
      <c r="D133" s="9"/>
      <c r="E133" s="129"/>
      <c r="F133" s="129"/>
      <c r="G133" s="9"/>
      <c r="H133" s="129"/>
      <c r="I133" s="9"/>
      <c r="J133" s="130" t="str">
        <f>IF(ISERROR(VLOOKUP(#REF!,#REF!,2,FALSE)),"EXCLUDE",VLOOKUP(#REF!,#REF!,2,FALSE))</f>
        <v>EXCLUDE</v>
      </c>
      <c r="K133" s="277"/>
      <c r="L133" s="277"/>
      <c r="M133" s="277"/>
      <c r="O133" s="131" t="str">
        <f t="shared" si="6"/>
        <v/>
      </c>
      <c r="P133" s="132" t="str">
        <f t="shared" si="7"/>
        <v/>
      </c>
      <c r="Q133" s="132" t="str">
        <f t="shared" si="8"/>
        <v/>
      </c>
      <c r="R133" s="132" t="str">
        <f t="shared" si="9"/>
        <v/>
      </c>
      <c r="S133" s="132" t="str">
        <f t="shared" si="10"/>
        <v/>
      </c>
      <c r="T133" s="132" t="str">
        <f t="shared" si="11"/>
        <v/>
      </c>
    </row>
    <row r="134" spans="2:20" ht="18" customHeight="1" x14ac:dyDescent="0.25">
      <c r="B134" s="281"/>
      <c r="C134" s="281"/>
      <c r="D134" s="9"/>
      <c r="E134" s="129"/>
      <c r="F134" s="129"/>
      <c r="G134" s="9"/>
      <c r="H134" s="129"/>
      <c r="I134" s="9"/>
      <c r="J134" s="130" t="str">
        <f>IF(ISERROR(VLOOKUP(#REF!,#REF!,2,FALSE)),"EXCLUDE",VLOOKUP(#REF!,#REF!,2,FALSE))</f>
        <v>EXCLUDE</v>
      </c>
      <c r="K134" s="277"/>
      <c r="L134" s="277"/>
      <c r="M134" s="277"/>
      <c r="O134" s="131" t="str">
        <f t="shared" si="6"/>
        <v/>
      </c>
      <c r="P134" s="132" t="str">
        <f t="shared" si="7"/>
        <v/>
      </c>
      <c r="Q134" s="132" t="str">
        <f t="shared" si="8"/>
        <v/>
      </c>
      <c r="R134" s="132" t="str">
        <f t="shared" si="9"/>
        <v/>
      </c>
      <c r="S134" s="132" t="str">
        <f t="shared" si="10"/>
        <v/>
      </c>
      <c r="T134" s="132" t="str">
        <f t="shared" si="11"/>
        <v/>
      </c>
    </row>
    <row r="135" spans="2:20" ht="18" customHeight="1" x14ac:dyDescent="0.25">
      <c r="B135" s="281"/>
      <c r="C135" s="281"/>
      <c r="D135" s="9"/>
      <c r="E135" s="129"/>
      <c r="F135" s="129"/>
      <c r="G135" s="9"/>
      <c r="H135" s="129"/>
      <c r="I135" s="9"/>
      <c r="J135" s="130" t="str">
        <f>IF(ISERROR(VLOOKUP(#REF!,#REF!,2,FALSE)),"EXCLUDE",VLOOKUP(#REF!,#REF!,2,FALSE))</f>
        <v>EXCLUDE</v>
      </c>
      <c r="K135" s="277"/>
      <c r="L135" s="277"/>
      <c r="M135" s="277"/>
      <c r="O135" s="131" t="str">
        <f t="shared" si="6"/>
        <v/>
      </c>
      <c r="P135" s="132" t="str">
        <f t="shared" si="7"/>
        <v/>
      </c>
      <c r="Q135" s="132" t="str">
        <f t="shared" si="8"/>
        <v/>
      </c>
      <c r="R135" s="132" t="str">
        <f t="shared" si="9"/>
        <v/>
      </c>
      <c r="S135" s="132" t="str">
        <f t="shared" si="10"/>
        <v/>
      </c>
      <c r="T135" s="132" t="str">
        <f t="shared" si="11"/>
        <v/>
      </c>
    </row>
    <row r="136" spans="2:20" ht="18" customHeight="1" x14ac:dyDescent="0.25">
      <c r="B136" s="281"/>
      <c r="C136" s="281"/>
      <c r="D136" s="9"/>
      <c r="E136" s="129"/>
      <c r="F136" s="129"/>
      <c r="G136" s="9"/>
      <c r="H136" s="129"/>
      <c r="I136" s="9"/>
      <c r="J136" s="130" t="str">
        <f>IF(ISERROR(VLOOKUP(#REF!,#REF!,2,FALSE)),"EXCLUDE",VLOOKUP(#REF!,#REF!,2,FALSE))</f>
        <v>EXCLUDE</v>
      </c>
      <c r="K136" s="277"/>
      <c r="L136" s="277"/>
      <c r="M136" s="277"/>
      <c r="O136" s="131" t="str">
        <f t="shared" si="6"/>
        <v/>
      </c>
      <c r="P136" s="132" t="str">
        <f t="shared" si="7"/>
        <v/>
      </c>
      <c r="Q136" s="132" t="str">
        <f t="shared" si="8"/>
        <v/>
      </c>
      <c r="R136" s="132" t="str">
        <f t="shared" si="9"/>
        <v/>
      </c>
      <c r="S136" s="132" t="str">
        <f t="shared" si="10"/>
        <v/>
      </c>
      <c r="T136" s="132" t="str">
        <f t="shared" si="11"/>
        <v/>
      </c>
    </row>
    <row r="137" spans="2:20" ht="18" customHeight="1" x14ac:dyDescent="0.25">
      <c r="B137" s="281"/>
      <c r="C137" s="281"/>
      <c r="D137" s="9"/>
      <c r="E137" s="129"/>
      <c r="F137" s="129"/>
      <c r="G137" s="9"/>
      <c r="H137" s="129"/>
      <c r="I137" s="9"/>
      <c r="J137" s="130" t="str">
        <f>IF(ISERROR(VLOOKUP(#REF!,#REF!,2,FALSE)),"EXCLUDE",VLOOKUP(#REF!,#REF!,2,FALSE))</f>
        <v>EXCLUDE</v>
      </c>
      <c r="K137" s="277"/>
      <c r="L137" s="277"/>
      <c r="M137" s="277"/>
      <c r="O137" s="131" t="str">
        <f t="shared" si="6"/>
        <v/>
      </c>
      <c r="P137" s="132" t="str">
        <f t="shared" si="7"/>
        <v/>
      </c>
      <c r="Q137" s="132" t="str">
        <f t="shared" si="8"/>
        <v/>
      </c>
      <c r="R137" s="132" t="str">
        <f t="shared" si="9"/>
        <v/>
      </c>
      <c r="S137" s="132" t="str">
        <f t="shared" si="10"/>
        <v/>
      </c>
      <c r="T137" s="132" t="str">
        <f t="shared" si="11"/>
        <v/>
      </c>
    </row>
    <row r="138" spans="2:20" ht="18" customHeight="1" x14ac:dyDescent="0.25">
      <c r="B138" s="281"/>
      <c r="C138" s="281"/>
      <c r="D138" s="9"/>
      <c r="E138" s="129"/>
      <c r="F138" s="129"/>
      <c r="G138" s="9"/>
      <c r="H138" s="129"/>
      <c r="I138" s="9"/>
      <c r="J138" s="130" t="str">
        <f>IF(ISERROR(VLOOKUP(#REF!,#REF!,2,FALSE)),"EXCLUDE",VLOOKUP(#REF!,#REF!,2,FALSE))</f>
        <v>EXCLUDE</v>
      </c>
      <c r="K138" s="277"/>
      <c r="L138" s="277"/>
      <c r="M138" s="277"/>
      <c r="O138" s="131" t="str">
        <f t="shared" si="6"/>
        <v/>
      </c>
      <c r="P138" s="132" t="str">
        <f t="shared" si="7"/>
        <v/>
      </c>
      <c r="Q138" s="132" t="str">
        <f t="shared" si="8"/>
        <v/>
      </c>
      <c r="R138" s="132" t="str">
        <f t="shared" si="9"/>
        <v/>
      </c>
      <c r="S138" s="132" t="str">
        <f t="shared" si="10"/>
        <v/>
      </c>
      <c r="T138" s="132" t="str">
        <f t="shared" si="11"/>
        <v/>
      </c>
    </row>
    <row r="139" spans="2:20" ht="18" customHeight="1" x14ac:dyDescent="0.25">
      <c r="B139" s="281"/>
      <c r="C139" s="281"/>
      <c r="D139" s="9"/>
      <c r="E139" s="129"/>
      <c r="F139" s="129"/>
      <c r="G139" s="9"/>
      <c r="H139" s="129"/>
      <c r="I139" s="9"/>
      <c r="J139" s="130" t="str">
        <f>IF(ISERROR(VLOOKUP(#REF!,#REF!,2,FALSE)),"EXCLUDE",VLOOKUP(#REF!,#REF!,2,FALSE))</f>
        <v>EXCLUDE</v>
      </c>
      <c r="K139" s="277"/>
      <c r="L139" s="277"/>
      <c r="M139" s="277"/>
      <c r="O139" s="131" t="str">
        <f t="shared" si="6"/>
        <v/>
      </c>
      <c r="P139" s="132" t="str">
        <f t="shared" si="7"/>
        <v/>
      </c>
      <c r="Q139" s="132" t="str">
        <f t="shared" si="8"/>
        <v/>
      </c>
      <c r="R139" s="132" t="str">
        <f t="shared" si="9"/>
        <v/>
      </c>
      <c r="S139" s="132" t="str">
        <f t="shared" si="10"/>
        <v/>
      </c>
      <c r="T139" s="132" t="str">
        <f t="shared" si="11"/>
        <v/>
      </c>
    </row>
    <row r="140" spans="2:20" ht="18" customHeight="1" x14ac:dyDescent="0.25">
      <c r="B140" s="281"/>
      <c r="C140" s="281"/>
      <c r="D140" s="9"/>
      <c r="E140" s="129"/>
      <c r="F140" s="129"/>
      <c r="G140" s="9"/>
      <c r="H140" s="129"/>
      <c r="I140" s="9"/>
      <c r="J140" s="130" t="str">
        <f>IF(ISERROR(VLOOKUP(#REF!,#REF!,2,FALSE)),"EXCLUDE",VLOOKUP(#REF!,#REF!,2,FALSE))</f>
        <v>EXCLUDE</v>
      </c>
      <c r="K140" s="277"/>
      <c r="L140" s="277"/>
      <c r="M140" s="277"/>
      <c r="O140" s="131" t="str">
        <f t="shared" si="6"/>
        <v/>
      </c>
      <c r="P140" s="132" t="str">
        <f t="shared" si="7"/>
        <v/>
      </c>
      <c r="Q140" s="132" t="str">
        <f t="shared" si="8"/>
        <v/>
      </c>
      <c r="R140" s="132" t="str">
        <f t="shared" si="9"/>
        <v/>
      </c>
      <c r="S140" s="132" t="str">
        <f t="shared" si="10"/>
        <v/>
      </c>
      <c r="T140" s="132" t="str">
        <f t="shared" si="11"/>
        <v/>
      </c>
    </row>
    <row r="141" spans="2:20" ht="18" customHeight="1" x14ac:dyDescent="0.25">
      <c r="B141" s="281"/>
      <c r="C141" s="281"/>
      <c r="D141" s="9"/>
      <c r="E141" s="129"/>
      <c r="F141" s="129"/>
      <c r="G141" s="9"/>
      <c r="H141" s="129"/>
      <c r="I141" s="9"/>
      <c r="J141" s="130" t="str">
        <f>IF(ISERROR(VLOOKUP(#REF!,#REF!,2,FALSE)),"EXCLUDE",VLOOKUP(#REF!,#REF!,2,FALSE))</f>
        <v>EXCLUDE</v>
      </c>
      <c r="K141" s="277"/>
      <c r="L141" s="277"/>
      <c r="M141" s="277"/>
      <c r="O141" s="131" t="str">
        <f t="shared" si="6"/>
        <v/>
      </c>
      <c r="P141" s="132" t="str">
        <f t="shared" si="7"/>
        <v/>
      </c>
      <c r="Q141" s="132" t="str">
        <f t="shared" si="8"/>
        <v/>
      </c>
      <c r="R141" s="132" t="str">
        <f t="shared" si="9"/>
        <v/>
      </c>
      <c r="S141" s="132" t="str">
        <f t="shared" si="10"/>
        <v/>
      </c>
      <c r="T141" s="132" t="str">
        <f t="shared" si="11"/>
        <v/>
      </c>
    </row>
    <row r="142" spans="2:20" ht="18" customHeight="1" x14ac:dyDescent="0.25">
      <c r="B142" s="281"/>
      <c r="C142" s="281"/>
      <c r="D142" s="9"/>
      <c r="E142" s="129"/>
      <c r="F142" s="129"/>
      <c r="G142" s="9"/>
      <c r="H142" s="129"/>
      <c r="I142" s="9"/>
      <c r="J142" s="130" t="str">
        <f>IF(ISERROR(VLOOKUP(#REF!,#REF!,2,FALSE)),"EXCLUDE",VLOOKUP(#REF!,#REF!,2,FALSE))</f>
        <v>EXCLUDE</v>
      </c>
      <c r="K142" s="277"/>
      <c r="L142" s="277"/>
      <c r="M142" s="277"/>
      <c r="O142" s="131" t="str">
        <f t="shared" si="6"/>
        <v/>
      </c>
      <c r="P142" s="132" t="str">
        <f t="shared" si="7"/>
        <v/>
      </c>
      <c r="Q142" s="132" t="str">
        <f t="shared" si="8"/>
        <v/>
      </c>
      <c r="R142" s="132" t="str">
        <f t="shared" si="9"/>
        <v/>
      </c>
      <c r="S142" s="132" t="str">
        <f t="shared" si="10"/>
        <v/>
      </c>
      <c r="T142" s="132" t="str">
        <f t="shared" si="11"/>
        <v/>
      </c>
    </row>
    <row r="143" spans="2:20" ht="18" customHeight="1" x14ac:dyDescent="0.25">
      <c r="B143" s="281"/>
      <c r="C143" s="281"/>
      <c r="D143" s="9"/>
      <c r="E143" s="129"/>
      <c r="F143" s="129"/>
      <c r="G143" s="9"/>
      <c r="H143" s="129"/>
      <c r="I143" s="9"/>
      <c r="J143" s="130" t="str">
        <f>IF(ISERROR(VLOOKUP(#REF!,#REF!,2,FALSE)),"EXCLUDE",VLOOKUP(#REF!,#REF!,2,FALSE))</f>
        <v>EXCLUDE</v>
      </c>
      <c r="K143" s="277"/>
      <c r="L143" s="277"/>
      <c r="M143" s="277"/>
      <c r="O143" s="131" t="str">
        <f t="shared" si="6"/>
        <v/>
      </c>
      <c r="P143" s="132" t="str">
        <f t="shared" si="7"/>
        <v/>
      </c>
      <c r="Q143" s="132" t="str">
        <f t="shared" si="8"/>
        <v/>
      </c>
      <c r="R143" s="132" t="str">
        <f t="shared" si="9"/>
        <v/>
      </c>
      <c r="S143" s="132" t="str">
        <f t="shared" si="10"/>
        <v/>
      </c>
      <c r="T143" s="132" t="str">
        <f t="shared" si="11"/>
        <v/>
      </c>
    </row>
    <row r="144" spans="2:20" ht="18" customHeight="1" x14ac:dyDescent="0.25">
      <c r="B144" s="281"/>
      <c r="C144" s="281"/>
      <c r="D144" s="9"/>
      <c r="E144" s="129"/>
      <c r="F144" s="129"/>
      <c r="G144" s="9"/>
      <c r="H144" s="129"/>
      <c r="I144" s="9"/>
      <c r="J144" s="130" t="str">
        <f>IF(ISERROR(VLOOKUP(#REF!,#REF!,2,FALSE)),"EXCLUDE",VLOOKUP(#REF!,#REF!,2,FALSE))</f>
        <v>EXCLUDE</v>
      </c>
      <c r="K144" s="277"/>
      <c r="L144" s="277"/>
      <c r="M144" s="277"/>
      <c r="O144" s="131" t="str">
        <f t="shared" si="6"/>
        <v/>
      </c>
      <c r="P144" s="132" t="str">
        <f t="shared" si="7"/>
        <v/>
      </c>
      <c r="Q144" s="132" t="str">
        <f t="shared" si="8"/>
        <v/>
      </c>
      <c r="R144" s="132" t="str">
        <f t="shared" si="9"/>
        <v/>
      </c>
      <c r="S144" s="132" t="str">
        <f t="shared" si="10"/>
        <v/>
      </c>
      <c r="T144" s="132" t="str">
        <f t="shared" si="11"/>
        <v/>
      </c>
    </row>
    <row r="145" spans="2:20" ht="18" customHeight="1" x14ac:dyDescent="0.25">
      <c r="B145" s="281"/>
      <c r="C145" s="281"/>
      <c r="D145" s="9"/>
      <c r="E145" s="129"/>
      <c r="F145" s="9"/>
      <c r="G145" s="9"/>
      <c r="H145" s="9"/>
      <c r="I145" s="9"/>
      <c r="J145" s="130" t="str">
        <f>IF(ISERROR(VLOOKUP(#REF!,#REF!,2,FALSE)),"EXCLUDE",VLOOKUP(#REF!,#REF!,2,FALSE))</f>
        <v>EXCLUDE</v>
      </c>
      <c r="K145" s="277"/>
      <c r="L145" s="277"/>
      <c r="M145" s="277"/>
      <c r="O145" s="131" t="str">
        <f t="shared" si="6"/>
        <v/>
      </c>
      <c r="P145" s="132" t="str">
        <f t="shared" si="7"/>
        <v/>
      </c>
      <c r="Q145" s="132" t="str">
        <f t="shared" si="8"/>
        <v/>
      </c>
      <c r="R145" s="132" t="str">
        <f t="shared" si="9"/>
        <v/>
      </c>
      <c r="S145" s="132" t="str">
        <f t="shared" si="10"/>
        <v/>
      </c>
      <c r="T145" s="132" t="str">
        <f t="shared" si="11"/>
        <v/>
      </c>
    </row>
    <row r="146" spans="2:20" ht="18" customHeight="1" x14ac:dyDescent="0.25">
      <c r="B146" s="281"/>
      <c r="C146" s="281"/>
      <c r="D146" s="9"/>
      <c r="E146" s="129"/>
      <c r="F146" s="9"/>
      <c r="G146" s="9"/>
      <c r="H146" s="9"/>
      <c r="I146" s="9"/>
      <c r="J146" s="130" t="str">
        <f>IF(ISERROR(VLOOKUP(#REF!,#REF!,2,FALSE)),"EXCLUDE",VLOOKUP(#REF!,#REF!,2,FALSE))</f>
        <v>EXCLUDE</v>
      </c>
      <c r="K146" s="277"/>
      <c r="L146" s="277"/>
      <c r="M146" s="277"/>
      <c r="O146" s="131" t="str">
        <f t="shared" si="6"/>
        <v/>
      </c>
      <c r="P146" s="132" t="str">
        <f t="shared" si="7"/>
        <v/>
      </c>
      <c r="Q146" s="132" t="str">
        <f t="shared" si="8"/>
        <v/>
      </c>
      <c r="R146" s="132" t="str">
        <f t="shared" si="9"/>
        <v/>
      </c>
      <c r="S146" s="132" t="str">
        <f t="shared" si="10"/>
        <v/>
      </c>
      <c r="T146" s="132" t="str">
        <f t="shared" si="11"/>
        <v/>
      </c>
    </row>
    <row r="147" spans="2:20" ht="18" customHeight="1" x14ac:dyDescent="0.25">
      <c r="B147" s="281"/>
      <c r="C147" s="281"/>
      <c r="D147" s="9"/>
      <c r="E147" s="129"/>
      <c r="F147" s="129"/>
      <c r="G147" s="9"/>
      <c r="H147" s="129"/>
      <c r="I147" s="9"/>
      <c r="J147" s="130" t="str">
        <f>IF(ISERROR(VLOOKUP(#REF!,#REF!,2,FALSE)),"EXCLUDE",VLOOKUP(#REF!,#REF!,2,FALSE))</f>
        <v>EXCLUDE</v>
      </c>
      <c r="K147" s="277"/>
      <c r="L147" s="277"/>
      <c r="M147" s="277"/>
      <c r="O147" s="131" t="str">
        <f t="shared" si="6"/>
        <v/>
      </c>
      <c r="P147" s="132" t="str">
        <f t="shared" si="7"/>
        <v/>
      </c>
      <c r="Q147" s="132" t="str">
        <f t="shared" si="8"/>
        <v/>
      </c>
      <c r="R147" s="132" t="str">
        <f t="shared" si="9"/>
        <v/>
      </c>
      <c r="S147" s="132" t="str">
        <f t="shared" si="10"/>
        <v/>
      </c>
      <c r="T147" s="132" t="str">
        <f t="shared" si="11"/>
        <v/>
      </c>
    </row>
    <row r="148" spans="2:20" ht="18" customHeight="1" x14ac:dyDescent="0.25">
      <c r="B148" s="281"/>
      <c r="C148" s="281"/>
      <c r="D148" s="9"/>
      <c r="E148" s="129"/>
      <c r="F148" s="9"/>
      <c r="G148" s="9"/>
      <c r="H148" s="9"/>
      <c r="I148" s="9"/>
      <c r="J148" s="130" t="str">
        <f>IF(ISERROR(VLOOKUP(#REF!,#REF!,2,FALSE)),"EXCLUDE",VLOOKUP(#REF!,#REF!,2,FALSE))</f>
        <v>EXCLUDE</v>
      </c>
      <c r="K148" s="277"/>
      <c r="L148" s="277"/>
      <c r="M148" s="277"/>
      <c r="O148" s="131" t="str">
        <f t="shared" si="6"/>
        <v/>
      </c>
      <c r="P148" s="132" t="str">
        <f t="shared" si="7"/>
        <v/>
      </c>
      <c r="Q148" s="132" t="str">
        <f t="shared" si="8"/>
        <v/>
      </c>
      <c r="R148" s="132" t="str">
        <f t="shared" si="9"/>
        <v/>
      </c>
      <c r="S148" s="132" t="str">
        <f t="shared" si="10"/>
        <v/>
      </c>
      <c r="T148" s="132" t="str">
        <f t="shared" si="11"/>
        <v/>
      </c>
    </row>
    <row r="149" spans="2:20" ht="18" customHeight="1" x14ac:dyDescent="0.25">
      <c r="B149" s="281"/>
      <c r="C149" s="281"/>
      <c r="D149" s="9"/>
      <c r="E149" s="129"/>
      <c r="F149" s="9"/>
      <c r="G149" s="9"/>
      <c r="H149" s="9"/>
      <c r="I149" s="9"/>
      <c r="J149" s="130" t="str">
        <f>IF(ISERROR(VLOOKUP(#REF!,#REF!,2,FALSE)),"EXCLUDE",VLOOKUP(#REF!,#REF!,2,FALSE))</f>
        <v>EXCLUDE</v>
      </c>
      <c r="K149" s="277"/>
      <c r="L149" s="277"/>
      <c r="M149" s="277"/>
      <c r="O149" s="131" t="str">
        <f t="shared" si="6"/>
        <v/>
      </c>
      <c r="P149" s="132" t="str">
        <f t="shared" si="7"/>
        <v/>
      </c>
      <c r="Q149" s="132" t="str">
        <f t="shared" si="8"/>
        <v/>
      </c>
      <c r="R149" s="132" t="str">
        <f t="shared" si="9"/>
        <v/>
      </c>
      <c r="S149" s="132" t="str">
        <f t="shared" si="10"/>
        <v/>
      </c>
      <c r="T149" s="132" t="str">
        <f t="shared" si="11"/>
        <v/>
      </c>
    </row>
    <row r="150" spans="2:20" ht="18" customHeight="1" x14ac:dyDescent="0.25">
      <c r="B150" s="281"/>
      <c r="C150" s="281"/>
      <c r="D150" s="9"/>
      <c r="E150" s="129"/>
      <c r="F150" s="129"/>
      <c r="G150" s="9"/>
      <c r="H150" s="129"/>
      <c r="I150" s="9"/>
      <c r="J150" s="130" t="str">
        <f>IF(ISERROR(VLOOKUP(#REF!,#REF!,2,FALSE)),"EXCLUDE",VLOOKUP(#REF!,#REF!,2,FALSE))</f>
        <v>EXCLUDE</v>
      </c>
      <c r="K150" s="277"/>
      <c r="L150" s="277"/>
      <c r="M150" s="277"/>
      <c r="O150" s="131" t="str">
        <f t="shared" si="6"/>
        <v/>
      </c>
      <c r="P150" s="132" t="str">
        <f t="shared" si="7"/>
        <v/>
      </c>
      <c r="Q150" s="132" t="str">
        <f t="shared" si="8"/>
        <v/>
      </c>
      <c r="R150" s="132" t="str">
        <f t="shared" si="9"/>
        <v/>
      </c>
      <c r="S150" s="132" t="str">
        <f t="shared" si="10"/>
        <v/>
      </c>
      <c r="T150" s="132" t="str">
        <f t="shared" si="11"/>
        <v/>
      </c>
    </row>
    <row r="151" spans="2:20" ht="18" customHeight="1" x14ac:dyDescent="0.25">
      <c r="B151" s="281"/>
      <c r="C151" s="281"/>
      <c r="D151" s="9"/>
      <c r="E151" s="129"/>
      <c r="F151" s="129"/>
      <c r="G151" s="9"/>
      <c r="H151" s="129"/>
      <c r="I151" s="9"/>
      <c r="J151" s="130" t="str">
        <f>IF(ISERROR(VLOOKUP(#REF!,#REF!,2,FALSE)),"EXCLUDE",VLOOKUP(#REF!,#REF!,2,FALSE))</f>
        <v>EXCLUDE</v>
      </c>
      <c r="K151" s="277"/>
      <c r="L151" s="277"/>
      <c r="M151" s="277"/>
      <c r="O151" s="131" t="str">
        <f t="shared" si="6"/>
        <v/>
      </c>
      <c r="P151" s="132" t="str">
        <f t="shared" si="7"/>
        <v/>
      </c>
      <c r="Q151" s="132" t="str">
        <f t="shared" si="8"/>
        <v/>
      </c>
      <c r="R151" s="132" t="str">
        <f t="shared" si="9"/>
        <v/>
      </c>
      <c r="S151" s="132" t="str">
        <f t="shared" si="10"/>
        <v/>
      </c>
      <c r="T151" s="132" t="str">
        <f t="shared" si="11"/>
        <v/>
      </c>
    </row>
    <row r="152" spans="2:20" ht="18" customHeight="1" x14ac:dyDescent="0.25">
      <c r="B152" s="281"/>
      <c r="C152" s="281"/>
      <c r="D152" s="9"/>
      <c r="E152" s="129"/>
      <c r="F152" s="129"/>
      <c r="G152" s="9"/>
      <c r="H152" s="129"/>
      <c r="I152" s="9"/>
      <c r="J152" s="130" t="str">
        <f>IF(ISERROR(VLOOKUP(#REF!,#REF!,2,FALSE)),"EXCLUDE",VLOOKUP(#REF!,#REF!,2,FALSE))</f>
        <v>EXCLUDE</v>
      </c>
      <c r="K152" s="277"/>
      <c r="L152" s="277"/>
      <c r="M152" s="277"/>
      <c r="O152" s="131" t="str">
        <f t="shared" si="6"/>
        <v/>
      </c>
      <c r="P152" s="132" t="str">
        <f t="shared" si="7"/>
        <v/>
      </c>
      <c r="Q152" s="132" t="str">
        <f t="shared" si="8"/>
        <v/>
      </c>
      <c r="R152" s="132" t="str">
        <f t="shared" si="9"/>
        <v/>
      </c>
      <c r="S152" s="132" t="str">
        <f t="shared" si="10"/>
        <v/>
      </c>
      <c r="T152" s="132" t="str">
        <f t="shared" si="11"/>
        <v/>
      </c>
    </row>
    <row r="153" spans="2:20" ht="18" customHeight="1" x14ac:dyDescent="0.25">
      <c r="B153" s="281"/>
      <c r="C153" s="281"/>
      <c r="D153" s="9"/>
      <c r="E153" s="129"/>
      <c r="F153" s="129"/>
      <c r="G153" s="9"/>
      <c r="H153" s="129"/>
      <c r="I153" s="9"/>
      <c r="J153" s="130" t="str">
        <f>IF(ISERROR(VLOOKUP(#REF!,#REF!,2,FALSE)),"EXCLUDE",VLOOKUP(#REF!,#REF!,2,FALSE))</f>
        <v>EXCLUDE</v>
      </c>
      <c r="K153" s="277"/>
      <c r="L153" s="277"/>
      <c r="M153" s="277"/>
      <c r="O153" s="131" t="str">
        <f t="shared" si="6"/>
        <v/>
      </c>
      <c r="P153" s="132" t="str">
        <f t="shared" si="7"/>
        <v/>
      </c>
      <c r="Q153" s="132" t="str">
        <f t="shared" si="8"/>
        <v/>
      </c>
      <c r="R153" s="132" t="str">
        <f t="shared" si="9"/>
        <v/>
      </c>
      <c r="S153" s="132" t="str">
        <f t="shared" si="10"/>
        <v/>
      </c>
      <c r="T153" s="132" t="str">
        <f t="shared" si="11"/>
        <v/>
      </c>
    </row>
    <row r="154" spans="2:20" ht="18" customHeight="1" x14ac:dyDescent="0.25">
      <c r="B154" s="281"/>
      <c r="C154" s="281"/>
      <c r="D154" s="9"/>
      <c r="E154" s="129"/>
      <c r="F154" s="9"/>
      <c r="G154" s="9"/>
      <c r="H154" s="9"/>
      <c r="I154" s="9"/>
      <c r="J154" s="130" t="str">
        <f>IF(ISERROR(VLOOKUP(#REF!,#REF!,2,FALSE)),"EXCLUDE",VLOOKUP(#REF!,#REF!,2,FALSE))</f>
        <v>EXCLUDE</v>
      </c>
      <c r="K154" s="277"/>
      <c r="L154" s="277"/>
      <c r="M154" s="277"/>
      <c r="O154" s="131" t="str">
        <f t="shared" si="6"/>
        <v/>
      </c>
      <c r="P154" s="132" t="str">
        <f t="shared" si="7"/>
        <v/>
      </c>
      <c r="Q154" s="132" t="str">
        <f t="shared" si="8"/>
        <v/>
      </c>
      <c r="R154" s="132" t="str">
        <f t="shared" si="9"/>
        <v/>
      </c>
      <c r="S154" s="132" t="str">
        <f t="shared" si="10"/>
        <v/>
      </c>
      <c r="T154" s="132" t="str">
        <f t="shared" si="11"/>
        <v/>
      </c>
    </row>
    <row r="155" spans="2:20" ht="18" customHeight="1" x14ac:dyDescent="0.25">
      <c r="B155" s="281"/>
      <c r="C155" s="281"/>
      <c r="D155" s="9"/>
      <c r="E155" s="129"/>
      <c r="F155" s="129"/>
      <c r="G155" s="9"/>
      <c r="H155" s="129"/>
      <c r="I155" s="9"/>
      <c r="J155" s="130" t="str">
        <f>IF(ISERROR(VLOOKUP(#REF!,#REF!,2,FALSE)),"EXCLUDE",VLOOKUP(#REF!,#REF!,2,FALSE))</f>
        <v>EXCLUDE</v>
      </c>
      <c r="K155" s="277"/>
      <c r="L155" s="277"/>
      <c r="M155" s="277"/>
      <c r="O155" s="131" t="str">
        <f t="shared" si="6"/>
        <v/>
      </c>
      <c r="P155" s="132" t="str">
        <f t="shared" si="7"/>
        <v/>
      </c>
      <c r="Q155" s="132" t="str">
        <f t="shared" si="8"/>
        <v/>
      </c>
      <c r="R155" s="132" t="str">
        <f t="shared" si="9"/>
        <v/>
      </c>
      <c r="S155" s="132" t="str">
        <f t="shared" si="10"/>
        <v/>
      </c>
      <c r="T155" s="132" t="str">
        <f t="shared" si="11"/>
        <v/>
      </c>
    </row>
    <row r="156" spans="2:20" ht="18" customHeight="1" x14ac:dyDescent="0.25">
      <c r="B156" s="281"/>
      <c r="C156" s="281"/>
      <c r="D156" s="9"/>
      <c r="E156" s="129"/>
      <c r="F156" s="9"/>
      <c r="G156" s="9"/>
      <c r="H156" s="9"/>
      <c r="I156" s="9"/>
      <c r="J156" s="130" t="str">
        <f>IF(ISERROR(VLOOKUP(#REF!,#REF!,2,FALSE)),"EXCLUDE",VLOOKUP(#REF!,#REF!,2,FALSE))</f>
        <v>EXCLUDE</v>
      </c>
      <c r="K156" s="277"/>
      <c r="L156" s="277"/>
      <c r="M156" s="277"/>
      <c r="O156" s="131" t="str">
        <f t="shared" si="6"/>
        <v/>
      </c>
      <c r="P156" s="132" t="str">
        <f t="shared" si="7"/>
        <v/>
      </c>
      <c r="Q156" s="132" t="str">
        <f t="shared" si="8"/>
        <v/>
      </c>
      <c r="R156" s="132" t="str">
        <f t="shared" si="9"/>
        <v/>
      </c>
      <c r="S156" s="132" t="str">
        <f t="shared" si="10"/>
        <v/>
      </c>
      <c r="T156" s="132" t="str">
        <f t="shared" si="11"/>
        <v/>
      </c>
    </row>
    <row r="157" spans="2:20" ht="18" customHeight="1" x14ac:dyDescent="0.25">
      <c r="B157" s="281"/>
      <c r="C157" s="281"/>
      <c r="D157" s="9"/>
      <c r="E157" s="129"/>
      <c r="F157" s="9"/>
      <c r="G157" s="9"/>
      <c r="H157" s="9"/>
      <c r="I157" s="9"/>
      <c r="J157" s="130" t="str">
        <f>IF(ISERROR(VLOOKUP(#REF!,#REF!,2,FALSE)),"EXCLUDE",VLOOKUP(#REF!,#REF!,2,FALSE))</f>
        <v>EXCLUDE</v>
      </c>
      <c r="K157" s="277"/>
      <c r="L157" s="277"/>
      <c r="M157" s="277"/>
      <c r="O157" s="131" t="str">
        <f t="shared" si="6"/>
        <v/>
      </c>
      <c r="P157" s="132" t="str">
        <f t="shared" si="7"/>
        <v/>
      </c>
      <c r="Q157" s="132" t="str">
        <f t="shared" si="8"/>
        <v/>
      </c>
      <c r="R157" s="132" t="str">
        <f t="shared" si="9"/>
        <v/>
      </c>
      <c r="S157" s="132" t="str">
        <f t="shared" si="10"/>
        <v/>
      </c>
      <c r="T157" s="132" t="str">
        <f t="shared" si="11"/>
        <v/>
      </c>
    </row>
    <row r="158" spans="2:20" ht="18" customHeight="1" x14ac:dyDescent="0.25">
      <c r="B158" s="281"/>
      <c r="C158" s="281"/>
      <c r="D158" s="9"/>
      <c r="E158" s="129"/>
      <c r="F158" s="129"/>
      <c r="G158" s="9"/>
      <c r="H158" s="129"/>
      <c r="I158" s="9"/>
      <c r="J158" s="130" t="str">
        <f>IF(ISERROR(VLOOKUP(#REF!,#REF!,2,FALSE)),"EXCLUDE",VLOOKUP(#REF!,#REF!,2,FALSE))</f>
        <v>EXCLUDE</v>
      </c>
      <c r="K158" s="277"/>
      <c r="L158" s="277"/>
      <c r="M158" s="277"/>
      <c r="O158" s="131" t="str">
        <f t="shared" si="6"/>
        <v/>
      </c>
      <c r="P158" s="132" t="str">
        <f t="shared" si="7"/>
        <v/>
      </c>
      <c r="Q158" s="132" t="str">
        <f t="shared" si="8"/>
        <v/>
      </c>
      <c r="R158" s="132" t="str">
        <f t="shared" si="9"/>
        <v/>
      </c>
      <c r="S158" s="132" t="str">
        <f t="shared" si="10"/>
        <v/>
      </c>
      <c r="T158" s="132" t="str">
        <f t="shared" si="11"/>
        <v/>
      </c>
    </row>
    <row r="159" spans="2:20" ht="18" customHeight="1" x14ac:dyDescent="0.25">
      <c r="B159" s="281"/>
      <c r="C159" s="281"/>
      <c r="D159" s="9"/>
      <c r="E159" s="129"/>
      <c r="F159" s="9"/>
      <c r="G159" s="9"/>
      <c r="H159" s="9"/>
      <c r="I159" s="9"/>
      <c r="J159" s="130" t="str">
        <f>IF(ISERROR(VLOOKUP(#REF!,#REF!,2,FALSE)),"EXCLUDE",VLOOKUP(#REF!,#REF!,2,FALSE))</f>
        <v>EXCLUDE</v>
      </c>
      <c r="K159" s="277"/>
      <c r="L159" s="277"/>
      <c r="M159" s="277"/>
      <c r="O159" s="131" t="str">
        <f t="shared" si="6"/>
        <v/>
      </c>
      <c r="P159" s="132" t="str">
        <f t="shared" si="7"/>
        <v/>
      </c>
      <c r="Q159" s="132" t="str">
        <f t="shared" si="8"/>
        <v/>
      </c>
      <c r="R159" s="132" t="str">
        <f t="shared" si="9"/>
        <v/>
      </c>
      <c r="S159" s="132" t="str">
        <f t="shared" si="10"/>
        <v/>
      </c>
      <c r="T159" s="132" t="str">
        <f t="shared" si="11"/>
        <v/>
      </c>
    </row>
    <row r="160" spans="2:20" ht="18" customHeight="1" x14ac:dyDescent="0.25">
      <c r="B160" s="281"/>
      <c r="C160" s="281"/>
      <c r="D160" s="9"/>
      <c r="E160" s="129"/>
      <c r="F160" s="9"/>
      <c r="G160" s="9"/>
      <c r="H160" s="9"/>
      <c r="I160" s="9"/>
      <c r="J160" s="130" t="str">
        <f>IF(ISERROR(VLOOKUP(#REF!,#REF!,2,FALSE)),"EXCLUDE",VLOOKUP(#REF!,#REF!,2,FALSE))</f>
        <v>EXCLUDE</v>
      </c>
      <c r="K160" s="277"/>
      <c r="L160" s="277"/>
      <c r="M160" s="277"/>
      <c r="O160" s="136" t="str">
        <f t="shared" si="6"/>
        <v/>
      </c>
      <c r="P160" s="137" t="str">
        <f t="shared" si="7"/>
        <v/>
      </c>
      <c r="Q160" s="137" t="str">
        <f t="shared" si="8"/>
        <v/>
      </c>
      <c r="R160" s="137" t="str">
        <f t="shared" si="9"/>
        <v/>
      </c>
      <c r="S160" s="137" t="str">
        <f t="shared" si="10"/>
        <v/>
      </c>
      <c r="T160" s="137" t="str">
        <f t="shared" si="11"/>
        <v/>
      </c>
    </row>
    <row r="161" spans="2:35" ht="18" customHeight="1" x14ac:dyDescent="0.25">
      <c r="AA161" s="104"/>
      <c r="AI161" s="138"/>
    </row>
    <row r="162" spans="2:35" ht="18" customHeight="1" x14ac:dyDescent="0.25">
      <c r="N162" s="139"/>
      <c r="O162" s="139"/>
      <c r="P162" s="139"/>
      <c r="Q162" s="139"/>
      <c r="R162" s="139"/>
      <c r="S162" s="139"/>
      <c r="T162" s="139"/>
      <c r="U162" s="139"/>
      <c r="AA162" s="104"/>
      <c r="AI162" s="138"/>
    </row>
    <row r="163" spans="2:35" ht="18" customHeight="1" x14ac:dyDescent="0.25">
      <c r="C163" s="75"/>
      <c r="D163" s="140" t="s">
        <v>22</v>
      </c>
      <c r="E163" s="140" t="s">
        <v>21</v>
      </c>
      <c r="G163" s="104"/>
      <c r="I163" s="141" t="s">
        <v>301</v>
      </c>
      <c r="J163" s="142" t="str">
        <f>IF(D164=0,"",CORREL(Q61:Q160,T61:T160))</f>
        <v/>
      </c>
      <c r="N163" s="139"/>
      <c r="O163" s="139"/>
      <c r="P163" s="139"/>
      <c r="Q163" s="139"/>
      <c r="R163" s="139"/>
      <c r="S163" s="139"/>
      <c r="T163" s="139"/>
      <c r="U163" s="139"/>
      <c r="AA163" s="104"/>
      <c r="AI163" s="138"/>
    </row>
    <row r="164" spans="2:35" ht="18" customHeight="1" x14ac:dyDescent="0.25">
      <c r="C164" s="8" t="s">
        <v>139</v>
      </c>
      <c r="D164" s="132">
        <f>COUNT(Q61:Q160)</f>
        <v>0</v>
      </c>
      <c r="E164" s="132">
        <f>COUNT(T61:T160)</f>
        <v>0</v>
      </c>
      <c r="G164" s="104"/>
      <c r="I164" s="141" t="s">
        <v>302</v>
      </c>
      <c r="J164" s="142" t="str">
        <f>IF(D164=0,"",J163^2)</f>
        <v/>
      </c>
      <c r="N164" s="139"/>
      <c r="O164" s="139"/>
      <c r="P164" s="139"/>
      <c r="Q164" s="139"/>
      <c r="R164" s="139"/>
      <c r="S164" s="139"/>
      <c r="T164" s="139"/>
      <c r="U164" s="139"/>
      <c r="AA164" s="104"/>
      <c r="AI164" s="138"/>
    </row>
    <row r="165" spans="2:35" ht="18" customHeight="1" x14ac:dyDescent="0.25">
      <c r="C165" s="10" t="s">
        <v>95</v>
      </c>
      <c r="D165" s="142" t="str">
        <f>IF(ISERROR(AVERAGE(Q61:Q160)),"",AVERAGE(Q61:Q160))</f>
        <v/>
      </c>
      <c r="E165" s="142" t="str">
        <f>IF(ISERROR(AVERAGE(T61:T160)),"",AVERAGE(T61:T160))</f>
        <v/>
      </c>
      <c r="N165" s="139"/>
      <c r="O165" s="139"/>
      <c r="P165" s="139"/>
      <c r="Q165" s="139"/>
      <c r="R165" s="139"/>
      <c r="S165" s="139"/>
      <c r="T165" s="139"/>
      <c r="U165" s="139"/>
      <c r="AA165" s="104"/>
      <c r="AI165" s="138"/>
    </row>
    <row r="166" spans="2:35" ht="18" customHeight="1" x14ac:dyDescent="0.25">
      <c r="N166" s="139"/>
      <c r="O166" s="139"/>
      <c r="P166" s="139"/>
      <c r="Q166" s="139"/>
      <c r="R166" s="139"/>
      <c r="S166" s="139"/>
      <c r="T166" s="139"/>
      <c r="U166" s="139"/>
      <c r="AA166" s="104"/>
      <c r="AI166" s="138"/>
    </row>
    <row r="167" spans="2:35" ht="18" customHeight="1" x14ac:dyDescent="0.25">
      <c r="B167" s="143"/>
      <c r="C167" s="75" t="s">
        <v>303</v>
      </c>
      <c r="D167" s="75"/>
      <c r="E167" s="75"/>
      <c r="F167" s="75" t="s">
        <v>304</v>
      </c>
      <c r="G167" s="75"/>
      <c r="H167" s="144"/>
      <c r="J167" s="76"/>
      <c r="N167" s="139"/>
      <c r="O167" s="139"/>
      <c r="P167" s="139"/>
      <c r="Q167" s="139"/>
      <c r="R167" s="139"/>
      <c r="S167" s="139"/>
      <c r="T167" s="139"/>
      <c r="U167" s="139"/>
      <c r="AA167" s="104"/>
      <c r="AI167" s="138"/>
    </row>
    <row r="168" spans="2:35" ht="18" customHeight="1" x14ac:dyDescent="0.25">
      <c r="C168" s="145"/>
      <c r="D168" s="146" t="s">
        <v>305</v>
      </c>
      <c r="E168" s="13" t="s">
        <v>246</v>
      </c>
      <c r="F168" s="13" t="s">
        <v>247</v>
      </c>
      <c r="G168" s="13"/>
      <c r="N168" s="139"/>
      <c r="O168" s="139"/>
      <c r="P168" s="139"/>
      <c r="Q168" s="139"/>
      <c r="R168" s="139"/>
      <c r="S168" s="139"/>
      <c r="T168" s="139"/>
      <c r="U168" s="139"/>
      <c r="AA168" s="104"/>
      <c r="AI168" s="138"/>
    </row>
    <row r="169" spans="2:35" ht="18" customHeight="1" x14ac:dyDescent="0.25">
      <c r="C169" s="10" t="s">
        <v>13</v>
      </c>
      <c r="D169" s="147">
        <v>0.9987917109091734</v>
      </c>
      <c r="E169" s="147">
        <v>0.96202547919097758</v>
      </c>
      <c r="F169" s="147">
        <v>1.0287556408844438</v>
      </c>
      <c r="G169" s="147"/>
      <c r="N169" s="139"/>
      <c r="O169" s="139"/>
      <c r="P169" s="139"/>
      <c r="Q169" s="139"/>
      <c r="R169" s="139"/>
      <c r="S169" s="139"/>
      <c r="T169" s="139"/>
      <c r="U169" s="139"/>
      <c r="AA169" s="104"/>
      <c r="AI169" s="138"/>
    </row>
    <row r="170" spans="2:35" ht="18" customHeight="1" x14ac:dyDescent="0.25">
      <c r="B170" s="75"/>
      <c r="C170" s="10" t="s">
        <v>12</v>
      </c>
      <c r="D170" s="147">
        <v>57.228085083484189</v>
      </c>
      <c r="E170" s="147">
        <v>-8.8972560469334834</v>
      </c>
      <c r="F170" s="147">
        <v>126.29273504273492</v>
      </c>
      <c r="G170" s="147"/>
      <c r="N170" s="139"/>
      <c r="O170" s="139"/>
      <c r="P170" s="139"/>
      <c r="Q170" s="139"/>
      <c r="R170" s="139"/>
      <c r="S170" s="139"/>
      <c r="T170" s="139"/>
      <c r="U170" s="139"/>
      <c r="AA170" s="104"/>
      <c r="AI170" s="138"/>
    </row>
    <row r="171" spans="2:35" ht="18" customHeight="1" x14ac:dyDescent="0.25">
      <c r="B171" s="75"/>
      <c r="C171" s="10"/>
      <c r="D171" s="148"/>
      <c r="E171" s="148"/>
      <c r="F171" s="148"/>
      <c r="G171" s="148"/>
      <c r="N171" s="139"/>
      <c r="O171" s="139"/>
      <c r="P171" s="139"/>
      <c r="Q171" s="139"/>
      <c r="R171" s="139"/>
      <c r="S171" s="139"/>
      <c r="T171" s="139"/>
      <c r="U171" s="139"/>
      <c r="AA171" s="104"/>
      <c r="AI171" s="138"/>
    </row>
    <row r="172" spans="2:35" ht="18" customHeight="1" x14ac:dyDescent="0.25">
      <c r="B172" s="75"/>
      <c r="C172" s="10"/>
      <c r="D172" s="148"/>
      <c r="E172" s="148"/>
      <c r="F172" s="148"/>
      <c r="G172" s="148"/>
      <c r="N172" s="139"/>
      <c r="O172" s="139"/>
      <c r="P172" s="139"/>
      <c r="Q172" s="139"/>
      <c r="R172" s="139"/>
      <c r="S172" s="139"/>
      <c r="T172" s="139"/>
      <c r="U172" s="139"/>
      <c r="AA172" s="104"/>
      <c r="AI172" s="138"/>
    </row>
    <row r="173" spans="2:35" ht="18" customHeight="1" x14ac:dyDescent="0.25">
      <c r="B173" s="75"/>
      <c r="C173" s="10"/>
      <c r="D173" s="148"/>
      <c r="E173" s="148"/>
      <c r="F173" s="148"/>
      <c r="G173" s="148"/>
      <c r="N173" s="139"/>
      <c r="O173" s="139"/>
      <c r="P173" s="139"/>
      <c r="Q173" s="139"/>
      <c r="R173" s="139"/>
      <c r="S173" s="139"/>
      <c r="T173" s="139"/>
      <c r="U173" s="139"/>
      <c r="AA173" s="104"/>
      <c r="AI173" s="138"/>
    </row>
    <row r="174" spans="2:35" s="151" customFormat="1" ht="18" customHeight="1" x14ac:dyDescent="0.25">
      <c r="B174" s="149" t="s">
        <v>306</v>
      </c>
      <c r="C174" s="150"/>
      <c r="N174" s="152"/>
      <c r="O174" s="152"/>
      <c r="P174" s="152"/>
      <c r="Q174" s="152"/>
      <c r="R174" s="152"/>
      <c r="S174" s="152"/>
      <c r="T174" s="152"/>
      <c r="U174" s="152"/>
      <c r="Z174" s="153"/>
      <c r="AH174" s="154"/>
    </row>
    <row r="175" spans="2:35" ht="18" customHeight="1" x14ac:dyDescent="0.25">
      <c r="C175" s="75" t="s">
        <v>307</v>
      </c>
      <c r="N175" s="139"/>
      <c r="O175" s="139"/>
      <c r="P175" s="139"/>
      <c r="Q175" s="139"/>
      <c r="R175" s="139"/>
      <c r="S175" s="139"/>
      <c r="T175" s="139"/>
      <c r="U175" s="139"/>
      <c r="Z175" s="104"/>
      <c r="AH175" s="138"/>
    </row>
    <row r="176" spans="2:35" ht="18" customHeight="1" x14ac:dyDescent="0.25">
      <c r="C176" s="132"/>
      <c r="D176" s="140" t="s">
        <v>241</v>
      </c>
      <c r="E176" s="140" t="s">
        <v>240</v>
      </c>
      <c r="F176" s="140" t="s">
        <v>239</v>
      </c>
      <c r="G176" s="140" t="s">
        <v>238</v>
      </c>
      <c r="H176" s="140" t="s">
        <v>167</v>
      </c>
      <c r="I176" s="140"/>
      <c r="Z176" s="104"/>
      <c r="AH176" s="138"/>
    </row>
    <row r="177" spans="3:34" ht="18" customHeight="1" x14ac:dyDescent="0.25">
      <c r="C177" s="132" t="s">
        <v>241</v>
      </c>
      <c r="D177" s="140">
        <v>8</v>
      </c>
      <c r="E177" s="140">
        <v>2</v>
      </c>
      <c r="F177" s="140">
        <v>0</v>
      </c>
      <c r="G177" s="140">
        <v>0</v>
      </c>
      <c r="H177" s="140">
        <v>10</v>
      </c>
      <c r="I177" s="140"/>
      <c r="N177" s="139"/>
      <c r="O177" s="139"/>
      <c r="P177" s="139"/>
      <c r="Q177" s="139"/>
      <c r="R177" s="139"/>
      <c r="S177" s="139"/>
      <c r="T177" s="139"/>
      <c r="U177" s="139"/>
      <c r="Z177" s="104"/>
      <c r="AH177" s="138"/>
    </row>
    <row r="178" spans="3:34" ht="18" customHeight="1" x14ac:dyDescent="0.25">
      <c r="C178" s="132" t="s">
        <v>240</v>
      </c>
      <c r="D178" s="140">
        <v>1</v>
      </c>
      <c r="E178" s="140">
        <v>8</v>
      </c>
      <c r="F178" s="140">
        <v>1</v>
      </c>
      <c r="G178" s="140">
        <v>0</v>
      </c>
      <c r="H178" s="140">
        <v>10</v>
      </c>
      <c r="I178" s="140"/>
      <c r="N178" s="139"/>
      <c r="O178" s="139"/>
      <c r="P178" s="139"/>
      <c r="Q178" s="139"/>
      <c r="R178" s="139"/>
      <c r="S178" s="139"/>
      <c r="T178" s="139"/>
      <c r="U178" s="139"/>
      <c r="Z178" s="104"/>
      <c r="AH178" s="138"/>
    </row>
    <row r="179" spans="3:34" ht="18" customHeight="1" x14ac:dyDescent="0.25">
      <c r="C179" s="132" t="s">
        <v>239</v>
      </c>
      <c r="D179" s="140">
        <v>0</v>
      </c>
      <c r="E179" s="140">
        <v>1</v>
      </c>
      <c r="F179" s="140">
        <v>7</v>
      </c>
      <c r="G179" s="140">
        <v>2</v>
      </c>
      <c r="H179" s="140">
        <v>10</v>
      </c>
      <c r="I179" s="140"/>
      <c r="N179" s="139"/>
      <c r="O179" s="139"/>
      <c r="P179" s="139"/>
      <c r="Q179" s="139"/>
      <c r="R179" s="139"/>
      <c r="S179" s="139"/>
      <c r="T179" s="139"/>
      <c r="U179" s="139"/>
      <c r="Z179" s="104"/>
      <c r="AH179" s="138"/>
    </row>
    <row r="180" spans="3:34" ht="18" customHeight="1" x14ac:dyDescent="0.25">
      <c r="C180" s="132" t="s">
        <v>238</v>
      </c>
      <c r="D180" s="140">
        <v>0</v>
      </c>
      <c r="E180" s="140">
        <v>0</v>
      </c>
      <c r="F180" s="140">
        <v>0</v>
      </c>
      <c r="G180" s="140">
        <v>10</v>
      </c>
      <c r="H180" s="140">
        <v>10</v>
      </c>
      <c r="I180" s="140"/>
      <c r="N180" s="139"/>
      <c r="O180" s="139"/>
      <c r="P180" s="139"/>
      <c r="Q180" s="139"/>
      <c r="R180" s="139"/>
      <c r="S180" s="139"/>
      <c r="T180" s="139"/>
      <c r="U180" s="139"/>
      <c r="Z180" s="104"/>
      <c r="AH180" s="138"/>
    </row>
    <row r="181" spans="3:34" ht="18" customHeight="1" x14ac:dyDescent="0.25">
      <c r="C181" s="132" t="s">
        <v>167</v>
      </c>
      <c r="D181" s="140">
        <v>9</v>
      </c>
      <c r="E181" s="140">
        <v>11</v>
      </c>
      <c r="F181" s="140">
        <v>8</v>
      </c>
      <c r="G181" s="140">
        <v>12</v>
      </c>
      <c r="H181" s="140">
        <v>40</v>
      </c>
      <c r="I181" s="140"/>
      <c r="N181" s="139"/>
      <c r="O181" s="139"/>
      <c r="P181" s="139"/>
      <c r="Q181" s="139"/>
      <c r="R181" s="139"/>
      <c r="S181" s="139"/>
      <c r="T181" s="139"/>
      <c r="U181" s="139"/>
      <c r="Z181" s="104"/>
      <c r="AH181" s="138"/>
    </row>
    <row r="182" spans="3:34" ht="18" customHeight="1" x14ac:dyDescent="0.25">
      <c r="C182" s="132"/>
      <c r="D182" s="140"/>
      <c r="E182" s="140"/>
      <c r="F182" s="140"/>
      <c r="G182" s="140"/>
      <c r="H182" s="140"/>
      <c r="I182" s="140"/>
      <c r="N182" s="139"/>
      <c r="O182" s="139"/>
      <c r="P182" s="139"/>
      <c r="Q182" s="139"/>
      <c r="R182" s="139"/>
      <c r="S182" s="139"/>
      <c r="T182" s="139"/>
      <c r="U182" s="139"/>
      <c r="Z182" s="104"/>
      <c r="AH182" s="138"/>
    </row>
    <row r="183" spans="3:34" ht="18" customHeight="1" x14ac:dyDescent="0.25">
      <c r="N183" s="139"/>
      <c r="O183" s="139"/>
      <c r="P183" s="139"/>
      <c r="Q183" s="139"/>
      <c r="R183" s="139"/>
      <c r="S183" s="139"/>
      <c r="T183" s="139"/>
      <c r="U183" s="139"/>
      <c r="Z183" s="104"/>
      <c r="AH183" s="138"/>
    </row>
    <row r="184" spans="3:34" ht="18" customHeight="1" x14ac:dyDescent="0.25">
      <c r="C184" s="10" t="s">
        <v>242</v>
      </c>
      <c r="D184" s="142">
        <v>0.82499999999999996</v>
      </c>
      <c r="N184" s="139"/>
      <c r="O184" s="139"/>
      <c r="P184" s="139"/>
      <c r="Q184" s="139"/>
      <c r="R184" s="139"/>
      <c r="S184" s="139"/>
      <c r="T184" s="139"/>
      <c r="U184" s="139"/>
      <c r="Z184" s="104"/>
      <c r="AH184" s="138"/>
    </row>
    <row r="185" spans="3:34" ht="18" customHeight="1" x14ac:dyDescent="0.25">
      <c r="C185" s="10" t="s">
        <v>243</v>
      </c>
      <c r="D185" s="142">
        <v>0.25</v>
      </c>
      <c r="N185" s="139"/>
      <c r="O185" s="139"/>
      <c r="P185" s="139"/>
      <c r="Q185" s="139"/>
      <c r="R185" s="139"/>
      <c r="S185" s="139"/>
      <c r="T185" s="139"/>
      <c r="U185" s="139"/>
      <c r="Z185" s="104"/>
      <c r="AH185" s="138"/>
    </row>
    <row r="186" spans="3:34" ht="18" customHeight="1" x14ac:dyDescent="0.25">
      <c r="C186" s="10" t="s">
        <v>244</v>
      </c>
      <c r="D186" s="155">
        <v>0.76666666666666661</v>
      </c>
      <c r="E186" s="3" t="str">
        <f>IF(NOT(ISNUMBER(D184)),"",IF(D184&lt;0.5,"Poor agreement",IF(D184&gt;=0.85,"Good agreement","Fair agreement")))</f>
        <v>Fair agreement</v>
      </c>
      <c r="N186" s="139"/>
      <c r="O186" s="139"/>
      <c r="P186" s="139"/>
      <c r="Q186" s="139"/>
      <c r="R186" s="139"/>
      <c r="S186" s="139"/>
      <c r="T186" s="139"/>
      <c r="U186" s="139"/>
      <c r="Z186" s="104"/>
      <c r="AH186" s="138"/>
    </row>
    <row r="187" spans="3:34" ht="18" customHeight="1" x14ac:dyDescent="0.25">
      <c r="C187" s="10" t="s">
        <v>245</v>
      </c>
      <c r="D187" s="142">
        <v>7.9735771206382255E-2</v>
      </c>
      <c r="N187" s="139"/>
      <c r="O187" s="139"/>
      <c r="P187" s="139"/>
      <c r="Q187" s="139"/>
      <c r="R187" s="139"/>
      <c r="S187" s="139"/>
      <c r="T187" s="139"/>
      <c r="U187" s="139"/>
      <c r="Z187" s="104"/>
      <c r="AH187" s="156"/>
    </row>
    <row r="188" spans="3:34" ht="18" customHeight="1" x14ac:dyDescent="0.25">
      <c r="C188" s="10" t="s">
        <v>246</v>
      </c>
      <c r="D188" s="142">
        <v>0.61038742682263147</v>
      </c>
      <c r="N188" s="139"/>
      <c r="O188" s="139"/>
      <c r="P188" s="139"/>
      <c r="Q188" s="139"/>
      <c r="R188" s="139"/>
      <c r="S188" s="139"/>
      <c r="T188" s="139"/>
      <c r="U188" s="139"/>
      <c r="Z188" s="104"/>
      <c r="AH188" s="156"/>
    </row>
    <row r="189" spans="3:34" ht="18" customHeight="1" x14ac:dyDescent="0.25">
      <c r="C189" s="10" t="s">
        <v>247</v>
      </c>
      <c r="D189" s="142">
        <v>0.92294590651070163</v>
      </c>
      <c r="N189" s="152"/>
      <c r="O189" s="152"/>
      <c r="P189" s="152"/>
      <c r="Q189" s="152"/>
      <c r="R189" s="152"/>
      <c r="S189" s="152"/>
      <c r="T189" s="152"/>
      <c r="U189" s="152"/>
      <c r="Z189" s="104"/>
      <c r="AH189" s="156"/>
    </row>
    <row r="190" spans="3:34" ht="18" customHeight="1" x14ac:dyDescent="0.25">
      <c r="N190" s="139"/>
      <c r="O190" s="139"/>
      <c r="P190" s="139"/>
      <c r="Q190" s="139"/>
      <c r="R190" s="139"/>
      <c r="S190" s="139"/>
      <c r="T190" s="139"/>
      <c r="U190" s="139"/>
      <c r="Z190" s="104"/>
    </row>
    <row r="191" spans="3:34" ht="18" customHeight="1" x14ac:dyDescent="0.25">
      <c r="Z191" s="104"/>
    </row>
    <row r="193" spans="1:19" s="106" customFormat="1" ht="18" customHeight="1" x14ac:dyDescent="0.25">
      <c r="B193" s="157" t="s">
        <v>311</v>
      </c>
    </row>
    <row r="195" spans="1:19" ht="18" customHeight="1" x14ac:dyDescent="0.25">
      <c r="B195" s="158" t="s">
        <v>312</v>
      </c>
    </row>
    <row r="197" spans="1:19" ht="18" customHeight="1" x14ac:dyDescent="0.25">
      <c r="B197" s="75" t="s">
        <v>313</v>
      </c>
    </row>
    <row r="198" spans="1:19" ht="18" customHeight="1" x14ac:dyDescent="0.25">
      <c r="B198" s="282"/>
      <c r="C198" s="282"/>
      <c r="D198" s="282"/>
      <c r="E198" s="282"/>
      <c r="F198" s="282"/>
      <c r="G198" s="282"/>
      <c r="H198" s="282"/>
    </row>
    <row r="199" spans="1:19" ht="18" customHeight="1" x14ac:dyDescent="0.25">
      <c r="B199" s="75" t="s">
        <v>314</v>
      </c>
    </row>
    <row r="200" spans="1:19" ht="18" customHeight="1" x14ac:dyDescent="0.25">
      <c r="B200" s="283"/>
      <c r="C200" s="284"/>
      <c r="D200" s="159"/>
      <c r="E200" s="159"/>
      <c r="F200" s="159"/>
      <c r="G200" s="159"/>
      <c r="H200" s="159"/>
    </row>
    <row r="201" spans="1:19" ht="18" customHeight="1" x14ac:dyDescent="0.25">
      <c r="B201" s="75" t="s">
        <v>315</v>
      </c>
    </row>
    <row r="202" spans="1:19" ht="18" customHeight="1" x14ac:dyDescent="0.25">
      <c r="A202" s="98"/>
      <c r="B202" s="285"/>
      <c r="C202" s="286"/>
      <c r="D202" s="286"/>
      <c r="E202" s="287"/>
    </row>
    <row r="203" spans="1:19" ht="18" customHeight="1" x14ac:dyDescent="0.25">
      <c r="A203" s="98"/>
      <c r="B203" s="75" t="s">
        <v>316</v>
      </c>
    </row>
    <row r="204" spans="1:19" ht="18" customHeight="1" x14ac:dyDescent="0.25">
      <c r="A204" s="98"/>
      <c r="B204" s="283"/>
      <c r="C204" s="288"/>
      <c r="D204" s="288"/>
      <c r="E204" s="284"/>
      <c r="F204" s="159"/>
      <c r="G204" s="159"/>
      <c r="H204" s="159"/>
    </row>
    <row r="205" spans="1:19" ht="18" customHeight="1" x14ac:dyDescent="0.25">
      <c r="A205" s="98"/>
      <c r="B205" s="75" t="s">
        <v>317</v>
      </c>
    </row>
    <row r="206" spans="1:19" ht="18" customHeight="1" x14ac:dyDescent="0.25">
      <c r="A206" s="98"/>
      <c r="B206" s="283"/>
      <c r="C206" s="288"/>
      <c r="D206" s="288"/>
      <c r="E206" s="284"/>
      <c r="F206" s="159"/>
      <c r="G206" s="159"/>
      <c r="H206" s="159"/>
    </row>
    <row r="207" spans="1:19" ht="18" customHeight="1" x14ac:dyDescent="0.25">
      <c r="A207" s="10"/>
      <c r="B207" s="160"/>
      <c r="C207" s="161"/>
      <c r="D207" s="161"/>
      <c r="E207" s="161"/>
    </row>
    <row r="208" spans="1:19" ht="18" customHeight="1" x14ac:dyDescent="0.25">
      <c r="A208" s="75"/>
      <c r="B208" s="162" t="s">
        <v>318</v>
      </c>
      <c r="C208" s="163"/>
      <c r="D208" s="163"/>
      <c r="E208" s="163"/>
      <c r="F208" s="163"/>
      <c r="G208" s="163"/>
      <c r="H208" s="163"/>
      <c r="I208" s="164"/>
      <c r="J208" s="164"/>
      <c r="K208" s="164"/>
      <c r="L208" s="164"/>
      <c r="M208" s="164"/>
      <c r="S208" s="75" t="s">
        <v>319</v>
      </c>
    </row>
    <row r="209" spans="1:26" ht="18" customHeight="1" x14ac:dyDescent="0.25">
      <c r="A209" s="75"/>
      <c r="B209" s="165"/>
      <c r="C209" s="165"/>
      <c r="D209" s="165"/>
      <c r="E209" s="165"/>
      <c r="F209" s="165"/>
      <c r="G209" s="165"/>
      <c r="H209" s="165"/>
      <c r="I209" s="82"/>
      <c r="J209" s="82"/>
      <c r="K209" s="82"/>
      <c r="S209" s="166" t="s">
        <v>320</v>
      </c>
      <c r="T209" s="167"/>
      <c r="U209" s="167"/>
      <c r="V209" s="168"/>
      <c r="W209" s="166" t="s">
        <v>321</v>
      </c>
      <c r="X209" s="168"/>
    </row>
    <row r="210" spans="1:26" ht="18" customHeight="1" x14ac:dyDescent="0.25">
      <c r="A210" s="75"/>
      <c r="B210" s="273" t="s">
        <v>2</v>
      </c>
      <c r="C210" s="289" t="s">
        <v>322</v>
      </c>
      <c r="D210" s="289" t="s">
        <v>323</v>
      </c>
      <c r="E210" s="289" t="s">
        <v>324</v>
      </c>
      <c r="F210" s="289" t="s">
        <v>325</v>
      </c>
      <c r="G210" s="273" t="s">
        <v>95</v>
      </c>
      <c r="H210" s="289" t="s">
        <v>326</v>
      </c>
      <c r="I210" s="82"/>
      <c r="J210" s="82"/>
      <c r="K210" s="82"/>
      <c r="S210" s="166"/>
      <c r="T210" s="167"/>
      <c r="U210" s="167"/>
      <c r="V210" s="168"/>
      <c r="W210" s="166"/>
      <c r="X210" s="168"/>
    </row>
    <row r="211" spans="1:26" ht="18" customHeight="1" x14ac:dyDescent="0.25">
      <c r="A211" s="75"/>
      <c r="B211" s="273"/>
      <c r="C211" s="289"/>
      <c r="D211" s="289"/>
      <c r="E211" s="289"/>
      <c r="F211" s="289"/>
      <c r="G211" s="273"/>
      <c r="H211" s="289"/>
      <c r="I211" s="82"/>
      <c r="J211" s="82"/>
      <c r="K211" s="82"/>
      <c r="S211" s="166"/>
      <c r="T211" s="167"/>
      <c r="U211" s="167"/>
      <c r="V211" s="168"/>
      <c r="W211" s="166"/>
      <c r="X211" s="168"/>
    </row>
    <row r="212" spans="1:26" ht="18" customHeight="1" x14ac:dyDescent="0.25">
      <c r="A212" s="8"/>
      <c r="B212" s="273"/>
      <c r="C212" s="289"/>
      <c r="D212" s="289"/>
      <c r="E212" s="289"/>
      <c r="F212" s="289"/>
      <c r="G212" s="273"/>
      <c r="H212" s="289"/>
      <c r="I212" s="170"/>
      <c r="S212" s="6" t="s">
        <v>327</v>
      </c>
      <c r="T212" s="6" t="s">
        <v>328</v>
      </c>
      <c r="U212" s="6" t="s">
        <v>329</v>
      </c>
      <c r="V212" s="6" t="s">
        <v>330</v>
      </c>
      <c r="W212" s="6" t="s">
        <v>331</v>
      </c>
      <c r="X212" s="6" t="s">
        <v>332</v>
      </c>
      <c r="Z212" s="13" t="s">
        <v>218</v>
      </c>
    </row>
    <row r="213" spans="1:26" ht="18" customHeight="1" x14ac:dyDescent="0.25">
      <c r="A213" s="104"/>
      <c r="B213" s="171" t="s">
        <v>333</v>
      </c>
      <c r="C213" s="172">
        <v>200</v>
      </c>
      <c r="D213" s="172">
        <v>195</v>
      </c>
      <c r="E213" s="172">
        <v>190</v>
      </c>
      <c r="F213" s="172">
        <v>190</v>
      </c>
      <c r="G213" s="173">
        <f>IF(OR(ISNUMBER(E213),ISNUMBER(F213)),AVERAGE(E213:F213),"")</f>
        <v>190</v>
      </c>
      <c r="H213" s="174" t="str">
        <f t="shared" ref="H213:H220" si="12">IF(ISNUMBER($G213),IF(AND(ISNUMBER(W213),ISNUMBER(X213),G213&gt;W213,G213&lt;X213),"Pass","Fail"),"")</f>
        <v>Pass</v>
      </c>
      <c r="I213" s="97"/>
      <c r="S213" s="175">
        <f t="shared" ref="S213:S220" si="13">IF(ISERROR(STDEV(E213:F213)),0,(STDEV(E213:F213)))</f>
        <v>0</v>
      </c>
      <c r="T213" s="175">
        <f t="shared" ref="T213:T220" si="14">IF(ISERROR(SQRT((S213^2)/$H$225)),"",(SQRT((S213^2)/$H$225)))</f>
        <v>0</v>
      </c>
      <c r="U213" s="176">
        <f t="shared" ref="U213:U220" si="15">IF(ISNUMBER(D213),IF(ISNUMBER(G213),G213-D213,""),"")</f>
        <v>-5</v>
      </c>
      <c r="V213" s="176">
        <f t="shared" ref="V213:V220" si="16">IF(ISNUMBER(D213),IF(ISNUMBER(G213),100*((G213-D213)/D213),""),"")</f>
        <v>-2.5641025641025639</v>
      </c>
      <c r="W213" s="175">
        <f t="shared" ref="W213:W220" si="17">IF(ISERROR(D213-(D213*2*$B$223/SQRT(Z213))),"",D213-(D213*2*$B$223/SQRT(Z213)))</f>
        <v>186.72685066011741</v>
      </c>
      <c r="X213" s="175">
        <f t="shared" ref="X213:X220" si="18">IF(ISERROR(D213+(D213*2*$B$223/SQRT(Z213))),"",D213+(D213*2*$B$223/SQRT(Z213)))</f>
        <v>203.27314933988259</v>
      </c>
      <c r="Z213" s="140">
        <f>COUNT(E213:F213)</f>
        <v>2</v>
      </c>
    </row>
    <row r="214" spans="1:26" ht="18" customHeight="1" x14ac:dyDescent="0.25">
      <c r="A214" s="104"/>
      <c r="B214" s="171" t="s">
        <v>334</v>
      </c>
      <c r="C214" s="172">
        <v>250</v>
      </c>
      <c r="D214" s="172">
        <v>230</v>
      </c>
      <c r="E214" s="172">
        <v>232</v>
      </c>
      <c r="F214" s="172">
        <v>232</v>
      </c>
      <c r="G214" s="173">
        <f t="shared" ref="G214:G220" si="19">IF(OR(ISNUMBER(E214),ISNUMBER(F214)),AVERAGE(E214:F214),"")</f>
        <v>232</v>
      </c>
      <c r="H214" s="174" t="str">
        <f t="shared" si="12"/>
        <v>Pass</v>
      </c>
      <c r="I214" s="97"/>
      <c r="S214" s="175">
        <f t="shared" si="13"/>
        <v>0</v>
      </c>
      <c r="T214" s="175">
        <f t="shared" si="14"/>
        <v>0</v>
      </c>
      <c r="U214" s="176">
        <f t="shared" si="15"/>
        <v>2</v>
      </c>
      <c r="V214" s="176">
        <f t="shared" si="16"/>
        <v>0.86956521739130432</v>
      </c>
      <c r="W214" s="175">
        <f t="shared" si="17"/>
        <v>220.24192641962566</v>
      </c>
      <c r="X214" s="175">
        <f t="shared" si="18"/>
        <v>239.75807358037434</v>
      </c>
      <c r="Z214" s="140">
        <f t="shared" ref="Z214:Z220" si="20">COUNT(E214:F214)</f>
        <v>2</v>
      </c>
    </row>
    <row r="215" spans="1:26" ht="18" customHeight="1" x14ac:dyDescent="0.25">
      <c r="A215" s="104"/>
      <c r="B215" s="171" t="s">
        <v>335</v>
      </c>
      <c r="C215" s="172">
        <v>10</v>
      </c>
      <c r="D215" s="172">
        <v>20</v>
      </c>
      <c r="E215" s="172">
        <v>15</v>
      </c>
      <c r="F215" s="172"/>
      <c r="G215" s="173">
        <f t="shared" si="19"/>
        <v>15</v>
      </c>
      <c r="H215" s="174" t="str">
        <f t="shared" si="12"/>
        <v>Fail</v>
      </c>
      <c r="I215" s="97"/>
      <c r="S215" s="175">
        <f t="shared" si="13"/>
        <v>0</v>
      </c>
      <c r="T215" s="175">
        <f t="shared" si="14"/>
        <v>0</v>
      </c>
      <c r="U215" s="176">
        <f t="shared" si="15"/>
        <v>-5</v>
      </c>
      <c r="V215" s="176">
        <f t="shared" si="16"/>
        <v>-25</v>
      </c>
      <c r="W215" s="175">
        <f t="shared" si="17"/>
        <v>18.8</v>
      </c>
      <c r="X215" s="175">
        <f t="shared" si="18"/>
        <v>21.2</v>
      </c>
      <c r="Z215" s="140">
        <f t="shared" si="20"/>
        <v>1</v>
      </c>
    </row>
    <row r="216" spans="1:26" ht="18" customHeight="1" x14ac:dyDescent="0.25">
      <c r="A216" s="104"/>
      <c r="B216" s="171" t="s">
        <v>336</v>
      </c>
      <c r="C216" s="172">
        <v>35</v>
      </c>
      <c r="D216" s="172">
        <v>38</v>
      </c>
      <c r="E216" s="172">
        <v>35</v>
      </c>
      <c r="F216" s="172">
        <v>35</v>
      </c>
      <c r="G216" s="173">
        <f t="shared" si="19"/>
        <v>35</v>
      </c>
      <c r="H216" s="174" t="str">
        <f t="shared" si="12"/>
        <v>Fail</v>
      </c>
      <c r="I216" s="97"/>
      <c r="S216" s="175">
        <f t="shared" si="13"/>
        <v>0</v>
      </c>
      <c r="T216" s="175">
        <f t="shared" si="14"/>
        <v>0</v>
      </c>
      <c r="U216" s="176">
        <f t="shared" si="15"/>
        <v>-3</v>
      </c>
      <c r="V216" s="176">
        <f t="shared" si="16"/>
        <v>-7.8947368421052628</v>
      </c>
      <c r="W216" s="175">
        <f t="shared" si="17"/>
        <v>36.387796538894669</v>
      </c>
      <c r="X216" s="175">
        <f t="shared" si="18"/>
        <v>39.612203461105331</v>
      </c>
      <c r="Z216" s="140">
        <f t="shared" si="20"/>
        <v>2</v>
      </c>
    </row>
    <row r="217" spans="1:26" ht="18" customHeight="1" x14ac:dyDescent="0.25">
      <c r="A217" s="104"/>
      <c r="B217" s="171" t="s">
        <v>337</v>
      </c>
      <c r="C217" s="172">
        <v>90</v>
      </c>
      <c r="D217" s="172">
        <v>91</v>
      </c>
      <c r="E217" s="172">
        <v>89</v>
      </c>
      <c r="F217" s="172">
        <v>89</v>
      </c>
      <c r="G217" s="173">
        <f t="shared" si="19"/>
        <v>89</v>
      </c>
      <c r="H217" s="174" t="str">
        <f t="shared" si="12"/>
        <v>Pass</v>
      </c>
      <c r="I217" s="97"/>
      <c r="M217" s="97"/>
      <c r="S217" s="175">
        <f t="shared" si="13"/>
        <v>0</v>
      </c>
      <c r="T217" s="175">
        <f t="shared" si="14"/>
        <v>0</v>
      </c>
      <c r="U217" s="176">
        <f t="shared" si="15"/>
        <v>-2</v>
      </c>
      <c r="V217" s="176">
        <f t="shared" si="16"/>
        <v>-2.197802197802198</v>
      </c>
      <c r="W217" s="175">
        <f t="shared" si="17"/>
        <v>87.139196974721457</v>
      </c>
      <c r="X217" s="175">
        <f t="shared" si="18"/>
        <v>94.860803025278543</v>
      </c>
      <c r="Z217" s="140">
        <f t="shared" si="20"/>
        <v>2</v>
      </c>
    </row>
    <row r="218" spans="1:26" ht="18" customHeight="1" x14ac:dyDescent="0.25">
      <c r="A218" s="104"/>
      <c r="B218" s="171" t="s">
        <v>338</v>
      </c>
      <c r="C218" s="172">
        <v>75</v>
      </c>
      <c r="D218" s="172">
        <v>70</v>
      </c>
      <c r="E218" s="172">
        <v>68</v>
      </c>
      <c r="F218" s="172">
        <v>67</v>
      </c>
      <c r="G218" s="173">
        <f t="shared" si="19"/>
        <v>67.5</v>
      </c>
      <c r="H218" s="174" t="str">
        <f t="shared" si="12"/>
        <v>Pass</v>
      </c>
      <c r="I218" s="97"/>
      <c r="M218" s="97"/>
      <c r="S218" s="175">
        <f t="shared" si="13"/>
        <v>0.70710678118654757</v>
      </c>
      <c r="T218" s="175">
        <f t="shared" si="14"/>
        <v>0.2672612419124244</v>
      </c>
      <c r="U218" s="176">
        <f t="shared" si="15"/>
        <v>-2.5</v>
      </c>
      <c r="V218" s="176">
        <f t="shared" si="16"/>
        <v>-3.5714285714285712</v>
      </c>
      <c r="W218" s="175">
        <f t="shared" si="17"/>
        <v>67.030151519016499</v>
      </c>
      <c r="X218" s="175">
        <f t="shared" si="18"/>
        <v>72.969848480983501</v>
      </c>
      <c r="Z218" s="140">
        <f t="shared" si="20"/>
        <v>2</v>
      </c>
    </row>
    <row r="219" spans="1:26" ht="18" customHeight="1" x14ac:dyDescent="0.25">
      <c r="A219" s="104"/>
      <c r="B219" s="171" t="s">
        <v>339</v>
      </c>
      <c r="C219" s="172">
        <v>100</v>
      </c>
      <c r="D219" s="172">
        <v>100</v>
      </c>
      <c r="E219" s="172">
        <v>95</v>
      </c>
      <c r="F219" s="172">
        <v>95</v>
      </c>
      <c r="G219" s="173">
        <f t="shared" si="19"/>
        <v>95</v>
      </c>
      <c r="H219" s="174" t="str">
        <f t="shared" si="12"/>
        <v>Fail</v>
      </c>
      <c r="I219" s="97"/>
      <c r="M219" s="97"/>
      <c r="S219" s="175">
        <f t="shared" si="13"/>
        <v>0</v>
      </c>
      <c r="T219" s="175">
        <f t="shared" si="14"/>
        <v>0</v>
      </c>
      <c r="U219" s="176">
        <f t="shared" si="15"/>
        <v>-5</v>
      </c>
      <c r="V219" s="176">
        <f t="shared" si="16"/>
        <v>-5</v>
      </c>
      <c r="W219" s="175">
        <f t="shared" si="17"/>
        <v>95.757359312880709</v>
      </c>
      <c r="X219" s="175">
        <f t="shared" si="18"/>
        <v>104.24264068711929</v>
      </c>
      <c r="Z219" s="140">
        <f t="shared" si="20"/>
        <v>2</v>
      </c>
    </row>
    <row r="220" spans="1:26" ht="18" customHeight="1" x14ac:dyDescent="0.25">
      <c r="A220" s="104"/>
      <c r="B220" s="171" t="s">
        <v>340</v>
      </c>
      <c r="C220" s="172">
        <v>200</v>
      </c>
      <c r="D220" s="172">
        <v>205</v>
      </c>
      <c r="E220" s="172"/>
      <c r="F220" s="172"/>
      <c r="G220" s="173" t="str">
        <f t="shared" si="19"/>
        <v/>
      </c>
      <c r="H220" s="174" t="str">
        <f t="shared" si="12"/>
        <v/>
      </c>
      <c r="I220" s="97"/>
      <c r="M220" s="97"/>
      <c r="S220" s="175">
        <f t="shared" si="13"/>
        <v>0</v>
      </c>
      <c r="T220" s="175">
        <f t="shared" si="14"/>
        <v>0</v>
      </c>
      <c r="U220" s="176" t="str">
        <f t="shared" si="15"/>
        <v/>
      </c>
      <c r="V220" s="176" t="str">
        <f t="shared" si="16"/>
        <v/>
      </c>
      <c r="W220" s="175" t="str">
        <f t="shared" si="17"/>
        <v/>
      </c>
      <c r="X220" s="175" t="str">
        <f t="shared" si="18"/>
        <v/>
      </c>
      <c r="Z220" s="140">
        <f t="shared" si="20"/>
        <v>0</v>
      </c>
    </row>
    <row r="221" spans="1:26" ht="18" customHeight="1" x14ac:dyDescent="0.25">
      <c r="A221" s="104"/>
      <c r="B221" s="177"/>
      <c r="C221" s="177"/>
      <c r="D221" s="177"/>
      <c r="E221" s="177"/>
      <c r="F221" s="177"/>
      <c r="G221" s="86"/>
      <c r="H221" s="97"/>
      <c r="I221" s="97"/>
      <c r="M221" s="97"/>
    </row>
    <row r="222" spans="1:26" ht="18" customHeight="1" x14ac:dyDescent="0.25">
      <c r="B222" s="75" t="s">
        <v>341</v>
      </c>
      <c r="C222" s="4"/>
      <c r="D222" s="177"/>
      <c r="E222" s="177"/>
      <c r="F222" s="177"/>
      <c r="G222" s="86"/>
      <c r="H222" s="97"/>
      <c r="I222" s="97"/>
      <c r="M222" s="97"/>
      <c r="T222" s="8"/>
    </row>
    <row r="223" spans="1:26" ht="18" customHeight="1" x14ac:dyDescent="0.25">
      <c r="A223" s="98"/>
      <c r="B223" s="178">
        <v>0.03</v>
      </c>
      <c r="C223" s="4"/>
      <c r="T223" s="8"/>
    </row>
    <row r="224" spans="1:26" ht="18" customHeight="1" x14ac:dyDescent="0.25">
      <c r="A224" s="98"/>
      <c r="B224" s="75" t="s">
        <v>342</v>
      </c>
      <c r="G224" s="8" t="s">
        <v>343</v>
      </c>
      <c r="H224" s="176">
        <f>IF(ISNUMBER(B223),IF(ISNUMBER(B225),B223/(B225^0.5),""),"")</f>
        <v>1.3416407864998738E-2</v>
      </c>
      <c r="T224" s="8"/>
    </row>
    <row r="225" spans="2:27" ht="18" customHeight="1" x14ac:dyDescent="0.25">
      <c r="B225" s="172">
        <v>5</v>
      </c>
      <c r="G225" s="8" t="s">
        <v>344</v>
      </c>
      <c r="H225" s="179">
        <f>COUNT(E213:E220)</f>
        <v>7</v>
      </c>
      <c r="T225" s="8"/>
    </row>
    <row r="226" spans="2:27" ht="18" customHeight="1" x14ac:dyDescent="0.25">
      <c r="G226" s="8" t="s">
        <v>345</v>
      </c>
      <c r="H226" s="180">
        <f>IF(F213="",1,2)</f>
        <v>2</v>
      </c>
    </row>
    <row r="228" spans="2:27" ht="18" customHeight="1" x14ac:dyDescent="0.25">
      <c r="B228" s="158" t="s">
        <v>346</v>
      </c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30" spans="2:27" ht="18" customHeight="1" x14ac:dyDescent="0.25">
      <c r="B230" s="3" t="s">
        <v>347</v>
      </c>
    </row>
    <row r="231" spans="2:27" ht="18" customHeight="1" x14ac:dyDescent="0.25">
      <c r="B231" s="3" t="s">
        <v>348</v>
      </c>
    </row>
    <row r="232" spans="2:27" ht="18" customHeight="1" x14ac:dyDescent="0.25">
      <c r="B232" s="3" t="s">
        <v>349</v>
      </c>
    </row>
    <row r="233" spans="2:27" ht="18" customHeight="1" x14ac:dyDescent="0.25">
      <c r="B233" s="3" t="s">
        <v>350</v>
      </c>
    </row>
    <row r="234" spans="2:27" ht="18" customHeight="1" x14ac:dyDescent="0.25">
      <c r="B234" s="3" t="s">
        <v>351</v>
      </c>
    </row>
    <row r="235" spans="2:27" ht="18" customHeight="1" x14ac:dyDescent="0.25">
      <c r="B235" s="3" t="s">
        <v>352</v>
      </c>
    </row>
    <row r="237" spans="2:27" ht="18" customHeight="1" x14ac:dyDescent="0.25">
      <c r="B237" s="75" t="s">
        <v>353</v>
      </c>
    </row>
    <row r="238" spans="2:27" ht="18" customHeight="1" x14ac:dyDescent="0.25">
      <c r="B238" s="282"/>
      <c r="C238" s="282"/>
      <c r="D238" s="282"/>
      <c r="E238" s="282"/>
      <c r="F238" s="282"/>
      <c r="G238" s="282"/>
      <c r="H238" s="282"/>
    </row>
    <row r="239" spans="2:27" ht="18" customHeight="1" x14ac:dyDescent="0.25">
      <c r="B239" s="75" t="s">
        <v>314</v>
      </c>
    </row>
    <row r="240" spans="2:27" ht="18" customHeight="1" x14ac:dyDescent="0.25">
      <c r="B240" s="283"/>
      <c r="C240" s="284"/>
      <c r="D240" s="159"/>
      <c r="E240" s="159"/>
      <c r="F240" s="159"/>
      <c r="G240" s="159"/>
      <c r="H240" s="159"/>
    </row>
    <row r="241" spans="1:25" ht="18" customHeight="1" x14ac:dyDescent="0.25">
      <c r="B241" s="75" t="s">
        <v>315</v>
      </c>
    </row>
    <row r="242" spans="1:25" ht="18" customHeight="1" x14ac:dyDescent="0.25">
      <c r="B242" s="290"/>
      <c r="C242" s="291"/>
      <c r="D242" s="291"/>
      <c r="E242" s="292"/>
    </row>
    <row r="243" spans="1:25" ht="18" customHeight="1" x14ac:dyDescent="0.25">
      <c r="B243" s="75" t="s">
        <v>316</v>
      </c>
    </row>
    <row r="244" spans="1:25" ht="18" customHeight="1" x14ac:dyDescent="0.25">
      <c r="A244" s="98"/>
      <c r="B244" s="283"/>
      <c r="C244" s="288"/>
      <c r="D244" s="288"/>
      <c r="E244" s="284"/>
      <c r="F244" s="159"/>
      <c r="G244" s="159"/>
      <c r="H244" s="159"/>
      <c r="P244" s="82"/>
      <c r="Q244" s="82"/>
      <c r="R244" s="82"/>
      <c r="S244" s="82"/>
      <c r="T244" s="82"/>
    </row>
    <row r="245" spans="1:25" ht="18" customHeight="1" x14ac:dyDescent="0.25">
      <c r="A245" s="98"/>
      <c r="B245" s="75" t="s">
        <v>317</v>
      </c>
      <c r="P245" s="82"/>
      <c r="Q245" s="82"/>
      <c r="R245" s="82"/>
      <c r="S245" s="82"/>
      <c r="T245" s="82"/>
    </row>
    <row r="246" spans="1:25" ht="18" customHeight="1" x14ac:dyDescent="0.25">
      <c r="A246" s="98"/>
      <c r="B246" s="283"/>
      <c r="C246" s="288"/>
      <c r="D246" s="288"/>
      <c r="E246" s="284"/>
      <c r="F246" s="159"/>
      <c r="G246" s="159"/>
      <c r="H246" s="159"/>
      <c r="P246" s="82"/>
      <c r="Q246" s="82"/>
      <c r="R246" s="82"/>
      <c r="S246" s="82"/>
      <c r="T246" s="82"/>
    </row>
    <row r="247" spans="1:25" ht="18" customHeight="1" x14ac:dyDescent="0.25">
      <c r="A247" s="98"/>
      <c r="B247" s="159"/>
      <c r="C247" s="159"/>
      <c r="D247" s="159"/>
      <c r="E247" s="159"/>
      <c r="F247" s="159"/>
      <c r="G247" s="159"/>
      <c r="H247" s="159"/>
      <c r="P247" s="82"/>
      <c r="Q247" s="82"/>
      <c r="R247" s="82"/>
      <c r="S247" s="82"/>
      <c r="T247" s="82"/>
    </row>
    <row r="248" spans="1:25" ht="18" customHeight="1" x14ac:dyDescent="0.25">
      <c r="A248" s="75"/>
      <c r="B248" s="181" t="s">
        <v>354</v>
      </c>
      <c r="C248" s="181"/>
      <c r="D248" s="181"/>
      <c r="E248" s="181"/>
      <c r="F248" s="181"/>
      <c r="G248" s="181"/>
      <c r="H248" s="181"/>
      <c r="P248" s="82"/>
      <c r="Q248" s="82"/>
      <c r="R248" s="82"/>
      <c r="S248" s="82"/>
      <c r="T248" s="82"/>
    </row>
    <row r="249" spans="1:25" ht="18" customHeight="1" x14ac:dyDescent="0.25">
      <c r="B249" s="4"/>
      <c r="C249" s="4"/>
      <c r="D249" s="4"/>
      <c r="E249" s="4"/>
      <c r="F249" s="4" t="s">
        <v>177</v>
      </c>
      <c r="G249" s="4"/>
      <c r="H249" s="4"/>
      <c r="I249" s="4"/>
      <c r="J249" s="4"/>
      <c r="M249" s="4"/>
      <c r="N249" s="4"/>
      <c r="P249" s="82"/>
      <c r="Q249" s="82"/>
      <c r="R249" s="82"/>
      <c r="S249" s="82"/>
      <c r="T249" s="82"/>
    </row>
    <row r="250" spans="1:25" ht="18" customHeight="1" x14ac:dyDescent="0.25">
      <c r="B250" s="273" t="s">
        <v>355</v>
      </c>
      <c r="C250" s="289" t="s">
        <v>356</v>
      </c>
      <c r="D250" s="289" t="s">
        <v>324</v>
      </c>
      <c r="E250" s="289" t="s">
        <v>325</v>
      </c>
      <c r="F250" s="289" t="s">
        <v>357</v>
      </c>
      <c r="G250" s="273" t="s">
        <v>95</v>
      </c>
      <c r="H250" s="289" t="s">
        <v>358</v>
      </c>
      <c r="I250" s="289" t="s">
        <v>359</v>
      </c>
      <c r="J250" s="4"/>
      <c r="M250" s="4"/>
      <c r="N250" s="4"/>
      <c r="P250" s="82"/>
      <c r="Q250" s="82"/>
      <c r="R250" s="82"/>
      <c r="S250" s="82"/>
      <c r="T250" s="82"/>
    </row>
    <row r="251" spans="1:25" ht="18" customHeight="1" x14ac:dyDescent="0.25">
      <c r="A251" s="8"/>
      <c r="B251" s="273"/>
      <c r="C251" s="289"/>
      <c r="D251" s="289"/>
      <c r="E251" s="289"/>
      <c r="F251" s="289"/>
      <c r="G251" s="273"/>
      <c r="H251" s="289"/>
      <c r="I251" s="289"/>
      <c r="S251" s="169" t="s">
        <v>24</v>
      </c>
      <c r="T251" s="169" t="s">
        <v>360</v>
      </c>
      <c r="U251" s="169" t="s">
        <v>361</v>
      </c>
      <c r="V251" s="169" t="s">
        <v>362</v>
      </c>
      <c r="W251" s="169" t="s">
        <v>363</v>
      </c>
      <c r="X251" s="169" t="s">
        <v>332</v>
      </c>
      <c r="Y251" s="169" t="s">
        <v>331</v>
      </c>
    </row>
    <row r="252" spans="1:25" ht="18" customHeight="1" x14ac:dyDescent="0.25">
      <c r="A252" s="104" t="str">
        <f>IF(ISNUMBER(G252),1,"")</f>
        <v/>
      </c>
      <c r="B252" s="172"/>
      <c r="C252" s="172"/>
      <c r="D252" s="172"/>
      <c r="E252" s="172"/>
      <c r="F252" s="172"/>
      <c r="G252" s="173" t="str">
        <f>IF(ISNUMBER(D252),AVERAGE(D252:F252),"")</f>
        <v/>
      </c>
      <c r="H252" s="174"/>
      <c r="I252" s="174" t="str">
        <f t="shared" ref="I252:I259" si="21">IF(NOT(ISNUMBER(G252)),"",IF(AND(ISNUMBER(G252),U252&gt;W252),"Fail","Pass"))</f>
        <v/>
      </c>
      <c r="S252" s="175">
        <f t="shared" ref="S252:S259" si="22">IF(ISERROR(STDEV(D252:F252)/SQRT(COUNT(D252:F252))),0,(STDEV(D252:F252)/SQRT(COUNT(D252:F252))))</f>
        <v>0</v>
      </c>
      <c r="T252" s="176" t="str">
        <f t="shared" ref="T252:T259" si="23">IF(ISNUMBER(C252),IF(ISNUMBER(G252),ABS(G252-C252),""),"")</f>
        <v/>
      </c>
      <c r="U252" s="175" t="e">
        <f t="shared" ref="U252:U259" si="24">$T252-_xlfn.T.INV(1-$B$261/2,COUNT($D252:$F252)-1)*$S252</f>
        <v>#VALUE!</v>
      </c>
      <c r="V252" s="175" t="e">
        <f t="shared" ref="V252:V259" si="25">$T252+_xlfn.T.INV(1-$B$261/2,COUNT($D252:$F252)-1)*$S252</f>
        <v>#VALUE!</v>
      </c>
      <c r="W252" s="176">
        <f t="shared" ref="W252:W259" si="26">ABS($B$261*C252)</f>
        <v>0</v>
      </c>
      <c r="X252" s="175">
        <f t="shared" ref="X252:X259" si="27">IF(ISERROR($C252-($C252*$B$261)),"",$C252-($C252*$B$261))</f>
        <v>0</v>
      </c>
      <c r="Y252" s="175">
        <f t="shared" ref="Y252:Y259" si="28">IF(ISERROR($C252+($C252*$B$261)),"",$C252+($C252*$B$261))</f>
        <v>0</v>
      </c>
    </row>
    <row r="253" spans="1:25" ht="18" customHeight="1" x14ac:dyDescent="0.25">
      <c r="A253" s="104" t="str">
        <f t="shared" ref="A253:A259" si="29">IF(ISNUMBER(G253),1+A252,"")</f>
        <v/>
      </c>
      <c r="B253" s="172"/>
      <c r="C253" s="172"/>
      <c r="D253" s="172"/>
      <c r="E253" s="172"/>
      <c r="F253" s="172"/>
      <c r="G253" s="173" t="str">
        <f t="shared" ref="G253:G259" si="30">IF(ISNUMBER(D253),AVERAGE(D253:F253),"")</f>
        <v/>
      </c>
      <c r="H253" s="174" t="str">
        <f t="shared" ref="H253:H259" si="31">IF(NOT(ISNUMBER(G253)),"",IF(AND(ISNUMBER(G253),G253&gt;=X253,G253&lt;=Y253),"Pass","Fail"))</f>
        <v/>
      </c>
      <c r="I253" s="174" t="str">
        <f t="shared" si="21"/>
        <v/>
      </c>
      <c r="S253" s="175">
        <f t="shared" si="22"/>
        <v>0</v>
      </c>
      <c r="T253" s="176" t="str">
        <f t="shared" si="23"/>
        <v/>
      </c>
      <c r="U253" s="175" t="e">
        <f t="shared" si="24"/>
        <v>#VALUE!</v>
      </c>
      <c r="V253" s="175" t="e">
        <f t="shared" si="25"/>
        <v>#VALUE!</v>
      </c>
      <c r="W253" s="176">
        <f t="shared" si="26"/>
        <v>0</v>
      </c>
      <c r="X253" s="175">
        <f t="shared" si="27"/>
        <v>0</v>
      </c>
      <c r="Y253" s="175">
        <f t="shared" si="28"/>
        <v>0</v>
      </c>
    </row>
    <row r="254" spans="1:25" ht="18" customHeight="1" x14ac:dyDescent="0.25">
      <c r="A254" s="104" t="str">
        <f t="shared" si="29"/>
        <v/>
      </c>
      <c r="B254" s="172"/>
      <c r="C254" s="172"/>
      <c r="D254" s="172"/>
      <c r="E254" s="172"/>
      <c r="F254" s="172"/>
      <c r="G254" s="173" t="str">
        <f t="shared" si="30"/>
        <v/>
      </c>
      <c r="H254" s="174" t="str">
        <f t="shared" si="31"/>
        <v/>
      </c>
      <c r="I254" s="174" t="str">
        <f t="shared" si="21"/>
        <v/>
      </c>
      <c r="S254" s="175">
        <f t="shared" si="22"/>
        <v>0</v>
      </c>
      <c r="T254" s="176" t="str">
        <f t="shared" si="23"/>
        <v/>
      </c>
      <c r="U254" s="175" t="e">
        <f t="shared" si="24"/>
        <v>#VALUE!</v>
      </c>
      <c r="V254" s="175" t="e">
        <f t="shared" si="25"/>
        <v>#VALUE!</v>
      </c>
      <c r="W254" s="176">
        <f t="shared" si="26"/>
        <v>0</v>
      </c>
      <c r="X254" s="175">
        <f t="shared" si="27"/>
        <v>0</v>
      </c>
      <c r="Y254" s="175">
        <f t="shared" si="28"/>
        <v>0</v>
      </c>
    </row>
    <row r="255" spans="1:25" ht="18" customHeight="1" x14ac:dyDescent="0.25">
      <c r="A255" s="104" t="str">
        <f t="shared" si="29"/>
        <v/>
      </c>
      <c r="B255" s="172"/>
      <c r="C255" s="172"/>
      <c r="D255" s="172"/>
      <c r="E255" s="172"/>
      <c r="F255" s="172"/>
      <c r="G255" s="173" t="str">
        <f t="shared" si="30"/>
        <v/>
      </c>
      <c r="H255" s="174" t="str">
        <f t="shared" si="31"/>
        <v/>
      </c>
      <c r="I255" s="174" t="str">
        <f t="shared" si="21"/>
        <v/>
      </c>
      <c r="S255" s="175">
        <f t="shared" si="22"/>
        <v>0</v>
      </c>
      <c r="T255" s="176" t="str">
        <f t="shared" si="23"/>
        <v/>
      </c>
      <c r="U255" s="175" t="e">
        <f t="shared" si="24"/>
        <v>#VALUE!</v>
      </c>
      <c r="V255" s="175" t="e">
        <f t="shared" si="25"/>
        <v>#VALUE!</v>
      </c>
      <c r="W255" s="176">
        <f t="shared" si="26"/>
        <v>0</v>
      </c>
      <c r="X255" s="175">
        <f t="shared" si="27"/>
        <v>0</v>
      </c>
      <c r="Y255" s="175">
        <f t="shared" si="28"/>
        <v>0</v>
      </c>
    </row>
    <row r="256" spans="1:25" ht="18" customHeight="1" x14ac:dyDescent="0.25">
      <c r="A256" s="104" t="str">
        <f t="shared" si="29"/>
        <v/>
      </c>
      <c r="B256" s="172"/>
      <c r="C256" s="172"/>
      <c r="D256" s="172"/>
      <c r="E256" s="172"/>
      <c r="F256" s="172"/>
      <c r="G256" s="173" t="str">
        <f t="shared" si="30"/>
        <v/>
      </c>
      <c r="H256" s="174" t="str">
        <f t="shared" si="31"/>
        <v/>
      </c>
      <c r="I256" s="174" t="str">
        <f t="shared" si="21"/>
        <v/>
      </c>
      <c r="S256" s="175">
        <f t="shared" si="22"/>
        <v>0</v>
      </c>
      <c r="T256" s="176" t="str">
        <f t="shared" si="23"/>
        <v/>
      </c>
      <c r="U256" s="175" t="e">
        <f t="shared" si="24"/>
        <v>#VALUE!</v>
      </c>
      <c r="V256" s="175" t="e">
        <f t="shared" si="25"/>
        <v>#VALUE!</v>
      </c>
      <c r="W256" s="176">
        <f t="shared" si="26"/>
        <v>0</v>
      </c>
      <c r="X256" s="175">
        <f t="shared" si="27"/>
        <v>0</v>
      </c>
      <c r="Y256" s="175">
        <f t="shared" si="28"/>
        <v>0</v>
      </c>
    </row>
    <row r="257" spans="1:25" ht="18" customHeight="1" x14ac:dyDescent="0.25">
      <c r="A257" s="104" t="str">
        <f t="shared" si="29"/>
        <v/>
      </c>
      <c r="B257" s="172"/>
      <c r="C257" s="172"/>
      <c r="D257" s="172"/>
      <c r="E257" s="172"/>
      <c r="F257" s="172"/>
      <c r="G257" s="173" t="str">
        <f t="shared" si="30"/>
        <v/>
      </c>
      <c r="H257" s="174" t="str">
        <f t="shared" si="31"/>
        <v/>
      </c>
      <c r="I257" s="174" t="str">
        <f t="shared" si="21"/>
        <v/>
      </c>
      <c r="S257" s="175">
        <f t="shared" si="22"/>
        <v>0</v>
      </c>
      <c r="T257" s="176" t="str">
        <f t="shared" si="23"/>
        <v/>
      </c>
      <c r="U257" s="175" t="e">
        <f t="shared" si="24"/>
        <v>#VALUE!</v>
      </c>
      <c r="V257" s="175" t="e">
        <f t="shared" si="25"/>
        <v>#VALUE!</v>
      </c>
      <c r="W257" s="176">
        <f t="shared" si="26"/>
        <v>0</v>
      </c>
      <c r="X257" s="175">
        <f t="shared" si="27"/>
        <v>0</v>
      </c>
      <c r="Y257" s="175">
        <f t="shared" si="28"/>
        <v>0</v>
      </c>
    </row>
    <row r="258" spans="1:25" ht="18" customHeight="1" x14ac:dyDescent="0.25">
      <c r="A258" s="104" t="str">
        <f t="shared" si="29"/>
        <v/>
      </c>
      <c r="B258" s="172"/>
      <c r="C258" s="172"/>
      <c r="D258" s="172"/>
      <c r="E258" s="172"/>
      <c r="F258" s="172"/>
      <c r="G258" s="173" t="str">
        <f t="shared" si="30"/>
        <v/>
      </c>
      <c r="H258" s="174" t="str">
        <f t="shared" si="31"/>
        <v/>
      </c>
      <c r="I258" s="174" t="str">
        <f t="shared" si="21"/>
        <v/>
      </c>
      <c r="S258" s="175">
        <f t="shared" si="22"/>
        <v>0</v>
      </c>
      <c r="T258" s="176" t="str">
        <f t="shared" si="23"/>
        <v/>
      </c>
      <c r="U258" s="175" t="e">
        <f t="shared" si="24"/>
        <v>#VALUE!</v>
      </c>
      <c r="V258" s="175" t="e">
        <f t="shared" si="25"/>
        <v>#VALUE!</v>
      </c>
      <c r="W258" s="176">
        <f t="shared" si="26"/>
        <v>0</v>
      </c>
      <c r="X258" s="175">
        <f t="shared" si="27"/>
        <v>0</v>
      </c>
      <c r="Y258" s="175">
        <f t="shared" si="28"/>
        <v>0</v>
      </c>
    </row>
    <row r="259" spans="1:25" ht="18" customHeight="1" x14ac:dyDescent="0.25">
      <c r="A259" s="104" t="str">
        <f t="shared" si="29"/>
        <v/>
      </c>
      <c r="B259" s="172"/>
      <c r="C259" s="172"/>
      <c r="D259" s="172"/>
      <c r="E259" s="172"/>
      <c r="F259" s="172"/>
      <c r="G259" s="173" t="str">
        <f t="shared" si="30"/>
        <v/>
      </c>
      <c r="H259" s="174" t="str">
        <f t="shared" si="31"/>
        <v/>
      </c>
      <c r="I259" s="174" t="str">
        <f t="shared" si="21"/>
        <v/>
      </c>
      <c r="S259" s="175">
        <f t="shared" si="22"/>
        <v>0</v>
      </c>
      <c r="T259" s="176" t="str">
        <f t="shared" si="23"/>
        <v/>
      </c>
      <c r="U259" s="175" t="e">
        <f t="shared" si="24"/>
        <v>#VALUE!</v>
      </c>
      <c r="V259" s="175" t="e">
        <f t="shared" si="25"/>
        <v>#VALUE!</v>
      </c>
      <c r="W259" s="176">
        <f t="shared" si="26"/>
        <v>0</v>
      </c>
      <c r="X259" s="175">
        <f t="shared" si="27"/>
        <v>0</v>
      </c>
      <c r="Y259" s="175">
        <f t="shared" si="28"/>
        <v>0</v>
      </c>
    </row>
    <row r="260" spans="1:25" ht="18" customHeight="1" x14ac:dyDescent="0.25">
      <c r="A260" s="104"/>
      <c r="B260" s="76" t="s">
        <v>364</v>
      </c>
      <c r="C260" s="83"/>
      <c r="D260" s="145" t="s">
        <v>365</v>
      </c>
      <c r="E260" s="83"/>
      <c r="F260" s="83"/>
      <c r="G260" s="182"/>
      <c r="H260" s="182"/>
      <c r="I260" s="182"/>
      <c r="J260" s="97"/>
      <c r="M260" s="97"/>
      <c r="N260" s="97"/>
      <c r="S260" s="82"/>
      <c r="T260" s="82"/>
      <c r="U260" s="82"/>
      <c r="V260" s="82"/>
      <c r="W260" s="82"/>
      <c r="X260" s="82"/>
    </row>
    <row r="261" spans="1:25" ht="18" customHeight="1" x14ac:dyDescent="0.25">
      <c r="A261" s="8"/>
      <c r="B261" s="183"/>
      <c r="C261" s="76"/>
      <c r="D261" s="183">
        <v>0.05</v>
      </c>
      <c r="E261" s="83"/>
      <c r="F261" s="83"/>
      <c r="G261" s="83"/>
      <c r="H261" s="83"/>
      <c r="I261" s="83"/>
      <c r="J261" s="83"/>
      <c r="M261" s="96"/>
      <c r="N261" s="97"/>
      <c r="S261" s="82"/>
      <c r="T261" s="82"/>
      <c r="U261" s="82"/>
      <c r="V261" s="82"/>
      <c r="W261" s="82"/>
      <c r="X261" s="82"/>
    </row>
    <row r="262" spans="1:25" ht="18" customHeight="1" x14ac:dyDescent="0.25">
      <c r="A262" s="8"/>
      <c r="C262" s="4"/>
      <c r="D262" s="4"/>
      <c r="E262" s="4"/>
      <c r="F262" s="4"/>
      <c r="G262" s="4"/>
      <c r="H262" s="4"/>
      <c r="I262" s="4"/>
      <c r="J262" s="4"/>
      <c r="M262" s="4"/>
      <c r="N262" s="4"/>
      <c r="S262" s="82"/>
      <c r="T262" s="82"/>
      <c r="U262" s="82"/>
      <c r="V262" s="82"/>
      <c r="W262" s="82"/>
      <c r="X262" s="82"/>
    </row>
    <row r="281" spans="1:6" s="108" customFormat="1" ht="18" customHeight="1" x14ac:dyDescent="0.25">
      <c r="A281" s="106"/>
      <c r="B281" s="106" t="s">
        <v>366</v>
      </c>
    </row>
    <row r="282" spans="1:6" s="185" customFormat="1" ht="18" customHeight="1" x14ac:dyDescent="0.25">
      <c r="A282" s="184"/>
      <c r="B282" s="184"/>
    </row>
    <row r="283" spans="1:6" ht="18" customHeight="1" x14ac:dyDescent="0.25">
      <c r="B283" s="75" t="s">
        <v>367</v>
      </c>
    </row>
    <row r="284" spans="1:6" ht="18" customHeight="1" x14ac:dyDescent="0.25">
      <c r="B284" s="263"/>
      <c r="C284" s="263"/>
      <c r="D284" s="263"/>
      <c r="E284" s="160"/>
      <c r="F284" s="160"/>
    </row>
    <row r="285" spans="1:6" ht="18" customHeight="1" x14ac:dyDescent="0.25">
      <c r="B285" s="75" t="s">
        <v>368</v>
      </c>
      <c r="C285" s="10"/>
      <c r="D285" s="293"/>
      <c r="E285" s="293"/>
      <c r="F285" s="293"/>
    </row>
    <row r="286" spans="1:6" ht="18" customHeight="1" x14ac:dyDescent="0.25">
      <c r="B286" s="263"/>
      <c r="C286" s="263"/>
      <c r="D286" s="263"/>
      <c r="E286" s="91"/>
      <c r="F286" s="91"/>
    </row>
    <row r="287" spans="1:6" ht="18" customHeight="1" x14ac:dyDescent="0.25">
      <c r="A287" s="98"/>
      <c r="B287" s="75" t="s">
        <v>287</v>
      </c>
    </row>
    <row r="288" spans="1:6" ht="18" customHeight="1" x14ac:dyDescent="0.25">
      <c r="A288" s="98"/>
      <c r="B288" s="263"/>
      <c r="C288" s="263"/>
      <c r="D288" s="263"/>
    </row>
    <row r="289" spans="1:27" ht="18" customHeight="1" x14ac:dyDescent="0.25">
      <c r="A289" s="186"/>
      <c r="B289" s="75" t="s">
        <v>288</v>
      </c>
    </row>
    <row r="290" spans="1:27" ht="18" customHeight="1" x14ac:dyDescent="0.25">
      <c r="A290" s="186"/>
      <c r="B290" s="263"/>
      <c r="C290" s="263"/>
      <c r="D290" s="263"/>
    </row>
    <row r="292" spans="1:27" ht="18" customHeight="1" x14ac:dyDescent="0.25">
      <c r="C292" s="4"/>
      <c r="D292" s="4" t="s">
        <v>369</v>
      </c>
    </row>
    <row r="293" spans="1:27" ht="18" customHeight="1" x14ac:dyDescent="0.25">
      <c r="D293" s="5" t="s">
        <v>91</v>
      </c>
      <c r="E293" s="6" t="s">
        <v>92</v>
      </c>
      <c r="F293" s="6" t="s">
        <v>93</v>
      </c>
      <c r="G293" s="7" t="s">
        <v>94</v>
      </c>
    </row>
    <row r="294" spans="1:27" ht="18" customHeight="1" x14ac:dyDescent="0.25">
      <c r="C294" s="8" t="s">
        <v>95</v>
      </c>
      <c r="D294" s="9">
        <v>106</v>
      </c>
      <c r="E294" s="9">
        <v>463</v>
      </c>
      <c r="F294" s="9">
        <v>106</v>
      </c>
      <c r="G294" s="9">
        <v>463</v>
      </c>
    </row>
    <row r="295" spans="1:27" ht="18" customHeight="1" x14ac:dyDescent="0.25">
      <c r="C295" s="10" t="s">
        <v>96</v>
      </c>
      <c r="D295" s="11">
        <v>0.01</v>
      </c>
      <c r="E295" s="11">
        <v>0.01</v>
      </c>
      <c r="F295" s="11">
        <v>0.01</v>
      </c>
      <c r="G295" s="11">
        <v>0.01</v>
      </c>
    </row>
    <row r="296" spans="1:27" ht="18" customHeight="1" x14ac:dyDescent="0.25">
      <c r="C296" s="10" t="s">
        <v>97</v>
      </c>
      <c r="D296" s="11">
        <v>2.5999999999999999E-2</v>
      </c>
      <c r="E296" s="11">
        <v>2.5999999999999999E-2</v>
      </c>
      <c r="F296" s="11">
        <v>2.5999999999999999E-2</v>
      </c>
      <c r="G296" s="11">
        <v>2.5999999999999999E-2</v>
      </c>
    </row>
    <row r="298" spans="1:27" ht="18" customHeight="1" x14ac:dyDescent="0.25">
      <c r="C298" s="12" t="s">
        <v>370</v>
      </c>
      <c r="D298" s="12"/>
      <c r="E298" s="12"/>
      <c r="F298" s="12"/>
      <c r="G298" s="12"/>
      <c r="W298" s="75"/>
    </row>
    <row r="299" spans="1:27" ht="18" customHeight="1" x14ac:dyDescent="0.25">
      <c r="B299" s="13" t="s">
        <v>98</v>
      </c>
      <c r="C299" s="13" t="s">
        <v>99</v>
      </c>
      <c r="D299" s="5" t="s">
        <v>91</v>
      </c>
      <c r="E299" s="6" t="s">
        <v>92</v>
      </c>
      <c r="F299" s="6" t="s">
        <v>93</v>
      </c>
      <c r="G299" s="7" t="s">
        <v>94</v>
      </c>
      <c r="W299" s="187" t="s">
        <v>95</v>
      </c>
      <c r="X299" s="132">
        <v>93.56</v>
      </c>
      <c r="Y299" s="132">
        <v>409.62799999999999</v>
      </c>
      <c r="Z299" s="132">
        <v>93.56</v>
      </c>
      <c r="AA299" s="132">
        <v>409.62799999999999</v>
      </c>
    </row>
    <row r="300" spans="1:27" ht="18" customHeight="1" x14ac:dyDescent="0.25">
      <c r="B300" s="14" t="s">
        <v>100</v>
      </c>
      <c r="C300" s="15" t="s">
        <v>101</v>
      </c>
      <c r="D300" s="9">
        <v>95.1</v>
      </c>
      <c r="E300" s="9">
        <v>418.2</v>
      </c>
      <c r="F300" s="9">
        <v>95.1</v>
      </c>
      <c r="G300" s="9">
        <v>418.2</v>
      </c>
      <c r="W300" s="187" t="s">
        <v>371</v>
      </c>
      <c r="X300" s="132">
        <v>144.5800000000163</v>
      </c>
      <c r="Y300" s="132">
        <v>1653.3903999980539</v>
      </c>
      <c r="Z300" s="132">
        <v>144.5800000000163</v>
      </c>
      <c r="AA300" s="132">
        <v>1653.3903999980539</v>
      </c>
    </row>
    <row r="301" spans="1:27" ht="18" customHeight="1" x14ac:dyDescent="0.25">
      <c r="B301" s="14" t="s">
        <v>100</v>
      </c>
      <c r="C301" s="15" t="s">
        <v>101</v>
      </c>
      <c r="D301" s="9">
        <v>95.2</v>
      </c>
      <c r="E301" s="9">
        <v>415.2</v>
      </c>
      <c r="F301" s="9">
        <v>95.2</v>
      </c>
      <c r="G301" s="9">
        <v>415.2</v>
      </c>
      <c r="W301" s="187" t="s">
        <v>122</v>
      </c>
      <c r="X301" s="132">
        <v>83.75199999997858</v>
      </c>
      <c r="Y301" s="132">
        <v>1426.5863999975843</v>
      </c>
      <c r="Z301" s="132">
        <v>83.75199999997858</v>
      </c>
      <c r="AA301" s="132">
        <v>1426.5863999975843</v>
      </c>
    </row>
    <row r="302" spans="1:27" ht="18" customHeight="1" x14ac:dyDescent="0.25">
      <c r="B302" s="14" t="s">
        <v>100</v>
      </c>
      <c r="C302" s="15" t="s">
        <v>101</v>
      </c>
      <c r="D302" s="9">
        <v>95.8</v>
      </c>
      <c r="E302" s="9">
        <v>416.9</v>
      </c>
      <c r="F302" s="9">
        <v>95.8</v>
      </c>
      <c r="G302" s="9">
        <v>416.9</v>
      </c>
      <c r="W302" s="187" t="s">
        <v>125</v>
      </c>
      <c r="X302" s="132">
        <v>60.828000000037719</v>
      </c>
      <c r="Y302" s="132">
        <v>226.80400000046939</v>
      </c>
      <c r="Z302" s="132">
        <v>60.828000000037719</v>
      </c>
      <c r="AA302" s="132">
        <v>226.80400000046939</v>
      </c>
    </row>
    <row r="303" spans="1:27" ht="18" customHeight="1" x14ac:dyDescent="0.25">
      <c r="B303" s="14" t="s">
        <v>100</v>
      </c>
      <c r="C303" s="15" t="s">
        <v>101</v>
      </c>
      <c r="D303" s="9">
        <v>95.4</v>
      </c>
      <c r="E303" s="9">
        <v>416.3</v>
      </c>
      <c r="F303" s="9">
        <v>95.4</v>
      </c>
      <c r="G303" s="9">
        <v>416.3</v>
      </c>
      <c r="W303" s="187" t="s">
        <v>372</v>
      </c>
      <c r="X303" s="132">
        <v>24</v>
      </c>
      <c r="Y303" s="132">
        <v>24</v>
      </c>
      <c r="Z303" s="132">
        <v>24</v>
      </c>
      <c r="AA303" s="132">
        <v>24</v>
      </c>
    </row>
    <row r="304" spans="1:27" ht="18" customHeight="1" x14ac:dyDescent="0.25">
      <c r="B304" s="14" t="s">
        <v>100</v>
      </c>
      <c r="C304" s="15" t="s">
        <v>101</v>
      </c>
      <c r="D304" s="9">
        <v>95.9</v>
      </c>
      <c r="E304" s="9">
        <v>416.8</v>
      </c>
      <c r="F304" s="9">
        <v>95.9</v>
      </c>
      <c r="G304" s="9">
        <v>416.8</v>
      </c>
      <c r="W304" s="187" t="s">
        <v>373</v>
      </c>
      <c r="X304" s="132">
        <v>20</v>
      </c>
      <c r="Y304" s="132">
        <v>20</v>
      </c>
      <c r="Z304" s="132">
        <v>20</v>
      </c>
      <c r="AA304" s="132">
        <v>20</v>
      </c>
    </row>
    <row r="305" spans="2:27" ht="18" customHeight="1" x14ac:dyDescent="0.25">
      <c r="B305" s="14" t="s">
        <v>102</v>
      </c>
      <c r="C305" s="15" t="s">
        <v>101</v>
      </c>
      <c r="D305" s="9">
        <v>98.2</v>
      </c>
      <c r="E305" s="9">
        <v>421.3</v>
      </c>
      <c r="F305" s="9">
        <v>98.2</v>
      </c>
      <c r="G305" s="9">
        <v>421.3</v>
      </c>
      <c r="W305" s="187" t="s">
        <v>127</v>
      </c>
      <c r="X305" s="132">
        <v>4</v>
      </c>
      <c r="Y305" s="132">
        <v>4</v>
      </c>
      <c r="Z305" s="132">
        <v>4</v>
      </c>
      <c r="AA305" s="132">
        <v>4</v>
      </c>
    </row>
    <row r="306" spans="2:27" ht="18" customHeight="1" x14ac:dyDescent="0.25">
      <c r="B306" s="14" t="s">
        <v>102</v>
      </c>
      <c r="C306" s="15" t="s">
        <v>101</v>
      </c>
      <c r="D306" s="9">
        <v>96.6</v>
      </c>
      <c r="E306" s="9">
        <v>416.7</v>
      </c>
      <c r="F306" s="9">
        <v>96.6</v>
      </c>
      <c r="G306" s="9">
        <v>416.7</v>
      </c>
      <c r="W306" s="187" t="s">
        <v>374</v>
      </c>
      <c r="X306" s="132">
        <v>20.937999999994645</v>
      </c>
      <c r="Y306" s="132">
        <v>356.64659999939613</v>
      </c>
      <c r="Z306" s="132">
        <v>20.937999999994645</v>
      </c>
      <c r="AA306" s="132">
        <v>356.64659999939613</v>
      </c>
    </row>
    <row r="307" spans="2:27" ht="18" customHeight="1" x14ac:dyDescent="0.25">
      <c r="B307" s="14" t="s">
        <v>102</v>
      </c>
      <c r="C307" s="15" t="s">
        <v>101</v>
      </c>
      <c r="D307" s="9">
        <v>96.9</v>
      </c>
      <c r="E307" s="9">
        <v>422.5</v>
      </c>
      <c r="F307" s="9">
        <v>96.9</v>
      </c>
      <c r="G307" s="9">
        <v>422.5</v>
      </c>
      <c r="W307" s="187" t="s">
        <v>135</v>
      </c>
      <c r="X307" s="132">
        <v>3.0414000000018859</v>
      </c>
      <c r="Y307" s="132">
        <v>11.340200000023469</v>
      </c>
      <c r="Z307" s="132">
        <v>3.0414000000018859</v>
      </c>
      <c r="AA307" s="132">
        <v>11.340200000023469</v>
      </c>
    </row>
    <row r="308" spans="2:27" ht="18" customHeight="1" x14ac:dyDescent="0.25">
      <c r="B308" s="14" t="s">
        <v>102</v>
      </c>
      <c r="C308" s="15" t="s">
        <v>101</v>
      </c>
      <c r="D308" s="9">
        <v>96.2</v>
      </c>
      <c r="E308" s="9">
        <v>419.9</v>
      </c>
      <c r="F308" s="9">
        <v>96.2</v>
      </c>
      <c r="G308" s="9">
        <v>419.9</v>
      </c>
      <c r="W308" s="187" t="s">
        <v>375</v>
      </c>
      <c r="X308" s="132">
        <v>6.8843295850534822</v>
      </c>
      <c r="Y308" s="132">
        <v>31.449762790661367</v>
      </c>
      <c r="Z308" s="132">
        <v>6.8843295850534822</v>
      </c>
      <c r="AA308" s="132">
        <v>31.449762790661367</v>
      </c>
    </row>
    <row r="309" spans="2:27" ht="18" customHeight="1" x14ac:dyDescent="0.25">
      <c r="B309" s="14" t="s">
        <v>102</v>
      </c>
      <c r="C309" s="15" t="s">
        <v>101</v>
      </c>
      <c r="D309" s="9">
        <v>91.6</v>
      </c>
      <c r="E309" s="9">
        <v>405.7</v>
      </c>
      <c r="F309" s="9">
        <v>91.6</v>
      </c>
      <c r="G309" s="9">
        <v>405.7</v>
      </c>
      <c r="W309" s="187" t="s">
        <v>139</v>
      </c>
      <c r="X309" s="132">
        <v>25</v>
      </c>
      <c r="Y309" s="132">
        <v>25</v>
      </c>
      <c r="Z309" s="132">
        <v>25</v>
      </c>
      <c r="AA309" s="132">
        <v>25</v>
      </c>
    </row>
    <row r="310" spans="2:27" ht="18" customHeight="1" x14ac:dyDescent="0.25">
      <c r="B310" s="14" t="s">
        <v>103</v>
      </c>
      <c r="C310" s="15" t="s">
        <v>101</v>
      </c>
      <c r="D310" s="9">
        <v>94</v>
      </c>
      <c r="E310" s="9">
        <v>413.3</v>
      </c>
      <c r="F310" s="9">
        <v>94</v>
      </c>
      <c r="G310" s="9">
        <v>413.3</v>
      </c>
      <c r="W310" s="187" t="s">
        <v>376</v>
      </c>
      <c r="X310" s="132">
        <v>5</v>
      </c>
      <c r="Y310" s="132">
        <v>5</v>
      </c>
      <c r="Z310" s="132">
        <v>5</v>
      </c>
      <c r="AA310" s="132">
        <v>5</v>
      </c>
    </row>
    <row r="311" spans="2:27" ht="18" customHeight="1" x14ac:dyDescent="0.25">
      <c r="B311" s="14" t="s">
        <v>103</v>
      </c>
      <c r="C311" s="15" t="s">
        <v>101</v>
      </c>
      <c r="D311" s="9">
        <v>92</v>
      </c>
      <c r="E311" s="9">
        <v>411.7</v>
      </c>
      <c r="F311" s="9">
        <v>92</v>
      </c>
      <c r="G311" s="9">
        <v>411.7</v>
      </c>
      <c r="W311" s="187" t="s">
        <v>377</v>
      </c>
      <c r="X311" s="132">
        <v>125</v>
      </c>
      <c r="Y311" s="132">
        <v>125</v>
      </c>
      <c r="Z311" s="132">
        <v>125</v>
      </c>
      <c r="AA311" s="132">
        <v>125</v>
      </c>
    </row>
    <row r="312" spans="2:27" ht="18" customHeight="1" x14ac:dyDescent="0.25">
      <c r="B312" s="14" t="s">
        <v>103</v>
      </c>
      <c r="C312" s="15" t="s">
        <v>101</v>
      </c>
      <c r="D312" s="9">
        <v>93.1</v>
      </c>
      <c r="E312" s="9">
        <v>413.8</v>
      </c>
      <c r="F312" s="9">
        <v>93.1</v>
      </c>
      <c r="G312" s="9">
        <v>413.8</v>
      </c>
      <c r="W312" s="187" t="s">
        <v>378</v>
      </c>
      <c r="X312" s="132">
        <v>3.0414000000018859</v>
      </c>
      <c r="Y312" s="132">
        <v>11.340200000023469</v>
      </c>
      <c r="Z312" s="132">
        <v>3.0414000000018859</v>
      </c>
      <c r="AA312" s="132">
        <v>11.340200000023469</v>
      </c>
    </row>
    <row r="313" spans="2:27" ht="18" customHeight="1" x14ac:dyDescent="0.25">
      <c r="B313" s="14" t="s">
        <v>103</v>
      </c>
      <c r="C313" s="15" t="s">
        <v>101</v>
      </c>
      <c r="D313" s="9">
        <v>92.7</v>
      </c>
      <c r="E313" s="9">
        <v>412.3</v>
      </c>
      <c r="F313" s="9">
        <v>92.7</v>
      </c>
      <c r="G313" s="9">
        <v>412.3</v>
      </c>
      <c r="W313" s="187" t="s">
        <v>379</v>
      </c>
      <c r="X313" s="132">
        <v>3.5793199999985519</v>
      </c>
      <c r="Y313" s="132">
        <v>69.061279999874529</v>
      </c>
      <c r="Z313" s="132">
        <v>3.5793199999985519</v>
      </c>
      <c r="AA313" s="132">
        <v>69.061279999874529</v>
      </c>
    </row>
    <row r="314" spans="2:27" ht="18" customHeight="1" x14ac:dyDescent="0.25">
      <c r="B314" s="14" t="s">
        <v>103</v>
      </c>
      <c r="C314" s="15" t="s">
        <v>101</v>
      </c>
      <c r="D314" s="9">
        <v>93.7</v>
      </c>
      <c r="E314" s="9">
        <v>414.6</v>
      </c>
      <c r="F314" s="9">
        <v>93.7</v>
      </c>
      <c r="G314" s="9">
        <v>414.6</v>
      </c>
      <c r="W314" s="187" t="s">
        <v>380</v>
      </c>
      <c r="X314" s="132">
        <v>1.7439610087389814</v>
      </c>
      <c r="Y314" s="132">
        <v>3.3675213436626454</v>
      </c>
      <c r="Z314" s="132">
        <v>1.7439610087389814</v>
      </c>
      <c r="AA314" s="132">
        <v>3.3675213436626454</v>
      </c>
    </row>
    <row r="315" spans="2:27" ht="18" customHeight="1" x14ac:dyDescent="0.25">
      <c r="B315" s="14" t="s">
        <v>104</v>
      </c>
      <c r="C315" s="15" t="s">
        <v>101</v>
      </c>
      <c r="D315" s="9">
        <v>91.4</v>
      </c>
      <c r="E315" s="9">
        <v>401.3</v>
      </c>
      <c r="F315" s="9">
        <v>91.4</v>
      </c>
      <c r="G315" s="9">
        <v>401.3</v>
      </c>
      <c r="W315" s="187" t="s">
        <v>381</v>
      </c>
      <c r="X315" s="132">
        <v>1.86400278830588E-2</v>
      </c>
      <c r="Y315" s="132">
        <v>8.2209256780851041E-3</v>
      </c>
      <c r="Z315" s="132">
        <v>1.86400278830588E-2</v>
      </c>
      <c r="AA315" s="132">
        <v>8.2209256780851041E-3</v>
      </c>
    </row>
    <row r="316" spans="2:27" ht="18" customHeight="1" x14ac:dyDescent="0.25">
      <c r="B316" s="14" t="s">
        <v>104</v>
      </c>
      <c r="C316" s="15" t="s">
        <v>101</v>
      </c>
      <c r="D316" s="9">
        <v>91.6</v>
      </c>
      <c r="E316" s="9">
        <v>398.7</v>
      </c>
      <c r="F316" s="9">
        <v>91.6</v>
      </c>
      <c r="G316" s="9">
        <v>398.7</v>
      </c>
      <c r="W316" s="187" t="s">
        <v>382</v>
      </c>
      <c r="X316" s="132">
        <v>1.8919090887245489</v>
      </c>
      <c r="Y316" s="132">
        <v>8.3103116668314261</v>
      </c>
      <c r="Z316" s="132">
        <v>1.8919090887245489</v>
      </c>
      <c r="AA316" s="132">
        <v>8.3103116668314261</v>
      </c>
    </row>
    <row r="317" spans="2:27" ht="18" customHeight="1" x14ac:dyDescent="0.25">
      <c r="B317" s="14" t="s">
        <v>104</v>
      </c>
      <c r="C317" s="15" t="s">
        <v>101</v>
      </c>
      <c r="D317" s="9">
        <v>92.5</v>
      </c>
      <c r="E317" s="9">
        <v>399</v>
      </c>
      <c r="F317" s="9">
        <v>92.5</v>
      </c>
      <c r="G317" s="9">
        <v>399</v>
      </c>
      <c r="W317" s="187" t="s">
        <v>383</v>
      </c>
      <c r="X317" s="132">
        <v>2.0221345540022969E-2</v>
      </c>
      <c r="Y317" s="132">
        <v>2.0287460004763894E-2</v>
      </c>
      <c r="Z317" s="132">
        <v>2.0221345540022969E-2</v>
      </c>
      <c r="AA317" s="132">
        <v>2.0287460004763894E-2</v>
      </c>
    </row>
    <row r="318" spans="2:27" ht="18" customHeight="1" x14ac:dyDescent="0.25">
      <c r="B318" s="14" t="s">
        <v>104</v>
      </c>
      <c r="C318" s="15" t="s">
        <v>101</v>
      </c>
      <c r="D318" s="9">
        <v>91.2</v>
      </c>
      <c r="E318" s="9">
        <v>398.2</v>
      </c>
      <c r="F318" s="9">
        <v>91.2</v>
      </c>
      <c r="G318" s="9">
        <v>398.2</v>
      </c>
      <c r="W318" s="187" t="s">
        <v>149</v>
      </c>
      <c r="X318" s="132">
        <v>2.5730759802229777</v>
      </c>
      <c r="Y318" s="132">
        <v>8.9666872366497756</v>
      </c>
      <c r="Z318" s="132">
        <v>2.5730759802229777</v>
      </c>
      <c r="AA318" s="132">
        <v>8.9666872366497756</v>
      </c>
    </row>
    <row r="319" spans="2:27" ht="18" customHeight="1" x14ac:dyDescent="0.25">
      <c r="B319" s="14" t="s">
        <v>104</v>
      </c>
      <c r="C319" s="15" t="s">
        <v>101</v>
      </c>
      <c r="D319" s="9">
        <v>93</v>
      </c>
      <c r="E319" s="9">
        <v>402.4</v>
      </c>
      <c r="F319" s="9">
        <v>93</v>
      </c>
      <c r="G319" s="9">
        <v>402.4</v>
      </c>
      <c r="W319" s="187" t="s">
        <v>153</v>
      </c>
      <c r="X319" s="132">
        <v>2.750188093440549E-2</v>
      </c>
      <c r="Y319" s="132">
        <v>2.1889829886262108E-2</v>
      </c>
      <c r="Z319" s="132">
        <v>2.750188093440549E-2</v>
      </c>
      <c r="AA319" s="132">
        <v>2.1889829886262108E-2</v>
      </c>
    </row>
    <row r="320" spans="2:27" ht="18" customHeight="1" x14ac:dyDescent="0.25">
      <c r="B320" s="14" t="s">
        <v>105</v>
      </c>
      <c r="C320" s="15" t="s">
        <v>101</v>
      </c>
      <c r="D320" s="9">
        <v>92.9</v>
      </c>
      <c r="E320" s="9">
        <v>401.4</v>
      </c>
      <c r="F320" s="9">
        <v>92.9</v>
      </c>
      <c r="G320" s="9">
        <v>401.4</v>
      </c>
      <c r="W320" s="187" t="s">
        <v>154</v>
      </c>
      <c r="X320" s="132">
        <v>9.3662208918254084</v>
      </c>
      <c r="Y320" s="132">
        <v>5.0658124026296409</v>
      </c>
      <c r="Z320" s="132">
        <v>9.3662208918254084</v>
      </c>
      <c r="AA320" s="132">
        <v>5.0658124026296409</v>
      </c>
    </row>
    <row r="321" spans="2:27" ht="18" customHeight="1" x14ac:dyDescent="0.25">
      <c r="B321" s="14" t="s">
        <v>105</v>
      </c>
      <c r="C321" s="15" t="s">
        <v>101</v>
      </c>
      <c r="D321" s="9">
        <v>92.1</v>
      </c>
      <c r="E321" s="9">
        <v>402</v>
      </c>
      <c r="F321" s="9">
        <v>92.1</v>
      </c>
      <c r="G321" s="9">
        <v>402</v>
      </c>
      <c r="W321" s="187" t="s">
        <v>384</v>
      </c>
      <c r="X321" s="132">
        <v>36.760509890706579</v>
      </c>
      <c r="Y321" s="132">
        <v>36.760509890706579</v>
      </c>
      <c r="Z321" s="132">
        <v>36.760509890706579</v>
      </c>
      <c r="AA321" s="132">
        <v>36.760509890706579</v>
      </c>
    </row>
    <row r="322" spans="2:27" ht="18" customHeight="1" x14ac:dyDescent="0.25">
      <c r="B322" s="14" t="s">
        <v>105</v>
      </c>
      <c r="C322" s="15" t="s">
        <v>101</v>
      </c>
      <c r="D322" s="9">
        <v>94.7</v>
      </c>
      <c r="E322" s="9">
        <v>404.2</v>
      </c>
      <c r="F322" s="9">
        <v>94.7</v>
      </c>
      <c r="G322" s="9">
        <v>404.2</v>
      </c>
      <c r="W322" s="187" t="s">
        <v>385</v>
      </c>
      <c r="X322" s="132">
        <v>21.59562086729354</v>
      </c>
      <c r="Y322" s="132">
        <v>14.657988301657458</v>
      </c>
      <c r="Z322" s="132">
        <v>21.59562086729354</v>
      </c>
      <c r="AA322" s="132">
        <v>14.657988301657458</v>
      </c>
    </row>
    <row r="323" spans="2:27" ht="18" customHeight="1" x14ac:dyDescent="0.25">
      <c r="B323" s="14" t="s">
        <v>105</v>
      </c>
      <c r="C323" s="15" t="s">
        <v>101</v>
      </c>
      <c r="D323" s="9">
        <v>89.2</v>
      </c>
      <c r="E323" s="9">
        <v>399.7</v>
      </c>
      <c r="F323" s="9">
        <v>89.2</v>
      </c>
      <c r="G323" s="9">
        <v>399.7</v>
      </c>
      <c r="W323" s="187" t="s">
        <v>386</v>
      </c>
      <c r="X323" s="132">
        <v>1.3557379888958372</v>
      </c>
      <c r="Y323" s="132">
        <v>1.3557379888958372</v>
      </c>
      <c r="Z323" s="132">
        <v>1.3557379888958372</v>
      </c>
      <c r="AA323" s="132">
        <v>1.3557379888958372</v>
      </c>
    </row>
    <row r="324" spans="2:27" ht="18" customHeight="1" x14ac:dyDescent="0.25">
      <c r="B324" s="14" t="s">
        <v>105</v>
      </c>
      <c r="C324" s="15" t="s">
        <v>101</v>
      </c>
      <c r="D324" s="9">
        <v>88</v>
      </c>
      <c r="E324" s="9">
        <v>398.6</v>
      </c>
      <c r="F324" s="9">
        <v>88</v>
      </c>
      <c r="G324" s="9">
        <v>398.6</v>
      </c>
      <c r="W324" s="187" t="s">
        <v>387</v>
      </c>
      <c r="X324" s="132">
        <v>1.5184505361118663</v>
      </c>
      <c r="Y324" s="132">
        <v>1.70103258838097</v>
      </c>
      <c r="Z324" s="132">
        <v>1.5184505361118663</v>
      </c>
      <c r="AA324" s="132">
        <v>1.70103258838097</v>
      </c>
    </row>
    <row r="325" spans="2:27" ht="18" customHeight="1" x14ac:dyDescent="0.25">
      <c r="G325" s="134"/>
      <c r="W325" s="104"/>
    </row>
    <row r="326" spans="2:27" ht="18" customHeight="1" x14ac:dyDescent="0.25">
      <c r="W326" s="104"/>
    </row>
    <row r="327" spans="2:27" ht="18" customHeight="1" x14ac:dyDescent="0.25">
      <c r="C327" s="10" t="s">
        <v>164</v>
      </c>
      <c r="D327" s="188">
        <f>IF(ISNUMBER(X314),SQRT(X314),"")</f>
        <v>1.3205911588144839</v>
      </c>
      <c r="E327" s="188">
        <f t="shared" ref="E327:G327" si="32">IF(ISNUMBER(Y314),SQRT(Y314),"")</f>
        <v>1.8350807458154657</v>
      </c>
      <c r="F327" s="188">
        <f t="shared" si="32"/>
        <v>1.3205911588144839</v>
      </c>
      <c r="G327" s="188">
        <f t="shared" si="32"/>
        <v>1.8350807458154657</v>
      </c>
      <c r="W327" s="104"/>
    </row>
    <row r="328" spans="2:27" ht="18" customHeight="1" x14ac:dyDescent="0.25">
      <c r="C328" s="10" t="s">
        <v>166</v>
      </c>
      <c r="D328" s="188">
        <f>IF(ISNUMBER(X316),X316,"")</f>
        <v>1.8919090887245489</v>
      </c>
      <c r="E328" s="188">
        <f t="shared" ref="E328:G328" si="33">IF(ISNUMBER(Y316),Y316,"")</f>
        <v>8.3103116668314261</v>
      </c>
      <c r="F328" s="188">
        <f t="shared" si="33"/>
        <v>1.8919090887245489</v>
      </c>
      <c r="G328" s="188">
        <f t="shared" si="33"/>
        <v>8.3103116668314261</v>
      </c>
      <c r="W328" s="104"/>
    </row>
    <row r="329" spans="2:27" ht="18" customHeight="1" x14ac:dyDescent="0.25">
      <c r="C329" s="10" t="s">
        <v>388</v>
      </c>
      <c r="D329" s="142">
        <f>IF(ISNUMBER(X318),X318,"")</f>
        <v>2.5730759802229777</v>
      </c>
      <c r="E329" s="142">
        <f t="shared" ref="E329:G329" si="34">IF(ISNUMBER(Y318),Y318,"")</f>
        <v>8.9666872366497756</v>
      </c>
      <c r="F329" s="142">
        <f t="shared" si="34"/>
        <v>2.5730759802229777</v>
      </c>
      <c r="G329" s="142">
        <f t="shared" si="34"/>
        <v>8.9666872366497756</v>
      </c>
      <c r="I329" s="82"/>
      <c r="W329" s="104"/>
    </row>
    <row r="330" spans="2:27" ht="18" customHeight="1" x14ac:dyDescent="0.25">
      <c r="C330" s="10"/>
      <c r="W330" s="104"/>
    </row>
    <row r="331" spans="2:27" ht="18" customHeight="1" x14ac:dyDescent="0.25">
      <c r="C331" s="10" t="s">
        <v>96</v>
      </c>
      <c r="D331" s="189">
        <f>IF(ISNUMBER(X315),X315,"")</f>
        <v>1.86400278830588E-2</v>
      </c>
      <c r="E331" s="189">
        <f t="shared" ref="E331:G331" si="35">IF(ISNUMBER(Y315),Y315,"")</f>
        <v>8.2209256780851041E-3</v>
      </c>
      <c r="F331" s="189">
        <f t="shared" si="35"/>
        <v>1.86400278830588E-2</v>
      </c>
      <c r="G331" s="189">
        <f t="shared" si="35"/>
        <v>8.2209256780851041E-3</v>
      </c>
      <c r="W331" s="104"/>
    </row>
    <row r="332" spans="2:27" ht="18" customHeight="1" x14ac:dyDescent="0.25">
      <c r="C332" s="10" t="s">
        <v>389</v>
      </c>
      <c r="D332" s="189">
        <f>IF(ISNUMBER(X317),X317,"")</f>
        <v>2.0221345540022969E-2</v>
      </c>
      <c r="E332" s="189">
        <f>IF(ISERROR(E328/Y318),"",E328/Y318)</f>
        <v>0.92679843151710162</v>
      </c>
      <c r="F332" s="189">
        <f>IF(ISERROR(F328/Z318),"",F328/Z318)</f>
        <v>0.73527136519326564</v>
      </c>
      <c r="G332" s="189">
        <f>IF(ISERROR(G328/AA318),"",G328/AA318)</f>
        <v>0.92679843151710162</v>
      </c>
      <c r="W332" s="104"/>
    </row>
    <row r="333" spans="2:27" ht="18" customHeight="1" x14ac:dyDescent="0.25">
      <c r="C333" s="10" t="s">
        <v>97</v>
      </c>
      <c r="D333" s="189">
        <f>IF(ISNUMBER(X319),X319,"")</f>
        <v>2.750188093440549E-2</v>
      </c>
      <c r="E333" s="189">
        <f t="shared" ref="E333:G333" si="36">IF(ISNUMBER(Y319),Y319,"")</f>
        <v>2.1889829886262108E-2</v>
      </c>
      <c r="F333" s="189">
        <f t="shared" si="36"/>
        <v>2.750188093440549E-2</v>
      </c>
      <c r="G333" s="189">
        <f t="shared" si="36"/>
        <v>2.1889829886262108E-2</v>
      </c>
      <c r="W333" s="104"/>
    </row>
    <row r="334" spans="2:27" ht="18" customHeight="1" x14ac:dyDescent="0.25">
      <c r="W334" s="104"/>
    </row>
    <row r="335" spans="2:27" ht="18" customHeight="1" x14ac:dyDescent="0.25">
      <c r="W335" s="104"/>
    </row>
    <row r="336" spans="2:27" ht="18" customHeight="1" x14ac:dyDescent="0.25">
      <c r="C336" s="75"/>
      <c r="D336" s="75" t="s">
        <v>390</v>
      </c>
      <c r="W336" s="104"/>
    </row>
    <row r="337" spans="1:27" ht="18" customHeight="1" x14ac:dyDescent="0.25">
      <c r="C337" s="10" t="s">
        <v>391</v>
      </c>
      <c r="D337" s="189">
        <f>IF(ISNUMBER(D327),X323*D295,"")</f>
        <v>1.3557379888958372E-2</v>
      </c>
      <c r="E337" s="189">
        <f t="shared" ref="E337:G338" si="37">IF(ISNUMBER(E327),Y323*E295,"")</f>
        <v>1.3557379888958372E-2</v>
      </c>
      <c r="F337" s="189">
        <f t="shared" si="37"/>
        <v>1.3557379888958372E-2</v>
      </c>
      <c r="G337" s="189">
        <f t="shared" si="37"/>
        <v>1.3557379888958372E-2</v>
      </c>
      <c r="W337" s="104"/>
    </row>
    <row r="338" spans="1:27" ht="18" customHeight="1" x14ac:dyDescent="0.25">
      <c r="C338" s="10" t="s">
        <v>392</v>
      </c>
      <c r="D338" s="189">
        <f>IF(ISNUMBER(D328),X324*D296,"")</f>
        <v>3.947971393890852E-2</v>
      </c>
      <c r="E338" s="189">
        <f t="shared" si="37"/>
        <v>4.4226847297905221E-2</v>
      </c>
      <c r="F338" s="189">
        <f t="shared" si="37"/>
        <v>3.947971393890852E-2</v>
      </c>
      <c r="G338" s="189">
        <f t="shared" si="37"/>
        <v>4.4226847297905221E-2</v>
      </c>
      <c r="W338" s="104"/>
    </row>
    <row r="339" spans="1:27" ht="18" customHeight="1" x14ac:dyDescent="0.25">
      <c r="W339" s="104"/>
    </row>
    <row r="340" spans="1:27" ht="18" customHeight="1" x14ac:dyDescent="0.25">
      <c r="D340" s="94" t="s">
        <v>393</v>
      </c>
      <c r="E340" s="94"/>
      <c r="F340" s="94"/>
      <c r="G340" s="94"/>
      <c r="W340" s="104"/>
    </row>
    <row r="341" spans="1:27" ht="18" customHeight="1" x14ac:dyDescent="0.25">
      <c r="C341" s="8"/>
      <c r="D341" s="6" t="s">
        <v>91</v>
      </c>
      <c r="E341" s="6" t="s">
        <v>92</v>
      </c>
      <c r="F341" s="6" t="s">
        <v>93</v>
      </c>
      <c r="G341" s="6" t="s">
        <v>94</v>
      </c>
      <c r="W341" s="104"/>
    </row>
    <row r="342" spans="1:27" ht="18" customHeight="1" x14ac:dyDescent="0.25">
      <c r="C342" s="8" t="s">
        <v>164</v>
      </c>
      <c r="D342" s="190" t="str">
        <f>IF(D327="","",IF(D331&gt;D337, "Fail","Pass"))</f>
        <v>Fail</v>
      </c>
      <c r="E342" s="190" t="str">
        <f t="shared" ref="E342:G342" si="38">IF(E327="","",IF(E331&gt;E337, "Fail","Pass"))</f>
        <v>Pass</v>
      </c>
      <c r="F342" s="190" t="str">
        <f t="shared" si="38"/>
        <v>Fail</v>
      </c>
      <c r="G342" s="190" t="str">
        <f t="shared" si="38"/>
        <v>Pass</v>
      </c>
      <c r="W342" s="104"/>
      <c r="X342" s="191"/>
      <c r="Y342" s="191"/>
      <c r="Z342" s="191"/>
      <c r="AA342" s="191"/>
    </row>
    <row r="343" spans="1:27" ht="18" customHeight="1" x14ac:dyDescent="0.25">
      <c r="C343" s="8" t="s">
        <v>394</v>
      </c>
      <c r="D343" s="190" t="str">
        <f>IF(D328="","",IF(D333&gt;D338, "Fail","Pass"))</f>
        <v>Pass</v>
      </c>
      <c r="E343" s="190" t="str">
        <f t="shared" ref="E343:G343" si="39">IF(E328="","",IF(E333&gt;E338, "Fail","Pass"))</f>
        <v>Pass</v>
      </c>
      <c r="F343" s="190" t="str">
        <f t="shared" si="39"/>
        <v>Pass</v>
      </c>
      <c r="G343" s="190" t="str">
        <f t="shared" si="39"/>
        <v>Pass</v>
      </c>
      <c r="W343" s="104"/>
      <c r="X343" s="134"/>
      <c r="Y343" s="134"/>
      <c r="Z343" s="134"/>
      <c r="AA343" s="134"/>
    </row>
    <row r="344" spans="1:27" ht="18" customHeight="1" x14ac:dyDescent="0.25">
      <c r="W344" s="104"/>
      <c r="X344" s="134"/>
      <c r="Y344" s="134"/>
      <c r="Z344" s="134"/>
      <c r="AA344" s="134"/>
    </row>
    <row r="345" spans="1:27" ht="18" customHeight="1" x14ac:dyDescent="0.25">
      <c r="A345" s="4"/>
      <c r="W345" s="104"/>
      <c r="X345" s="134"/>
      <c r="Y345" s="134"/>
      <c r="Z345" s="134"/>
      <c r="AA345" s="134"/>
    </row>
    <row r="346" spans="1:27" ht="18" customHeight="1" x14ac:dyDescent="0.25">
      <c r="D346" s="4" t="s">
        <v>395</v>
      </c>
      <c r="E346" s="86"/>
      <c r="F346" s="86"/>
      <c r="G346" s="86"/>
      <c r="W346" s="104"/>
      <c r="X346" s="134"/>
      <c r="Y346" s="134"/>
      <c r="Z346" s="134"/>
      <c r="AA346" s="134"/>
    </row>
    <row r="347" spans="1:27" ht="18" customHeight="1" x14ac:dyDescent="0.25">
      <c r="D347" s="6" t="s">
        <v>91</v>
      </c>
      <c r="E347" s="6" t="s">
        <v>92</v>
      </c>
      <c r="F347" s="6" t="s">
        <v>93</v>
      </c>
      <c r="G347" s="6" t="s">
        <v>94</v>
      </c>
      <c r="V347" s="104"/>
      <c r="W347" s="8"/>
    </row>
    <row r="348" spans="1:27" ht="18" customHeight="1" x14ac:dyDescent="0.25">
      <c r="C348" s="8" t="s">
        <v>95</v>
      </c>
      <c r="D348" s="172">
        <f>IF(ISNUMBER(X318),X318,"")</f>
        <v>2.5730759802229777</v>
      </c>
      <c r="E348" s="172">
        <f>IF(ISNUMBER(Y318),Y318,"")</f>
        <v>8.9666872366497756</v>
      </c>
      <c r="F348" s="172">
        <f>IF(ISNUMBER(Z318),Z318,"")</f>
        <v>2.5730759802229777</v>
      </c>
      <c r="G348" s="172">
        <f>IF(ISNUMBER(AA318),AA318,"")</f>
        <v>8.9666872366497756</v>
      </c>
      <c r="V348" s="104"/>
      <c r="W348" s="104"/>
    </row>
    <row r="349" spans="1:27" ht="18" customHeight="1" x14ac:dyDescent="0.25">
      <c r="C349" s="8" t="s">
        <v>396</v>
      </c>
      <c r="D349" s="192" t="e">
        <f>IF(ISNUMBER(D348),IF(D348&lt;$J8,$J4/D348,$J6),"")</f>
        <v>#REF!</v>
      </c>
      <c r="E349" s="192" t="e">
        <f>IF(ISNUMBER(E348),IF(E348&lt;$J8,$J4/E348,$J6),"")</f>
        <v>#REF!</v>
      </c>
      <c r="F349" s="192" t="e">
        <f>IF(ISNUMBER(F348),IF(F348&lt;$J8,$J4/F348,$J6),"")</f>
        <v>#REF!</v>
      </c>
      <c r="G349" s="192" t="e">
        <f>IF(ISNUMBER(G348),IF(G348&lt;$J8,$J4/G348,$J6),"")</f>
        <v>#REF!</v>
      </c>
      <c r="V349" s="104"/>
      <c r="W349" s="8"/>
    </row>
    <row r="350" spans="1:27" ht="18" customHeight="1" x14ac:dyDescent="0.25">
      <c r="C350" s="8" t="s">
        <v>397</v>
      </c>
      <c r="D350" s="193" t="e">
        <f>IF(ISNUMBER(D333),D349/D333,"")</f>
        <v>#REF!</v>
      </c>
      <c r="E350" s="193" t="e">
        <f>IF(ISNUMBER(E333),E349/E333,"")</f>
        <v>#REF!</v>
      </c>
      <c r="F350" s="193" t="e">
        <f>IF(ISNUMBER(F333),F349/F333,"")</f>
        <v>#REF!</v>
      </c>
      <c r="G350" s="193" t="e">
        <f>IF(ISNUMBER(G333),G349/G333,"")</f>
        <v>#REF!</v>
      </c>
      <c r="V350" s="104"/>
      <c r="W350" s="104"/>
    </row>
    <row r="351" spans="1:27" ht="18" customHeight="1" x14ac:dyDescent="0.25">
      <c r="C351" s="8" t="s">
        <v>398</v>
      </c>
      <c r="D351" s="194" t="str">
        <f>IF(ISNUMBER(D350),IF(D350&lt;4,"Poor",IF(AND(D350&gt;=4,D350&lt;6),"Acceptable",IF(D350&gt;6,"Good",""))),"")</f>
        <v/>
      </c>
      <c r="E351" s="194" t="str">
        <f>IF(ISNUMBER(E350),IF(E350&lt;4,"Poor",IF(AND(E350&gt;=4,E350&lt;6),"Acceptable",IF(E350&gt;6,"Good",""))),"")</f>
        <v/>
      </c>
      <c r="F351" s="194" t="str">
        <f>IF(ISNUMBER(F350),IF(F350&lt;4,"Poor",IF(AND(F350&gt;=4,F350&lt;6),"Acceptable",IF(F350&gt;6,"Good",""))),"")</f>
        <v/>
      </c>
      <c r="G351" s="194" t="str">
        <f>IF(ISNUMBER(G350),IF(G350&lt;4,"Poor",IF(AND(G350&gt;=4,G350&lt;6),"Acceptable",IF(G350&gt;6,"Good",""))),"")</f>
        <v/>
      </c>
      <c r="V351" s="104"/>
      <c r="W351" s="104"/>
    </row>
    <row r="352" spans="1:27" ht="18" customHeight="1" x14ac:dyDescent="0.25">
      <c r="A352" s="75"/>
      <c r="V352" s="104"/>
      <c r="W352" s="104"/>
    </row>
    <row r="353" spans="1:27" ht="18" customHeight="1" x14ac:dyDescent="0.25">
      <c r="V353" s="104"/>
      <c r="W353" s="104"/>
    </row>
    <row r="354" spans="1:27" ht="18" customHeight="1" x14ac:dyDescent="0.25">
      <c r="D354" s="75" t="s">
        <v>399</v>
      </c>
      <c r="V354" s="104"/>
      <c r="W354" s="104"/>
    </row>
    <row r="355" spans="1:27" ht="18" customHeight="1" x14ac:dyDescent="0.25">
      <c r="C355" s="10" t="s">
        <v>400</v>
      </c>
      <c r="D355" s="195" t="e">
        <v>#REF!</v>
      </c>
      <c r="G355" s="76" t="s">
        <v>401</v>
      </c>
      <c r="W355" s="104"/>
      <c r="X355" s="196"/>
      <c r="Y355" s="196"/>
      <c r="Z355" s="196"/>
      <c r="AA355" s="196"/>
    </row>
    <row r="356" spans="1:27" ht="18" customHeight="1" x14ac:dyDescent="0.25">
      <c r="C356" s="10" t="s">
        <v>402</v>
      </c>
      <c r="D356" s="195" t="e">
        <v>#REF!</v>
      </c>
      <c r="F356" s="10" t="s">
        <v>403</v>
      </c>
      <c r="G356" s="197" t="str">
        <f>IF(AND(ISNUMBER(D355),ISNUMBER(D356)),IF(D357="Optimal",0.25*D355,IF(D357="Desirable",0.5*D355,0.75*D355)),"")</f>
        <v/>
      </c>
    </row>
    <row r="357" spans="1:27" ht="18" customHeight="1" x14ac:dyDescent="0.25">
      <c r="C357" s="10" t="s">
        <v>404</v>
      </c>
      <c r="D357" s="198" t="s">
        <v>405</v>
      </c>
      <c r="F357" s="10" t="s">
        <v>329</v>
      </c>
      <c r="G357" s="197" t="str">
        <f>IF(AND(ISNUMBER(D355),ISNUMBER(D356)),IF(D357="Optimal",0.125*SQRT(D355^2+D356^2),IF(D357="Desirable",0.25*SQRT(D355^2+D356^2),0.375*SQRT(D355^2+D356^2))),"")</f>
        <v/>
      </c>
    </row>
    <row r="358" spans="1:27" ht="18" customHeight="1" x14ac:dyDescent="0.25">
      <c r="C358" s="10" t="s">
        <v>406</v>
      </c>
      <c r="D358" s="198">
        <v>0.05</v>
      </c>
      <c r="F358" s="10" t="s">
        <v>407</v>
      </c>
      <c r="G358" s="197" t="str">
        <f>IF(AND(ISNUMBER(D355),ISNUMBER(D356)),G357+_xlfn.NORM.INV(1-D358,0,1)*G356,"")</f>
        <v/>
      </c>
    </row>
    <row r="360" spans="1:27" ht="18" customHeight="1" x14ac:dyDescent="0.25">
      <c r="C360" s="8"/>
      <c r="D360" s="4" t="s">
        <v>390</v>
      </c>
      <c r="E360" s="86"/>
      <c r="F360" s="86"/>
      <c r="G360" s="86"/>
    </row>
    <row r="361" spans="1:27" ht="18" customHeight="1" x14ac:dyDescent="0.25">
      <c r="A361" s="75"/>
      <c r="C361" s="8"/>
      <c r="D361" s="6" t="s">
        <v>91</v>
      </c>
      <c r="E361" s="6" t="s">
        <v>92</v>
      </c>
      <c r="F361" s="6" t="s">
        <v>93</v>
      </c>
      <c r="G361" s="6" t="s">
        <v>94</v>
      </c>
    </row>
    <row r="362" spans="1:27" ht="18" customHeight="1" x14ac:dyDescent="0.25">
      <c r="C362" s="8" t="s">
        <v>164</v>
      </c>
      <c r="D362" s="199" t="str">
        <f>IF(AND(ISNUMBER($G356),ISNUMBER(X323)),$G356*X323,"")</f>
        <v/>
      </c>
      <c r="E362" s="199" t="str">
        <f t="shared" ref="E362:G362" si="40">IF(AND(ISNUMBER($G356),ISNUMBER(Y323)),$G356*Y323,"")</f>
        <v/>
      </c>
      <c r="F362" s="199" t="str">
        <f t="shared" si="40"/>
        <v/>
      </c>
      <c r="G362" s="199" t="str">
        <f t="shared" si="40"/>
        <v/>
      </c>
    </row>
    <row r="363" spans="1:27" ht="18" customHeight="1" x14ac:dyDescent="0.25">
      <c r="C363" s="8" t="s">
        <v>394</v>
      </c>
      <c r="D363" s="199" t="str">
        <f>IF(AND(ISNUMBER($G356),ISNUMBER(X324)),$G356*X324,"")</f>
        <v/>
      </c>
      <c r="E363" s="199" t="str">
        <f t="shared" ref="E363:G363" si="41">IF(AND(ISNUMBER($G356),ISNUMBER(Y324)),$G356*Y324,"")</f>
        <v/>
      </c>
      <c r="F363" s="199" t="str">
        <f t="shared" si="41"/>
        <v/>
      </c>
      <c r="G363" s="199" t="str">
        <f t="shared" si="41"/>
        <v/>
      </c>
    </row>
    <row r="364" spans="1:27" ht="18" customHeight="1" x14ac:dyDescent="0.25">
      <c r="C364" s="8"/>
      <c r="D364" s="200"/>
      <c r="E364" s="200"/>
      <c r="F364" s="200"/>
      <c r="G364" s="200"/>
    </row>
    <row r="365" spans="1:27" ht="18" customHeight="1" x14ac:dyDescent="0.25">
      <c r="C365" s="8"/>
      <c r="D365" s="4" t="s">
        <v>408</v>
      </c>
      <c r="E365" s="86"/>
      <c r="F365" s="86"/>
      <c r="G365" s="86"/>
    </row>
    <row r="366" spans="1:27" ht="18" customHeight="1" x14ac:dyDescent="0.25">
      <c r="C366" s="8" t="s">
        <v>164</v>
      </c>
      <c r="D366" s="190" t="str">
        <f>IF(NOT(ISNUMBER(D362)),"",IF(D331&gt;D362,"Fail","Pass"))</f>
        <v/>
      </c>
      <c r="E366" s="190" t="str">
        <f>IF(NOT(ISNUMBER(E362)),"",IF(E331&gt;E362,"Fail","Pass"))</f>
        <v/>
      </c>
      <c r="F366" s="190" t="str">
        <f>IF(NOT(ISNUMBER(F362)),"",IF(F331&gt;F362,"Fail","Pass"))</f>
        <v/>
      </c>
      <c r="G366" s="190" t="str">
        <f>IF(NOT(ISNUMBER(G362)),"",IF(G331&gt;G362,"Fail","Pass"))</f>
        <v/>
      </c>
    </row>
    <row r="367" spans="1:27" ht="18" customHeight="1" x14ac:dyDescent="0.25">
      <c r="C367" s="8" t="s">
        <v>394</v>
      </c>
      <c r="D367" s="190" t="str">
        <f>IF(NOT(ISNUMBER(D363)),"",IF(D333&gt;D363,"Fail","Pass"))</f>
        <v/>
      </c>
      <c r="E367" s="190" t="str">
        <f>IF(NOT(ISNUMBER(E363)),"",IF(E333&gt;E363,"Fail","Pass"))</f>
        <v/>
      </c>
      <c r="F367" s="190" t="str">
        <f>IF(NOT(ISNUMBER(F363)),"",IF(F333&gt;F363,"Fail","Pass"))</f>
        <v/>
      </c>
      <c r="G367" s="190" t="str">
        <f>IF(NOT(ISNUMBER(G363)),"",IF(G333&gt;G363,"Fail","Pass"))</f>
        <v/>
      </c>
    </row>
    <row r="370" spans="1:13" s="108" customFormat="1" ht="18" customHeight="1" x14ac:dyDescent="0.25">
      <c r="A370" s="106"/>
      <c r="B370" s="106" t="s">
        <v>409</v>
      </c>
    </row>
    <row r="371" spans="1:13" s="185" customFormat="1" ht="18" customHeight="1" x14ac:dyDescent="0.25">
      <c r="A371" s="184"/>
      <c r="B371" s="184"/>
    </row>
    <row r="372" spans="1:13" ht="18" customHeight="1" x14ac:dyDescent="0.25">
      <c r="A372" s="75"/>
      <c r="B372" s="3" t="s">
        <v>410</v>
      </c>
    </row>
    <row r="373" spans="1:13" ht="18" customHeight="1" x14ac:dyDescent="0.25">
      <c r="A373" s="201"/>
      <c r="B373" s="299"/>
      <c r="C373" s="300"/>
      <c r="D373" s="300"/>
      <c r="E373" s="300"/>
      <c r="F373" s="300"/>
      <c r="G373" s="300"/>
      <c r="H373" s="300"/>
      <c r="I373" s="300"/>
      <c r="J373" s="300"/>
      <c r="K373" s="300"/>
      <c r="L373" s="300"/>
      <c r="M373" s="301"/>
    </row>
    <row r="374" spans="1:13" ht="18" customHeight="1" x14ac:dyDescent="0.25">
      <c r="A374" s="75"/>
      <c r="B374" s="302"/>
      <c r="C374" s="303"/>
      <c r="D374" s="303"/>
      <c r="E374" s="303"/>
      <c r="F374" s="303"/>
      <c r="G374" s="303"/>
      <c r="H374" s="303"/>
      <c r="I374" s="303"/>
      <c r="J374" s="303"/>
      <c r="K374" s="303"/>
      <c r="L374" s="303"/>
      <c r="M374" s="304"/>
    </row>
    <row r="375" spans="1:13" ht="18" customHeight="1" x14ac:dyDescent="0.25">
      <c r="A375" s="75"/>
      <c r="B375" s="302"/>
      <c r="C375" s="303"/>
      <c r="D375" s="303"/>
      <c r="E375" s="303"/>
      <c r="F375" s="303"/>
      <c r="G375" s="303"/>
      <c r="H375" s="303"/>
      <c r="I375" s="303"/>
      <c r="J375" s="303"/>
      <c r="K375" s="303"/>
      <c r="L375" s="303"/>
      <c r="M375" s="304"/>
    </row>
    <row r="376" spans="1:13" ht="18" customHeight="1" x14ac:dyDescent="0.25">
      <c r="A376" s="75"/>
      <c r="B376" s="305"/>
      <c r="C376" s="306"/>
      <c r="D376" s="306"/>
      <c r="E376" s="306"/>
      <c r="F376" s="306"/>
      <c r="G376" s="306"/>
      <c r="H376" s="306"/>
      <c r="I376" s="306"/>
      <c r="J376" s="306"/>
      <c r="K376" s="306"/>
      <c r="L376" s="306"/>
      <c r="M376" s="307"/>
    </row>
    <row r="377" spans="1:13" ht="18" customHeight="1" x14ac:dyDescent="0.25">
      <c r="A377" s="75"/>
    </row>
    <row r="378" spans="1:13" ht="18" customHeight="1" x14ac:dyDescent="0.25">
      <c r="A378" s="75"/>
    </row>
    <row r="379" spans="1:13" ht="18" customHeight="1" x14ac:dyDescent="0.25">
      <c r="B379" s="75" t="s">
        <v>411</v>
      </c>
    </row>
    <row r="380" spans="1:13" ht="18" customHeight="1" x14ac:dyDescent="0.25">
      <c r="B380" s="83" t="s">
        <v>412</v>
      </c>
      <c r="C380" s="83" t="s">
        <v>413</v>
      </c>
      <c r="G380" s="83" t="s">
        <v>412</v>
      </c>
      <c r="H380" s="83" t="s">
        <v>413</v>
      </c>
    </row>
    <row r="381" spans="1:13" ht="18" customHeight="1" x14ac:dyDescent="0.25">
      <c r="A381" s="10"/>
      <c r="B381" s="135">
        <v>30</v>
      </c>
      <c r="C381" s="135">
        <v>110</v>
      </c>
      <c r="G381" s="135">
        <v>30</v>
      </c>
      <c r="H381" s="135">
        <v>110</v>
      </c>
    </row>
    <row r="383" spans="1:13" ht="18" customHeight="1" x14ac:dyDescent="0.25">
      <c r="B383" s="3" t="s">
        <v>2</v>
      </c>
      <c r="C383" s="3" t="s">
        <v>289</v>
      </c>
      <c r="D383" s="3" t="s">
        <v>414</v>
      </c>
      <c r="G383" s="3" t="s">
        <v>2</v>
      </c>
      <c r="H383" s="3" t="s">
        <v>289</v>
      </c>
      <c r="I383" s="3" t="s">
        <v>414</v>
      </c>
    </row>
    <row r="384" spans="1:13" ht="18" customHeight="1" x14ac:dyDescent="0.25">
      <c r="A384" s="3">
        <v>1</v>
      </c>
      <c r="B384" s="198" t="s">
        <v>415</v>
      </c>
      <c r="C384" s="198" t="s">
        <v>416</v>
      </c>
      <c r="D384" s="198">
        <v>61</v>
      </c>
      <c r="E384" s="132">
        <f t="shared" ref="E384:E423" si="42">IF(AND(ISNUMBER(B$381),ISNUMBER(C$381),ISNUMBER(D384)),IF(AND(D384&gt;=B$381,D384&lt;=C$381),0,1),"")</f>
        <v>0</v>
      </c>
      <c r="G384" s="198" t="s">
        <v>415</v>
      </c>
      <c r="H384" s="198" t="s">
        <v>416</v>
      </c>
      <c r="I384" s="198">
        <v>61</v>
      </c>
      <c r="J384" s="132">
        <f t="shared" ref="J384:J423" si="43">IF(AND(ISNUMBER(G$381),ISNUMBER(H$381),ISNUMBER(I384)),IF(AND(I384&gt;=G$381,I384&lt;=H$381),0,1),"")</f>
        <v>0</v>
      </c>
    </row>
    <row r="385" spans="1:10" ht="18" customHeight="1" x14ac:dyDescent="0.25">
      <c r="A385" s="3">
        <v>2</v>
      </c>
      <c r="B385" s="198" t="s">
        <v>417</v>
      </c>
      <c r="C385" s="198" t="s">
        <v>418</v>
      </c>
      <c r="D385" s="198">
        <v>97</v>
      </c>
      <c r="E385" s="132">
        <f t="shared" si="42"/>
        <v>0</v>
      </c>
      <c r="G385" s="198" t="s">
        <v>417</v>
      </c>
      <c r="H385" s="198" t="s">
        <v>418</v>
      </c>
      <c r="I385" s="198">
        <v>97</v>
      </c>
      <c r="J385" s="132">
        <f t="shared" si="43"/>
        <v>0</v>
      </c>
    </row>
    <row r="386" spans="1:10" ht="18" customHeight="1" x14ac:dyDescent="0.25">
      <c r="A386" s="3">
        <v>3</v>
      </c>
      <c r="B386" s="198" t="s">
        <v>419</v>
      </c>
      <c r="C386" s="198" t="s">
        <v>420</v>
      </c>
      <c r="D386" s="198">
        <v>93</v>
      </c>
      <c r="E386" s="132">
        <f t="shared" si="42"/>
        <v>0</v>
      </c>
      <c r="G386" s="198" t="s">
        <v>419</v>
      </c>
      <c r="H386" s="198" t="s">
        <v>420</v>
      </c>
      <c r="I386" s="198">
        <v>93</v>
      </c>
      <c r="J386" s="132">
        <f t="shared" si="43"/>
        <v>0</v>
      </c>
    </row>
    <row r="387" spans="1:10" ht="18" customHeight="1" x14ac:dyDescent="0.25">
      <c r="A387" s="3">
        <v>4</v>
      </c>
      <c r="B387" s="198" t="s">
        <v>421</v>
      </c>
      <c r="C387" s="198" t="s">
        <v>422</v>
      </c>
      <c r="D387" s="198">
        <v>48</v>
      </c>
      <c r="E387" s="132">
        <f t="shared" si="42"/>
        <v>0</v>
      </c>
      <c r="G387" s="198" t="s">
        <v>421</v>
      </c>
      <c r="H387" s="198" t="s">
        <v>422</v>
      </c>
      <c r="I387" s="198">
        <v>48</v>
      </c>
      <c r="J387" s="132">
        <f t="shared" si="43"/>
        <v>0</v>
      </c>
    </row>
    <row r="388" spans="1:10" ht="18" customHeight="1" x14ac:dyDescent="0.25">
      <c r="A388" s="3">
        <v>5</v>
      </c>
      <c r="B388" s="198" t="s">
        <v>423</v>
      </c>
      <c r="C388" s="198" t="s">
        <v>424</v>
      </c>
      <c r="D388" s="198">
        <v>52</v>
      </c>
      <c r="E388" s="132">
        <f t="shared" si="42"/>
        <v>0</v>
      </c>
      <c r="G388" s="198" t="s">
        <v>423</v>
      </c>
      <c r="H388" s="198" t="s">
        <v>424</v>
      </c>
      <c r="I388" s="198">
        <v>52</v>
      </c>
      <c r="J388" s="132">
        <f t="shared" si="43"/>
        <v>0</v>
      </c>
    </row>
    <row r="389" spans="1:10" ht="18" customHeight="1" x14ac:dyDescent="0.25">
      <c r="A389" s="3">
        <v>6</v>
      </c>
      <c r="B389" s="198" t="s">
        <v>425</v>
      </c>
      <c r="C389" s="198" t="s">
        <v>426</v>
      </c>
      <c r="D389" s="198">
        <v>52</v>
      </c>
      <c r="E389" s="132">
        <f t="shared" si="42"/>
        <v>0</v>
      </c>
      <c r="G389" s="198" t="s">
        <v>425</v>
      </c>
      <c r="H389" s="198" t="s">
        <v>426</v>
      </c>
      <c r="I389" s="198">
        <v>52</v>
      </c>
      <c r="J389" s="132">
        <f t="shared" si="43"/>
        <v>0</v>
      </c>
    </row>
    <row r="390" spans="1:10" ht="18" customHeight="1" x14ac:dyDescent="0.25">
      <c r="A390" s="3">
        <v>7</v>
      </c>
      <c r="B390" s="198" t="s">
        <v>427</v>
      </c>
      <c r="C390" s="198" t="s">
        <v>428</v>
      </c>
      <c r="D390" s="198">
        <v>41</v>
      </c>
      <c r="E390" s="132">
        <f t="shared" si="42"/>
        <v>0</v>
      </c>
      <c r="G390" s="198" t="s">
        <v>427</v>
      </c>
      <c r="H390" s="198" t="s">
        <v>428</v>
      </c>
      <c r="I390" s="198">
        <v>41</v>
      </c>
      <c r="J390" s="132">
        <f t="shared" si="43"/>
        <v>0</v>
      </c>
    </row>
    <row r="391" spans="1:10" ht="18" customHeight="1" x14ac:dyDescent="0.25">
      <c r="A391" s="3">
        <v>8</v>
      </c>
      <c r="B391" s="198" t="s">
        <v>429</v>
      </c>
      <c r="C391" s="198" t="s">
        <v>430</v>
      </c>
      <c r="D391" s="198">
        <v>75</v>
      </c>
      <c r="E391" s="132">
        <f t="shared" si="42"/>
        <v>0</v>
      </c>
      <c r="G391" s="198" t="s">
        <v>429</v>
      </c>
      <c r="H391" s="198" t="s">
        <v>430</v>
      </c>
      <c r="I391" s="198">
        <v>75</v>
      </c>
      <c r="J391" s="132">
        <f t="shared" si="43"/>
        <v>0</v>
      </c>
    </row>
    <row r="392" spans="1:10" ht="18" customHeight="1" x14ac:dyDescent="0.25">
      <c r="A392" s="3">
        <v>9</v>
      </c>
      <c r="B392" s="198" t="s">
        <v>431</v>
      </c>
      <c r="C392" s="198" t="s">
        <v>432</v>
      </c>
      <c r="D392" s="198">
        <v>123</v>
      </c>
      <c r="E392" s="132">
        <f t="shared" si="42"/>
        <v>1</v>
      </c>
      <c r="G392" s="198" t="s">
        <v>431</v>
      </c>
      <c r="H392" s="198" t="s">
        <v>432</v>
      </c>
      <c r="I392" s="198">
        <v>123</v>
      </c>
      <c r="J392" s="132">
        <f t="shared" si="43"/>
        <v>1</v>
      </c>
    </row>
    <row r="393" spans="1:10" ht="18" customHeight="1" x14ac:dyDescent="0.25">
      <c r="A393" s="3">
        <v>10</v>
      </c>
      <c r="B393" s="198" t="s">
        <v>433</v>
      </c>
      <c r="C393" s="198" t="s">
        <v>434</v>
      </c>
      <c r="D393" s="198">
        <v>55</v>
      </c>
      <c r="E393" s="132">
        <f t="shared" si="42"/>
        <v>0</v>
      </c>
      <c r="G393" s="198" t="s">
        <v>433</v>
      </c>
      <c r="H393" s="198" t="s">
        <v>434</v>
      </c>
      <c r="I393" s="198">
        <v>55</v>
      </c>
      <c r="J393" s="132">
        <f t="shared" si="43"/>
        <v>0</v>
      </c>
    </row>
    <row r="394" spans="1:10" ht="18" customHeight="1" x14ac:dyDescent="0.25">
      <c r="A394" s="3">
        <v>11</v>
      </c>
      <c r="B394" s="198" t="s">
        <v>435</v>
      </c>
      <c r="C394" s="198" t="s">
        <v>436</v>
      </c>
      <c r="D394" s="198">
        <v>56</v>
      </c>
      <c r="E394" s="132">
        <f t="shared" si="42"/>
        <v>0</v>
      </c>
      <c r="G394" s="198" t="s">
        <v>435</v>
      </c>
      <c r="H394" s="198" t="s">
        <v>436</v>
      </c>
      <c r="I394" s="198">
        <v>56</v>
      </c>
      <c r="J394" s="132">
        <f t="shared" si="43"/>
        <v>0</v>
      </c>
    </row>
    <row r="395" spans="1:10" ht="18" customHeight="1" x14ac:dyDescent="0.25">
      <c r="A395" s="3">
        <v>12</v>
      </c>
      <c r="B395" s="198" t="s">
        <v>437</v>
      </c>
      <c r="C395" s="198" t="s">
        <v>438</v>
      </c>
      <c r="D395" s="198">
        <v>111</v>
      </c>
      <c r="E395" s="132">
        <f t="shared" si="42"/>
        <v>1</v>
      </c>
      <c r="G395" s="198" t="s">
        <v>437</v>
      </c>
      <c r="H395" s="198" t="s">
        <v>438</v>
      </c>
      <c r="I395" s="198">
        <v>111</v>
      </c>
      <c r="J395" s="132">
        <f t="shared" si="43"/>
        <v>1</v>
      </c>
    </row>
    <row r="396" spans="1:10" ht="18" customHeight="1" x14ac:dyDescent="0.25">
      <c r="A396" s="3">
        <v>13</v>
      </c>
      <c r="B396" s="198" t="s">
        <v>439</v>
      </c>
      <c r="C396" s="198" t="s">
        <v>440</v>
      </c>
      <c r="D396" s="198">
        <v>74</v>
      </c>
      <c r="E396" s="132">
        <f t="shared" si="42"/>
        <v>0</v>
      </c>
      <c r="G396" s="198" t="s">
        <v>439</v>
      </c>
      <c r="H396" s="198" t="s">
        <v>440</v>
      </c>
      <c r="I396" s="198">
        <v>74</v>
      </c>
      <c r="J396" s="132">
        <f t="shared" si="43"/>
        <v>0</v>
      </c>
    </row>
    <row r="397" spans="1:10" ht="18" customHeight="1" x14ac:dyDescent="0.25">
      <c r="A397" s="3">
        <v>14</v>
      </c>
      <c r="B397" s="198" t="s">
        <v>441</v>
      </c>
      <c r="C397" s="198" t="s">
        <v>442</v>
      </c>
      <c r="D397" s="198">
        <v>73</v>
      </c>
      <c r="E397" s="132">
        <f t="shared" si="42"/>
        <v>0</v>
      </c>
      <c r="G397" s="198" t="s">
        <v>441</v>
      </c>
      <c r="H397" s="198" t="s">
        <v>442</v>
      </c>
      <c r="I397" s="198">
        <v>73</v>
      </c>
      <c r="J397" s="132">
        <f t="shared" si="43"/>
        <v>0</v>
      </c>
    </row>
    <row r="398" spans="1:10" ht="18" customHeight="1" x14ac:dyDescent="0.25">
      <c r="A398" s="3">
        <v>15</v>
      </c>
      <c r="B398" s="198" t="s">
        <v>443</v>
      </c>
      <c r="C398" s="198" t="s">
        <v>444</v>
      </c>
      <c r="D398" s="198">
        <v>67</v>
      </c>
      <c r="E398" s="132">
        <f t="shared" si="42"/>
        <v>0</v>
      </c>
      <c r="G398" s="198" t="s">
        <v>443</v>
      </c>
      <c r="H398" s="198" t="s">
        <v>444</v>
      </c>
      <c r="I398" s="198">
        <v>67</v>
      </c>
      <c r="J398" s="132">
        <f t="shared" si="43"/>
        <v>0</v>
      </c>
    </row>
    <row r="399" spans="1:10" ht="18" customHeight="1" x14ac:dyDescent="0.25">
      <c r="A399" s="3">
        <v>16</v>
      </c>
      <c r="B399" s="198" t="s">
        <v>445</v>
      </c>
      <c r="C399" s="198" t="s">
        <v>446</v>
      </c>
      <c r="D399" s="198">
        <v>95</v>
      </c>
      <c r="E399" s="132">
        <f t="shared" si="42"/>
        <v>0</v>
      </c>
      <c r="G399" s="198" t="s">
        <v>445</v>
      </c>
      <c r="H399" s="198" t="s">
        <v>446</v>
      </c>
      <c r="I399" s="198">
        <v>95</v>
      </c>
      <c r="J399" s="132">
        <f t="shared" si="43"/>
        <v>0</v>
      </c>
    </row>
    <row r="400" spans="1:10" ht="18" customHeight="1" x14ac:dyDescent="0.25">
      <c r="A400" s="3">
        <v>17</v>
      </c>
      <c r="B400" s="198" t="s">
        <v>447</v>
      </c>
      <c r="C400" s="198" t="s">
        <v>448</v>
      </c>
      <c r="D400" s="198">
        <v>55</v>
      </c>
      <c r="E400" s="132">
        <f t="shared" si="42"/>
        <v>0</v>
      </c>
      <c r="G400" s="198" t="s">
        <v>447</v>
      </c>
      <c r="H400" s="198" t="s">
        <v>448</v>
      </c>
      <c r="I400" s="198">
        <v>55</v>
      </c>
      <c r="J400" s="132">
        <f t="shared" si="43"/>
        <v>0</v>
      </c>
    </row>
    <row r="401" spans="1:10" ht="18" customHeight="1" x14ac:dyDescent="0.25">
      <c r="A401" s="3">
        <v>18</v>
      </c>
      <c r="B401" s="198" t="s">
        <v>449</v>
      </c>
      <c r="C401" s="198" t="s">
        <v>450</v>
      </c>
      <c r="D401" s="198">
        <v>44</v>
      </c>
      <c r="E401" s="132">
        <f t="shared" si="42"/>
        <v>0</v>
      </c>
      <c r="G401" s="198" t="s">
        <v>449</v>
      </c>
      <c r="H401" s="198" t="s">
        <v>450</v>
      </c>
      <c r="I401" s="198">
        <v>44</v>
      </c>
      <c r="J401" s="132">
        <f t="shared" si="43"/>
        <v>0</v>
      </c>
    </row>
    <row r="402" spans="1:10" ht="18" customHeight="1" x14ac:dyDescent="0.25">
      <c r="A402" s="3">
        <v>19</v>
      </c>
      <c r="B402" s="198" t="s">
        <v>451</v>
      </c>
      <c r="C402" s="198" t="s">
        <v>452</v>
      </c>
      <c r="D402" s="198">
        <v>59</v>
      </c>
      <c r="E402" s="132">
        <f t="shared" si="42"/>
        <v>0</v>
      </c>
      <c r="G402" s="198" t="s">
        <v>451</v>
      </c>
      <c r="H402" s="198" t="s">
        <v>452</v>
      </c>
      <c r="I402" s="198">
        <v>59</v>
      </c>
      <c r="J402" s="132">
        <f t="shared" si="43"/>
        <v>0</v>
      </c>
    </row>
    <row r="403" spans="1:10" ht="18" customHeight="1" x14ac:dyDescent="0.25">
      <c r="A403" s="3">
        <v>20</v>
      </c>
      <c r="B403" s="198" t="s">
        <v>453</v>
      </c>
      <c r="C403" s="198" t="s">
        <v>454</v>
      </c>
      <c r="D403" s="198">
        <v>112</v>
      </c>
      <c r="E403" s="132">
        <f t="shared" si="42"/>
        <v>1</v>
      </c>
      <c r="G403" s="198" t="s">
        <v>453</v>
      </c>
      <c r="H403" s="198" t="s">
        <v>454</v>
      </c>
      <c r="I403" s="198">
        <v>112</v>
      </c>
      <c r="J403" s="132">
        <f t="shared" si="43"/>
        <v>1</v>
      </c>
    </row>
    <row r="404" spans="1:10" ht="18" customHeight="1" x14ac:dyDescent="0.25">
      <c r="A404" s="3">
        <v>21</v>
      </c>
      <c r="B404" s="198"/>
      <c r="C404" s="198"/>
      <c r="D404" s="198"/>
      <c r="E404" s="132" t="str">
        <f t="shared" si="42"/>
        <v/>
      </c>
      <c r="G404" s="198" t="s">
        <v>455</v>
      </c>
      <c r="H404" s="198" t="s">
        <v>456</v>
      </c>
      <c r="I404" s="198">
        <v>95</v>
      </c>
      <c r="J404" s="132">
        <f t="shared" si="43"/>
        <v>0</v>
      </c>
    </row>
    <row r="405" spans="1:10" ht="18" customHeight="1" x14ac:dyDescent="0.25">
      <c r="A405" s="3">
        <v>22</v>
      </c>
      <c r="B405" s="198"/>
      <c r="C405" s="198"/>
      <c r="D405" s="198"/>
      <c r="E405" s="132" t="str">
        <f t="shared" si="42"/>
        <v/>
      </c>
      <c r="G405" s="198" t="s">
        <v>457</v>
      </c>
      <c r="H405" s="198" t="s">
        <v>458</v>
      </c>
      <c r="I405" s="198">
        <v>90</v>
      </c>
      <c r="J405" s="132">
        <f t="shared" si="43"/>
        <v>0</v>
      </c>
    </row>
    <row r="406" spans="1:10" ht="18" customHeight="1" x14ac:dyDescent="0.25">
      <c r="A406" s="3">
        <v>23</v>
      </c>
      <c r="B406" s="198"/>
      <c r="C406" s="198"/>
      <c r="D406" s="198"/>
      <c r="E406" s="132" t="str">
        <f t="shared" si="42"/>
        <v/>
      </c>
      <c r="G406" s="198" t="s">
        <v>459</v>
      </c>
      <c r="H406" s="198" t="s">
        <v>460</v>
      </c>
      <c r="I406" s="198">
        <v>44</v>
      </c>
      <c r="J406" s="132">
        <f t="shared" si="43"/>
        <v>0</v>
      </c>
    </row>
    <row r="407" spans="1:10" ht="18" customHeight="1" x14ac:dyDescent="0.25">
      <c r="A407" s="3">
        <v>24</v>
      </c>
      <c r="B407" s="198"/>
      <c r="C407" s="198"/>
      <c r="D407" s="198"/>
      <c r="E407" s="132" t="str">
        <f t="shared" si="42"/>
        <v/>
      </c>
      <c r="G407" s="198" t="s">
        <v>461</v>
      </c>
      <c r="H407" s="198" t="s">
        <v>462</v>
      </c>
      <c r="I407" s="198">
        <v>65</v>
      </c>
      <c r="J407" s="132">
        <f t="shared" si="43"/>
        <v>0</v>
      </c>
    </row>
    <row r="408" spans="1:10" ht="18" customHeight="1" x14ac:dyDescent="0.25">
      <c r="A408" s="3">
        <v>25</v>
      </c>
      <c r="B408" s="198"/>
      <c r="C408" s="198"/>
      <c r="D408" s="198"/>
      <c r="E408" s="132" t="str">
        <f t="shared" si="42"/>
        <v/>
      </c>
      <c r="G408" s="198" t="s">
        <v>463</v>
      </c>
      <c r="H408" s="198" t="s">
        <v>464</v>
      </c>
      <c r="I408" s="198">
        <v>62</v>
      </c>
      <c r="J408" s="132">
        <f t="shared" si="43"/>
        <v>0</v>
      </c>
    </row>
    <row r="409" spans="1:10" ht="18" customHeight="1" x14ac:dyDescent="0.25">
      <c r="A409" s="3">
        <v>26</v>
      </c>
      <c r="B409" s="198"/>
      <c r="C409" s="198"/>
      <c r="D409" s="198"/>
      <c r="E409" s="132" t="str">
        <f t="shared" si="42"/>
        <v/>
      </c>
      <c r="G409" s="198" t="s">
        <v>465</v>
      </c>
      <c r="H409" s="198" t="s">
        <v>466</v>
      </c>
      <c r="I409" s="198">
        <v>46</v>
      </c>
      <c r="J409" s="132">
        <f t="shared" si="43"/>
        <v>0</v>
      </c>
    </row>
    <row r="410" spans="1:10" ht="18" customHeight="1" x14ac:dyDescent="0.25">
      <c r="A410" s="3">
        <v>27</v>
      </c>
      <c r="B410" s="198"/>
      <c r="C410" s="198"/>
      <c r="D410" s="198"/>
      <c r="E410" s="132" t="str">
        <f t="shared" si="42"/>
        <v/>
      </c>
      <c r="G410" s="198" t="s">
        <v>467</v>
      </c>
      <c r="H410" s="198" t="s">
        <v>468</v>
      </c>
      <c r="I410" s="198">
        <v>97</v>
      </c>
      <c r="J410" s="132">
        <f t="shared" si="43"/>
        <v>0</v>
      </c>
    </row>
    <row r="411" spans="1:10" ht="18" customHeight="1" x14ac:dyDescent="0.25">
      <c r="A411" s="3">
        <v>28</v>
      </c>
      <c r="B411" s="198"/>
      <c r="C411" s="198"/>
      <c r="D411" s="198"/>
      <c r="E411" s="132" t="str">
        <f t="shared" si="42"/>
        <v/>
      </c>
      <c r="G411" s="198" t="s">
        <v>469</v>
      </c>
      <c r="H411" s="198" t="s">
        <v>470</v>
      </c>
      <c r="I411" s="198">
        <v>56</v>
      </c>
      <c r="J411" s="132">
        <f t="shared" si="43"/>
        <v>0</v>
      </c>
    </row>
    <row r="412" spans="1:10" ht="18" customHeight="1" x14ac:dyDescent="0.25">
      <c r="A412" s="3">
        <v>29</v>
      </c>
      <c r="B412" s="198"/>
      <c r="C412" s="198"/>
      <c r="D412" s="198"/>
      <c r="E412" s="132" t="str">
        <f t="shared" si="42"/>
        <v/>
      </c>
      <c r="G412" s="198" t="s">
        <v>471</v>
      </c>
      <c r="H412" s="198" t="s">
        <v>472</v>
      </c>
      <c r="I412" s="198">
        <v>70</v>
      </c>
      <c r="J412" s="132">
        <f t="shared" si="43"/>
        <v>0</v>
      </c>
    </row>
    <row r="413" spans="1:10" ht="18" customHeight="1" x14ac:dyDescent="0.25">
      <c r="A413" s="3">
        <v>30</v>
      </c>
      <c r="B413" s="198"/>
      <c r="C413" s="198"/>
      <c r="D413" s="198"/>
      <c r="E413" s="132" t="str">
        <f t="shared" si="42"/>
        <v/>
      </c>
      <c r="G413" s="198" t="s">
        <v>473</v>
      </c>
      <c r="H413" s="198" t="s">
        <v>474</v>
      </c>
      <c r="I413" s="198">
        <v>71</v>
      </c>
      <c r="J413" s="132">
        <f t="shared" si="43"/>
        <v>0</v>
      </c>
    </row>
    <row r="414" spans="1:10" ht="18" customHeight="1" x14ac:dyDescent="0.25">
      <c r="A414" s="3">
        <v>31</v>
      </c>
      <c r="B414" s="198"/>
      <c r="C414" s="198"/>
      <c r="D414" s="198"/>
      <c r="E414" s="132" t="str">
        <f t="shared" si="42"/>
        <v/>
      </c>
      <c r="G414" s="198" t="s">
        <v>475</v>
      </c>
      <c r="H414" s="198" t="s">
        <v>476</v>
      </c>
      <c r="I414" s="198">
        <v>48</v>
      </c>
      <c r="J414" s="132">
        <f t="shared" si="43"/>
        <v>0</v>
      </c>
    </row>
    <row r="415" spans="1:10" ht="18" customHeight="1" x14ac:dyDescent="0.25">
      <c r="A415" s="3">
        <v>32</v>
      </c>
      <c r="B415" s="198"/>
      <c r="C415" s="198"/>
      <c r="D415" s="198"/>
      <c r="E415" s="132" t="str">
        <f t="shared" si="42"/>
        <v/>
      </c>
      <c r="G415" s="198" t="s">
        <v>477</v>
      </c>
      <c r="H415" s="198" t="s">
        <v>478</v>
      </c>
      <c r="I415" s="198">
        <v>64</v>
      </c>
      <c r="J415" s="132">
        <f t="shared" si="43"/>
        <v>0</v>
      </c>
    </row>
    <row r="416" spans="1:10" ht="18" customHeight="1" x14ac:dyDescent="0.25">
      <c r="A416" s="3">
        <v>33</v>
      </c>
      <c r="B416" s="198"/>
      <c r="C416" s="198"/>
      <c r="D416" s="198"/>
      <c r="E416" s="132" t="str">
        <f t="shared" si="42"/>
        <v/>
      </c>
      <c r="G416" s="198" t="s">
        <v>479</v>
      </c>
      <c r="H416" s="198" t="s">
        <v>480</v>
      </c>
      <c r="I416" s="198">
        <v>44</v>
      </c>
      <c r="J416" s="132">
        <f t="shared" si="43"/>
        <v>0</v>
      </c>
    </row>
    <row r="417" spans="1:10" ht="18" customHeight="1" x14ac:dyDescent="0.25">
      <c r="A417" s="3">
        <v>34</v>
      </c>
      <c r="B417" s="198"/>
      <c r="C417" s="198"/>
      <c r="D417" s="198"/>
      <c r="E417" s="132" t="str">
        <f t="shared" si="42"/>
        <v/>
      </c>
      <c r="G417" s="198" t="s">
        <v>481</v>
      </c>
      <c r="H417" s="198" t="s">
        <v>482</v>
      </c>
      <c r="I417" s="198">
        <v>75</v>
      </c>
      <c r="J417" s="132">
        <f t="shared" si="43"/>
        <v>0</v>
      </c>
    </row>
    <row r="418" spans="1:10" ht="18" customHeight="1" x14ac:dyDescent="0.25">
      <c r="A418" s="3">
        <v>35</v>
      </c>
      <c r="B418" s="198"/>
      <c r="C418" s="198"/>
      <c r="D418" s="198"/>
      <c r="E418" s="132" t="str">
        <f t="shared" si="42"/>
        <v/>
      </c>
      <c r="G418" s="198" t="s">
        <v>483</v>
      </c>
      <c r="H418" s="198" t="s">
        <v>484</v>
      </c>
      <c r="I418" s="198">
        <v>57</v>
      </c>
      <c r="J418" s="132">
        <f t="shared" si="43"/>
        <v>0</v>
      </c>
    </row>
    <row r="419" spans="1:10" ht="18" customHeight="1" x14ac:dyDescent="0.25">
      <c r="A419" s="3">
        <v>36</v>
      </c>
      <c r="B419" s="198"/>
      <c r="C419" s="198"/>
      <c r="D419" s="198"/>
      <c r="E419" s="132" t="str">
        <f t="shared" si="42"/>
        <v/>
      </c>
      <c r="G419" s="198" t="s">
        <v>485</v>
      </c>
      <c r="H419" s="198" t="s">
        <v>486</v>
      </c>
      <c r="I419" s="198">
        <v>52</v>
      </c>
      <c r="J419" s="132">
        <f t="shared" si="43"/>
        <v>0</v>
      </c>
    </row>
    <row r="420" spans="1:10" ht="18" customHeight="1" x14ac:dyDescent="0.25">
      <c r="A420" s="3">
        <v>37</v>
      </c>
      <c r="B420" s="198"/>
      <c r="C420" s="198"/>
      <c r="D420" s="198"/>
      <c r="E420" s="132" t="str">
        <f t="shared" si="42"/>
        <v/>
      </c>
      <c r="G420" s="198" t="s">
        <v>487</v>
      </c>
      <c r="H420" s="198" t="s">
        <v>488</v>
      </c>
      <c r="I420" s="198">
        <v>69</v>
      </c>
      <c r="J420" s="132">
        <f t="shared" si="43"/>
        <v>0</v>
      </c>
    </row>
    <row r="421" spans="1:10" ht="18" customHeight="1" x14ac:dyDescent="0.25">
      <c r="A421" s="3">
        <v>38</v>
      </c>
      <c r="B421" s="198"/>
      <c r="C421" s="198"/>
      <c r="D421" s="198"/>
      <c r="E421" s="132" t="str">
        <f t="shared" si="42"/>
        <v/>
      </c>
      <c r="G421" s="198" t="s">
        <v>489</v>
      </c>
      <c r="H421" s="198" t="s">
        <v>490</v>
      </c>
      <c r="I421" s="198">
        <v>95</v>
      </c>
      <c r="J421" s="132">
        <f t="shared" si="43"/>
        <v>0</v>
      </c>
    </row>
    <row r="422" spans="1:10" ht="18" customHeight="1" x14ac:dyDescent="0.25">
      <c r="A422" s="3">
        <v>39</v>
      </c>
      <c r="B422" s="198"/>
      <c r="C422" s="198"/>
      <c r="D422" s="198"/>
      <c r="E422" s="132" t="str">
        <f t="shared" si="42"/>
        <v/>
      </c>
      <c r="G422" s="198" t="s">
        <v>491</v>
      </c>
      <c r="H422" s="198" t="s">
        <v>492</v>
      </c>
      <c r="I422" s="198">
        <v>51</v>
      </c>
      <c r="J422" s="132">
        <f t="shared" si="43"/>
        <v>0</v>
      </c>
    </row>
    <row r="423" spans="1:10" ht="18" customHeight="1" x14ac:dyDescent="0.25">
      <c r="A423" s="3">
        <v>40</v>
      </c>
      <c r="B423" s="198"/>
      <c r="C423" s="198"/>
      <c r="D423" s="198"/>
      <c r="E423" s="132" t="str">
        <f t="shared" si="42"/>
        <v/>
      </c>
      <c r="G423" s="198" t="s">
        <v>493</v>
      </c>
      <c r="H423" s="198" t="s">
        <v>494</v>
      </c>
      <c r="I423" s="198">
        <v>74</v>
      </c>
      <c r="J423" s="132">
        <f t="shared" si="43"/>
        <v>0</v>
      </c>
    </row>
    <row r="426" spans="1:10" ht="18" customHeight="1" x14ac:dyDescent="0.25">
      <c r="C426" s="104" t="s">
        <v>495</v>
      </c>
      <c r="D426" s="132" t="str">
        <f>IF(ISNUMBER(D429),IF(D429&gt;=0.05,"Pass","Fail"),"")</f>
        <v>Fail</v>
      </c>
      <c r="H426" s="104" t="s">
        <v>495</v>
      </c>
      <c r="I426" s="132" t="str">
        <f>IF(ISNUMBER(I429),IF(I429&gt;=0.05,"Pass","Fail"),"")</f>
        <v>Pass</v>
      </c>
    </row>
    <row r="427" spans="1:10" ht="18" customHeight="1" x14ac:dyDescent="0.25">
      <c r="C427" s="187" t="s">
        <v>139</v>
      </c>
      <c r="D427" s="132">
        <f>COUNT(E384:E423)</f>
        <v>20</v>
      </c>
      <c r="H427" s="187" t="s">
        <v>139</v>
      </c>
      <c r="I427" s="132">
        <f>COUNT(J384:J423)</f>
        <v>40</v>
      </c>
    </row>
    <row r="428" spans="1:10" ht="18" customHeight="1" x14ac:dyDescent="0.25">
      <c r="C428" s="187" t="s">
        <v>496</v>
      </c>
      <c r="D428" s="132">
        <f>SUM(E384:E423)</f>
        <v>3</v>
      </c>
      <c r="H428" s="187" t="s">
        <v>496</v>
      </c>
      <c r="I428" s="132">
        <f>SUM(J384:J423)</f>
        <v>3</v>
      </c>
    </row>
    <row r="429" spans="1:10" ht="18" customHeight="1" x14ac:dyDescent="0.25">
      <c r="C429" s="187" t="s">
        <v>497</v>
      </c>
      <c r="D429" s="132">
        <f>IF(D427&gt;0,1-_xlfn.BINOM.DIST(D428,D427,0.05,TRUE()),"")</f>
        <v>1.590152601976369E-2</v>
      </c>
      <c r="H429" s="187" t="s">
        <v>497</v>
      </c>
      <c r="I429" s="132">
        <f>IF(I427&gt;0,1-_xlfn.BINOM.DIST(I428,I427,0.05,TRUE()),"")</f>
        <v>0.13814977550106611</v>
      </c>
    </row>
    <row r="432" spans="1:10" s="106" customFormat="1" ht="18" customHeight="1" x14ac:dyDescent="0.25">
      <c r="B432" s="106" t="s">
        <v>498</v>
      </c>
    </row>
    <row r="434" spans="1:24" s="202" customFormat="1" ht="18" customHeight="1" x14ac:dyDescent="0.25">
      <c r="B434" s="203" t="s">
        <v>499</v>
      </c>
      <c r="C434" s="203"/>
      <c r="D434" s="203"/>
      <c r="E434" s="203" t="s">
        <v>287</v>
      </c>
    </row>
    <row r="435" spans="1:24" s="202" customFormat="1" ht="18" customHeight="1" x14ac:dyDescent="0.25">
      <c r="B435" s="308"/>
      <c r="C435" s="309"/>
      <c r="D435" s="204"/>
      <c r="E435" s="308"/>
      <c r="F435" s="309"/>
      <c r="G435" s="204"/>
      <c r="H435" s="204"/>
      <c r="I435" s="204"/>
      <c r="J435" s="204"/>
      <c r="K435" s="204"/>
    </row>
    <row r="436" spans="1:24" s="202" customFormat="1" ht="18" customHeight="1" x14ac:dyDescent="0.25">
      <c r="B436" s="203" t="s">
        <v>315</v>
      </c>
      <c r="C436" s="203"/>
      <c r="D436" s="203"/>
      <c r="E436" s="203" t="s">
        <v>288</v>
      </c>
    </row>
    <row r="437" spans="1:24" s="202" customFormat="1" ht="18" customHeight="1" x14ac:dyDescent="0.25">
      <c r="B437" s="308"/>
      <c r="C437" s="309"/>
      <c r="D437" s="204"/>
      <c r="E437" s="308"/>
      <c r="F437" s="309"/>
      <c r="G437" s="204"/>
      <c r="H437" s="204"/>
      <c r="I437" s="204"/>
      <c r="J437" s="204"/>
      <c r="K437" s="204"/>
    </row>
    <row r="438" spans="1:24" s="202" customFormat="1" ht="18" customHeight="1" x14ac:dyDescent="0.25">
      <c r="A438" s="205"/>
    </row>
    <row r="439" spans="1:24" s="206" customFormat="1" ht="18" customHeight="1" x14ac:dyDescent="0.25">
      <c r="B439" s="207" t="s">
        <v>500</v>
      </c>
      <c r="C439" s="207"/>
    </row>
    <row r="440" spans="1:24" s="206" customFormat="1" ht="18" customHeight="1" x14ac:dyDescent="0.25"/>
    <row r="441" spans="1:24" s="206" customFormat="1" ht="18" customHeight="1" x14ac:dyDescent="0.25">
      <c r="B441" s="294" t="s">
        <v>501</v>
      </c>
      <c r="C441" s="294"/>
      <c r="D441" s="208">
        <v>0.9</v>
      </c>
      <c r="E441" s="209" t="e">
        <f>G4</f>
        <v>#REF!</v>
      </c>
    </row>
    <row r="442" spans="1:24" s="206" customFormat="1" ht="18" customHeight="1" x14ac:dyDescent="0.25"/>
    <row r="443" spans="1:24" s="202" customFormat="1" ht="18" customHeight="1" x14ac:dyDescent="0.25">
      <c r="C443" s="295" t="s">
        <v>502</v>
      </c>
      <c r="D443" s="295"/>
      <c r="E443" s="295"/>
      <c r="F443" s="295"/>
      <c r="G443" s="295"/>
      <c r="H443" s="210"/>
      <c r="I443" s="203"/>
      <c r="J443" s="211"/>
    </row>
    <row r="444" spans="1:24" s="202" customFormat="1" ht="18" customHeight="1" x14ac:dyDescent="0.25">
      <c r="C444" s="295"/>
      <c r="D444" s="295"/>
      <c r="E444" s="295"/>
      <c r="F444" s="295"/>
      <c r="G444" s="295"/>
      <c r="H444" s="210"/>
      <c r="I444" s="206"/>
      <c r="J444" s="296" t="s">
        <v>503</v>
      </c>
      <c r="K444" s="296"/>
      <c r="L444" s="296"/>
      <c r="M444" s="296"/>
      <c r="N444" s="296"/>
      <c r="O444" s="296"/>
      <c r="P444" s="296"/>
      <c r="Q444" s="296"/>
      <c r="V444" s="297" t="s">
        <v>504</v>
      </c>
      <c r="W444" s="297"/>
      <c r="X444" s="297"/>
    </row>
    <row r="445" spans="1:24" s="202" customFormat="1" ht="18" customHeight="1" x14ac:dyDescent="0.25">
      <c r="C445" s="212" t="s">
        <v>98</v>
      </c>
      <c r="D445" s="212" t="s">
        <v>505</v>
      </c>
      <c r="E445" s="212" t="s">
        <v>506</v>
      </c>
      <c r="F445" s="212" t="s">
        <v>507</v>
      </c>
      <c r="G445" s="212" t="s">
        <v>508</v>
      </c>
      <c r="J445" s="298" t="s">
        <v>509</v>
      </c>
      <c r="K445" s="298"/>
      <c r="L445" s="298"/>
      <c r="M445" s="298"/>
      <c r="N445" s="298" t="s">
        <v>510</v>
      </c>
      <c r="O445" s="298"/>
      <c r="P445" s="298"/>
      <c r="Q445" s="298"/>
      <c r="V445" s="214">
        <f t="shared" ref="V445:X453" si="44">IF(E446&lt;=$D$441,1,"")</f>
        <v>1</v>
      </c>
      <c r="W445" s="214">
        <f t="shared" si="44"/>
        <v>1</v>
      </c>
      <c r="X445" s="214">
        <f t="shared" si="44"/>
        <v>1</v>
      </c>
    </row>
    <row r="446" spans="1:24" s="202" customFormat="1" ht="18" customHeight="1" x14ac:dyDescent="0.25">
      <c r="C446" s="310" t="s">
        <v>100</v>
      </c>
      <c r="D446" s="215">
        <v>44857</v>
      </c>
      <c r="E446" s="216">
        <v>0.5</v>
      </c>
      <c r="F446" s="216">
        <v>0.8</v>
      </c>
      <c r="G446" s="216"/>
      <c r="J446" s="298">
        <v>20</v>
      </c>
      <c r="K446" s="298"/>
      <c r="L446" s="298"/>
      <c r="M446" s="298"/>
      <c r="N446" s="311">
        <f t="shared" ref="N446:N461" si="45">_xlfn.BINOM.INV(J446,0.95,0.05)/J446</f>
        <v>0.85</v>
      </c>
      <c r="O446" s="311"/>
      <c r="P446" s="311"/>
      <c r="Q446" s="311"/>
      <c r="V446" s="214">
        <f t="shared" si="44"/>
        <v>1</v>
      </c>
      <c r="W446" s="214">
        <f t="shared" si="44"/>
        <v>1</v>
      </c>
      <c r="X446" s="214">
        <f t="shared" si="44"/>
        <v>1</v>
      </c>
    </row>
    <row r="447" spans="1:24" s="202" customFormat="1" ht="18" customHeight="1" x14ac:dyDescent="0.25">
      <c r="C447" s="310"/>
      <c r="D447" s="215">
        <v>44857</v>
      </c>
      <c r="E447" s="216">
        <v>0.5</v>
      </c>
      <c r="F447" s="216">
        <v>0.5</v>
      </c>
      <c r="G447" s="216"/>
      <c r="J447" s="298">
        <v>30</v>
      </c>
      <c r="K447" s="298"/>
      <c r="L447" s="298"/>
      <c r="M447" s="298"/>
      <c r="N447" s="311">
        <f t="shared" si="45"/>
        <v>0.8666666666666667</v>
      </c>
      <c r="O447" s="311"/>
      <c r="P447" s="311"/>
      <c r="Q447" s="311"/>
      <c r="V447" s="214">
        <f t="shared" si="44"/>
        <v>1</v>
      </c>
      <c r="W447" s="214">
        <f t="shared" si="44"/>
        <v>1</v>
      </c>
      <c r="X447" s="214">
        <f t="shared" si="44"/>
        <v>1</v>
      </c>
    </row>
    <row r="448" spans="1:24" s="202" customFormat="1" ht="18" customHeight="1" x14ac:dyDescent="0.25">
      <c r="C448" s="310"/>
      <c r="D448" s="215">
        <v>44857</v>
      </c>
      <c r="E448" s="216">
        <v>0.6</v>
      </c>
      <c r="F448" s="216">
        <v>0.6</v>
      </c>
      <c r="G448" s="216"/>
      <c r="J448" s="298">
        <v>40</v>
      </c>
      <c r="K448" s="298"/>
      <c r="L448" s="298"/>
      <c r="M448" s="298"/>
      <c r="N448" s="311">
        <f t="shared" si="45"/>
        <v>0.9</v>
      </c>
      <c r="O448" s="311"/>
      <c r="P448" s="311"/>
      <c r="Q448" s="311"/>
      <c r="V448" s="214">
        <f t="shared" si="44"/>
        <v>1</v>
      </c>
      <c r="W448" s="214">
        <f t="shared" si="44"/>
        <v>1</v>
      </c>
      <c r="X448" s="214">
        <f t="shared" si="44"/>
        <v>1</v>
      </c>
    </row>
    <row r="449" spans="1:24" s="202" customFormat="1" ht="18" customHeight="1" x14ac:dyDescent="0.25">
      <c r="C449" s="310" t="s">
        <v>102</v>
      </c>
      <c r="D449" s="215">
        <v>44858</v>
      </c>
      <c r="E449" s="216">
        <v>0.7</v>
      </c>
      <c r="F449" s="216">
        <v>0.7</v>
      </c>
      <c r="G449" s="216"/>
      <c r="J449" s="298">
        <v>50</v>
      </c>
      <c r="K449" s="298"/>
      <c r="L449" s="298"/>
      <c r="M449" s="298"/>
      <c r="N449" s="311">
        <f t="shared" si="45"/>
        <v>0.9</v>
      </c>
      <c r="O449" s="311"/>
      <c r="P449" s="311"/>
      <c r="Q449" s="311"/>
      <c r="V449" s="214">
        <f t="shared" si="44"/>
        <v>1</v>
      </c>
      <c r="W449" s="214">
        <f t="shared" si="44"/>
        <v>1</v>
      </c>
      <c r="X449" s="214">
        <f t="shared" si="44"/>
        <v>1</v>
      </c>
    </row>
    <row r="450" spans="1:24" s="202" customFormat="1" ht="18" customHeight="1" x14ac:dyDescent="0.25">
      <c r="C450" s="310"/>
      <c r="D450" s="215">
        <v>44858</v>
      </c>
      <c r="E450" s="216">
        <v>0.7</v>
      </c>
      <c r="F450" s="216">
        <v>0.7</v>
      </c>
      <c r="G450" s="216"/>
      <c r="J450" s="298">
        <v>60</v>
      </c>
      <c r="K450" s="298"/>
      <c r="L450" s="298"/>
      <c r="M450" s="298"/>
      <c r="N450" s="311">
        <f t="shared" si="45"/>
        <v>0.9</v>
      </c>
      <c r="O450" s="311"/>
      <c r="P450" s="311"/>
      <c r="Q450" s="311"/>
      <c r="V450" s="214">
        <f t="shared" si="44"/>
        <v>1</v>
      </c>
      <c r="W450" s="214">
        <f t="shared" si="44"/>
        <v>1</v>
      </c>
      <c r="X450" s="214">
        <f t="shared" si="44"/>
        <v>1</v>
      </c>
    </row>
    <row r="451" spans="1:24" s="202" customFormat="1" ht="18" customHeight="1" x14ac:dyDescent="0.25">
      <c r="C451" s="310"/>
      <c r="D451" s="215">
        <v>44858</v>
      </c>
      <c r="E451" s="216">
        <v>0.8</v>
      </c>
      <c r="F451" s="216">
        <v>0.9</v>
      </c>
      <c r="G451" s="216"/>
      <c r="J451" s="298">
        <v>70</v>
      </c>
      <c r="K451" s="298"/>
      <c r="L451" s="298"/>
      <c r="M451" s="298"/>
      <c r="N451" s="311">
        <f t="shared" si="45"/>
        <v>0.9</v>
      </c>
      <c r="O451" s="311"/>
      <c r="P451" s="311"/>
      <c r="Q451" s="311"/>
      <c r="V451" s="214">
        <f t="shared" si="44"/>
        <v>1</v>
      </c>
      <c r="W451" s="214">
        <f t="shared" si="44"/>
        <v>1</v>
      </c>
      <c r="X451" s="214">
        <f t="shared" si="44"/>
        <v>1</v>
      </c>
    </row>
    <row r="452" spans="1:24" s="202" customFormat="1" ht="18" customHeight="1" x14ac:dyDescent="0.25">
      <c r="C452" s="310" t="s">
        <v>103</v>
      </c>
      <c r="D452" s="215">
        <v>44859</v>
      </c>
      <c r="E452" s="216">
        <v>0.5</v>
      </c>
      <c r="F452" s="216">
        <v>0.6</v>
      </c>
      <c r="G452" s="216"/>
      <c r="J452" s="298">
        <v>80</v>
      </c>
      <c r="K452" s="298"/>
      <c r="L452" s="298"/>
      <c r="M452" s="298"/>
      <c r="N452" s="311">
        <f t="shared" si="45"/>
        <v>0.91249999999999998</v>
      </c>
      <c r="O452" s="311"/>
      <c r="P452" s="311"/>
      <c r="Q452" s="311"/>
      <c r="V452" s="214">
        <f t="shared" si="44"/>
        <v>1</v>
      </c>
      <c r="W452" s="214">
        <f t="shared" si="44"/>
        <v>1</v>
      </c>
      <c r="X452" s="214">
        <f t="shared" si="44"/>
        <v>1</v>
      </c>
    </row>
    <row r="453" spans="1:24" s="202" customFormat="1" ht="18" customHeight="1" x14ac:dyDescent="0.25">
      <c r="C453" s="310"/>
      <c r="D453" s="215">
        <v>44859</v>
      </c>
      <c r="E453" s="216">
        <v>0.4</v>
      </c>
      <c r="F453" s="216">
        <v>0.5</v>
      </c>
      <c r="G453" s="216"/>
      <c r="J453" s="298">
        <v>90</v>
      </c>
      <c r="K453" s="298"/>
      <c r="L453" s="298"/>
      <c r="M453" s="298"/>
      <c r="N453" s="311">
        <f t="shared" si="45"/>
        <v>0.91111111111111109</v>
      </c>
      <c r="O453" s="311"/>
      <c r="P453" s="311"/>
      <c r="Q453" s="311"/>
      <c r="V453" s="214">
        <f t="shared" si="44"/>
        <v>1</v>
      </c>
      <c r="W453" s="214">
        <f t="shared" si="44"/>
        <v>1</v>
      </c>
      <c r="X453" s="214">
        <f t="shared" si="44"/>
        <v>1</v>
      </c>
    </row>
    <row r="454" spans="1:24" s="202" customFormat="1" ht="18" customHeight="1" x14ac:dyDescent="0.25">
      <c r="C454" s="310"/>
      <c r="D454" s="215">
        <v>44859</v>
      </c>
      <c r="E454" s="216">
        <v>0.6</v>
      </c>
      <c r="F454" s="216">
        <v>0.7</v>
      </c>
      <c r="G454" s="216"/>
      <c r="J454" s="298">
        <v>100</v>
      </c>
      <c r="K454" s="298"/>
      <c r="L454" s="298"/>
      <c r="M454" s="298"/>
      <c r="N454" s="311">
        <f t="shared" si="45"/>
        <v>0.91</v>
      </c>
      <c r="O454" s="311"/>
      <c r="P454" s="311"/>
      <c r="Q454" s="311"/>
      <c r="S454" s="313" t="s">
        <v>511</v>
      </c>
      <c r="T454" s="313"/>
      <c r="U454" s="214">
        <f>SUM(V445:X453)</f>
        <v>27</v>
      </c>
    </row>
    <row r="455" spans="1:24" s="202" customFormat="1" ht="18" customHeight="1" x14ac:dyDescent="0.25">
      <c r="J455" s="298">
        <v>150</v>
      </c>
      <c r="K455" s="298"/>
      <c r="L455" s="298"/>
      <c r="M455" s="298"/>
      <c r="N455" s="311">
        <f t="shared" si="45"/>
        <v>0.92</v>
      </c>
      <c r="O455" s="311"/>
      <c r="P455" s="311"/>
      <c r="Q455" s="311"/>
      <c r="S455" s="313" t="s">
        <v>512</v>
      </c>
      <c r="T455" s="313"/>
      <c r="U455" s="218">
        <f>U454/D457*100</f>
        <v>150</v>
      </c>
      <c r="V455" s="202" t="s">
        <v>513</v>
      </c>
    </row>
    <row r="456" spans="1:24" s="202" customFormat="1" ht="18" customHeight="1" x14ac:dyDescent="0.25">
      <c r="J456" s="298">
        <v>200</v>
      </c>
      <c r="K456" s="298"/>
      <c r="L456" s="298"/>
      <c r="M456" s="298"/>
      <c r="N456" s="311">
        <f t="shared" si="45"/>
        <v>0.92500000000000004</v>
      </c>
      <c r="O456" s="311"/>
      <c r="P456" s="311"/>
      <c r="Q456" s="311"/>
    </row>
    <row r="457" spans="1:24" s="202" customFormat="1" ht="18" customHeight="1" x14ac:dyDescent="0.25">
      <c r="B457" s="312" t="s">
        <v>514</v>
      </c>
      <c r="C457" s="312"/>
      <c r="D457" s="213">
        <f>COUNT(E446:G454)</f>
        <v>18</v>
      </c>
      <c r="F457" s="219" t="s">
        <v>515</v>
      </c>
      <c r="G457" s="214">
        <f>_xlfn.BINOM.INV($D457,0.95,0.05)</f>
        <v>15</v>
      </c>
      <c r="J457" s="298">
        <v>250</v>
      </c>
      <c r="K457" s="298"/>
      <c r="L457" s="298"/>
      <c r="M457" s="298"/>
      <c r="N457" s="311">
        <f t="shared" si="45"/>
        <v>0.92800000000000005</v>
      </c>
      <c r="O457" s="311"/>
      <c r="P457" s="311"/>
      <c r="Q457" s="311"/>
    </row>
    <row r="458" spans="1:24" s="202" customFormat="1" ht="18" customHeight="1" x14ac:dyDescent="0.25">
      <c r="B458" s="312" t="s">
        <v>516</v>
      </c>
      <c r="C458" s="312"/>
      <c r="D458" s="214">
        <f>AVERAGE(E446:G454)</f>
        <v>0.62777777777777777</v>
      </c>
      <c r="F458" s="219" t="s">
        <v>517</v>
      </c>
      <c r="G458" s="220">
        <f>G457/D457</f>
        <v>0.83333333333333337</v>
      </c>
      <c r="J458" s="298">
        <v>300</v>
      </c>
      <c r="K458" s="298"/>
      <c r="L458" s="298"/>
      <c r="M458" s="298"/>
      <c r="N458" s="311">
        <f t="shared" si="45"/>
        <v>0.93</v>
      </c>
      <c r="O458" s="311"/>
      <c r="P458" s="311"/>
      <c r="Q458" s="311"/>
    </row>
    <row r="459" spans="1:24" s="202" customFormat="1" ht="18" customHeight="1" x14ac:dyDescent="0.25">
      <c r="B459" s="312" t="s">
        <v>518</v>
      </c>
      <c r="C459" s="312"/>
      <c r="D459" s="214">
        <f>_xlfn.STDEV.P(E446:G454)</f>
        <v>0.12825995978461377</v>
      </c>
      <c r="J459" s="298">
        <v>400</v>
      </c>
      <c r="K459" s="298"/>
      <c r="L459" s="298"/>
      <c r="M459" s="298"/>
      <c r="N459" s="311">
        <f t="shared" si="45"/>
        <v>0.9325</v>
      </c>
      <c r="O459" s="311"/>
      <c r="P459" s="311"/>
      <c r="Q459" s="311"/>
    </row>
    <row r="460" spans="1:24" s="202" customFormat="1" ht="18" customHeight="1" x14ac:dyDescent="0.25">
      <c r="A460" s="317" t="s">
        <v>519</v>
      </c>
      <c r="B460" s="317"/>
      <c r="C460" s="317"/>
      <c r="D460" s="213">
        <f>D458+G461*D459</f>
        <v>0.84232238121273217</v>
      </c>
      <c r="E460" s="202">
        <f>D432</f>
        <v>0</v>
      </c>
      <c r="F460" s="219" t="s">
        <v>365</v>
      </c>
      <c r="G460" s="216">
        <v>0.05</v>
      </c>
      <c r="J460" s="298">
        <v>500</v>
      </c>
      <c r="K460" s="298"/>
      <c r="L460" s="298"/>
      <c r="M460" s="298"/>
      <c r="N460" s="311">
        <f t="shared" si="45"/>
        <v>0.93400000000000005</v>
      </c>
      <c r="O460" s="311"/>
      <c r="P460" s="311"/>
      <c r="Q460" s="311"/>
    </row>
    <row r="461" spans="1:24" s="202" customFormat="1" ht="18" customHeight="1" x14ac:dyDescent="0.25">
      <c r="B461" s="217"/>
      <c r="C461" s="217"/>
      <c r="D461" s="212" t="str">
        <f>IF(U454&gt;=G457,"Pass","Fail")</f>
        <v>Pass</v>
      </c>
      <c r="F461" s="219" t="s">
        <v>520</v>
      </c>
      <c r="G461" s="222">
        <f>_xlfn.NORM.INV(1-G460,0,1)/(1-(1/(4*((COUNT(E446:E454)-1)+(COUNT(F446:F454)-1)+(COUNT(G446:G454)-1)))))</f>
        <v>1.6727325019845474</v>
      </c>
      <c r="J461" s="298">
        <v>1000</v>
      </c>
      <c r="K461" s="298"/>
      <c r="L461" s="298"/>
      <c r="M461" s="298"/>
      <c r="N461" s="311">
        <f t="shared" si="45"/>
        <v>0.93799999999999994</v>
      </c>
      <c r="O461" s="311"/>
      <c r="P461" s="311"/>
      <c r="Q461" s="311"/>
    </row>
    <row r="462" spans="1:24" s="202" customFormat="1" ht="18" customHeight="1" x14ac:dyDescent="0.25">
      <c r="B462" s="217"/>
      <c r="C462" s="217"/>
    </row>
    <row r="463" spans="1:24" s="202" customFormat="1" ht="18" customHeight="1" x14ac:dyDescent="0.25">
      <c r="B463" s="217"/>
      <c r="C463" s="217"/>
    </row>
    <row r="464" spans="1:24" s="202" customFormat="1" ht="18" customHeight="1" x14ac:dyDescent="0.25"/>
    <row r="465" spans="2:24" s="206" customFormat="1" ht="18" customHeight="1" x14ac:dyDescent="0.25">
      <c r="B465" s="207" t="s">
        <v>521</v>
      </c>
    </row>
    <row r="466" spans="2:24" s="206" customFormat="1" ht="18" customHeight="1" x14ac:dyDescent="0.25"/>
    <row r="467" spans="2:24" s="206" customFormat="1" ht="18" customHeight="1" x14ac:dyDescent="0.25">
      <c r="B467" s="294" t="s">
        <v>522</v>
      </c>
      <c r="C467" s="294"/>
      <c r="D467" s="223">
        <v>1.1000000000000001</v>
      </c>
      <c r="E467" s="209" t="e">
        <f>G4</f>
        <v>#REF!</v>
      </c>
    </row>
    <row r="468" spans="2:24" s="202" customFormat="1" ht="18" customHeight="1" x14ac:dyDescent="0.25">
      <c r="K468" s="224"/>
      <c r="L468" s="224"/>
      <c r="M468" s="224"/>
      <c r="V468" s="314" t="s">
        <v>523</v>
      </c>
      <c r="W468" s="314"/>
      <c r="X468" s="314"/>
    </row>
    <row r="469" spans="2:24" s="202" customFormat="1" ht="18" customHeight="1" x14ac:dyDescent="0.25">
      <c r="C469" s="315" t="s">
        <v>524</v>
      </c>
      <c r="D469" s="315"/>
      <c r="E469" s="315"/>
      <c r="F469" s="315"/>
      <c r="G469" s="315"/>
      <c r="J469" s="217"/>
      <c r="K469" s="225"/>
      <c r="L469" s="225"/>
      <c r="M469" s="225"/>
      <c r="V469" s="214">
        <f t="shared" ref="V469:X477" si="46">IF(E472&gt;=$D$441,1,"")</f>
        <v>1</v>
      </c>
      <c r="W469" s="214">
        <f t="shared" si="46"/>
        <v>1</v>
      </c>
      <c r="X469" s="214" t="str">
        <f t="shared" si="46"/>
        <v/>
      </c>
    </row>
    <row r="470" spans="2:24" s="202" customFormat="1" ht="18" customHeight="1" x14ac:dyDescent="0.25">
      <c r="C470" s="315"/>
      <c r="D470" s="315"/>
      <c r="E470" s="315"/>
      <c r="F470" s="315"/>
      <c r="G470" s="315"/>
      <c r="J470" s="217"/>
      <c r="K470" s="225"/>
      <c r="L470" s="225"/>
      <c r="M470" s="225"/>
      <c r="V470" s="214">
        <f t="shared" si="46"/>
        <v>1</v>
      </c>
      <c r="W470" s="214" t="str">
        <f t="shared" si="46"/>
        <v/>
      </c>
      <c r="X470" s="214" t="str">
        <f t="shared" si="46"/>
        <v/>
      </c>
    </row>
    <row r="471" spans="2:24" s="202" customFormat="1" ht="18" customHeight="1" x14ac:dyDescent="0.25">
      <c r="C471" s="212" t="s">
        <v>98</v>
      </c>
      <c r="D471" s="212" t="s">
        <v>505</v>
      </c>
      <c r="E471" s="212" t="s">
        <v>506</v>
      </c>
      <c r="F471" s="212" t="s">
        <v>507</v>
      </c>
      <c r="G471" s="212" t="s">
        <v>508</v>
      </c>
      <c r="I471" s="202" t="s">
        <v>525</v>
      </c>
      <c r="V471" s="214">
        <f t="shared" si="46"/>
        <v>1</v>
      </c>
      <c r="W471" s="214">
        <f t="shared" si="46"/>
        <v>1</v>
      </c>
      <c r="X471" s="214" t="str">
        <f t="shared" si="46"/>
        <v/>
      </c>
    </row>
    <row r="472" spans="2:24" s="202" customFormat="1" ht="18" customHeight="1" x14ac:dyDescent="0.25">
      <c r="C472" s="316" t="s">
        <v>100</v>
      </c>
      <c r="D472" s="215">
        <v>44857</v>
      </c>
      <c r="E472" s="216">
        <v>1</v>
      </c>
      <c r="F472" s="216">
        <v>1</v>
      </c>
      <c r="G472" s="216"/>
      <c r="V472" s="214">
        <f t="shared" si="46"/>
        <v>1</v>
      </c>
      <c r="W472" s="214">
        <f t="shared" si="46"/>
        <v>1</v>
      </c>
      <c r="X472" s="214" t="str">
        <f t="shared" si="46"/>
        <v/>
      </c>
    </row>
    <row r="473" spans="2:24" s="202" customFormat="1" ht="18" customHeight="1" x14ac:dyDescent="0.25">
      <c r="C473" s="316"/>
      <c r="D473" s="215">
        <v>44857</v>
      </c>
      <c r="E473" s="216">
        <v>0.9</v>
      </c>
      <c r="F473" s="216">
        <v>0.8</v>
      </c>
      <c r="G473" s="216"/>
      <c r="V473" s="214">
        <f t="shared" si="46"/>
        <v>1</v>
      </c>
      <c r="W473" s="214">
        <f t="shared" si="46"/>
        <v>1</v>
      </c>
      <c r="X473" s="214" t="str">
        <f t="shared" si="46"/>
        <v/>
      </c>
    </row>
    <row r="474" spans="2:24" s="202" customFormat="1" ht="18" customHeight="1" x14ac:dyDescent="0.25">
      <c r="C474" s="316"/>
      <c r="D474" s="215">
        <v>44857</v>
      </c>
      <c r="E474" s="216">
        <v>1</v>
      </c>
      <c r="F474" s="216">
        <v>1.1000000000000001</v>
      </c>
      <c r="G474" s="216"/>
      <c r="V474" s="214">
        <f t="shared" si="46"/>
        <v>1</v>
      </c>
      <c r="W474" s="214">
        <f t="shared" si="46"/>
        <v>1</v>
      </c>
      <c r="X474" s="214" t="str">
        <f t="shared" si="46"/>
        <v/>
      </c>
    </row>
    <row r="475" spans="2:24" s="202" customFormat="1" ht="18" customHeight="1" x14ac:dyDescent="0.25">
      <c r="C475" s="316" t="s">
        <v>102</v>
      </c>
      <c r="D475" s="215">
        <v>44858</v>
      </c>
      <c r="E475" s="216">
        <v>1.1000000000000001</v>
      </c>
      <c r="F475" s="216">
        <v>1</v>
      </c>
      <c r="G475" s="216"/>
      <c r="V475" s="214">
        <f t="shared" si="46"/>
        <v>1</v>
      </c>
      <c r="W475" s="214">
        <f t="shared" si="46"/>
        <v>1</v>
      </c>
      <c r="X475" s="214" t="str">
        <f t="shared" si="46"/>
        <v/>
      </c>
    </row>
    <row r="476" spans="2:24" s="202" customFormat="1" ht="18" customHeight="1" x14ac:dyDescent="0.25">
      <c r="C476" s="316"/>
      <c r="D476" s="215">
        <v>44858</v>
      </c>
      <c r="E476" s="216">
        <v>0.9</v>
      </c>
      <c r="F476" s="216">
        <v>1</v>
      </c>
      <c r="G476" s="216"/>
      <c r="V476" s="214">
        <f t="shared" si="46"/>
        <v>1</v>
      </c>
      <c r="W476" s="214">
        <f t="shared" si="46"/>
        <v>1</v>
      </c>
      <c r="X476" s="214" t="str">
        <f t="shared" si="46"/>
        <v/>
      </c>
    </row>
    <row r="477" spans="2:24" s="202" customFormat="1" ht="18" customHeight="1" x14ac:dyDescent="0.25">
      <c r="C477" s="316"/>
      <c r="D477" s="215">
        <v>44858</v>
      </c>
      <c r="E477" s="216">
        <v>1.1000000000000001</v>
      </c>
      <c r="F477" s="216">
        <v>1.1000000000000001</v>
      </c>
      <c r="G477" s="216"/>
      <c r="V477" s="214">
        <f t="shared" si="46"/>
        <v>1</v>
      </c>
      <c r="W477" s="214">
        <f t="shared" si="46"/>
        <v>1</v>
      </c>
      <c r="X477" s="214" t="str">
        <f t="shared" si="46"/>
        <v/>
      </c>
    </row>
    <row r="478" spans="2:24" s="202" customFormat="1" ht="18" customHeight="1" x14ac:dyDescent="0.25">
      <c r="C478" s="316" t="s">
        <v>103</v>
      </c>
      <c r="D478" s="215">
        <v>44859</v>
      </c>
      <c r="E478" s="216">
        <v>1.2</v>
      </c>
      <c r="F478" s="216">
        <v>1.1000000000000001</v>
      </c>
      <c r="G478" s="216"/>
      <c r="S478" s="313" t="s">
        <v>526</v>
      </c>
      <c r="T478" s="313"/>
      <c r="U478" s="214">
        <f>SUM(V469:X477)</f>
        <v>17</v>
      </c>
    </row>
    <row r="479" spans="2:24" s="202" customFormat="1" ht="18" customHeight="1" x14ac:dyDescent="0.25">
      <c r="C479" s="316"/>
      <c r="D479" s="215">
        <v>44859</v>
      </c>
      <c r="E479" s="216">
        <v>1.1000000000000001</v>
      </c>
      <c r="F479" s="216">
        <v>0.9</v>
      </c>
      <c r="G479" s="216"/>
      <c r="S479" s="313" t="s">
        <v>527</v>
      </c>
      <c r="T479" s="313"/>
      <c r="U479" s="214">
        <f>U478/D483*100</f>
        <v>94.444444444444443</v>
      </c>
      <c r="V479" s="202" t="s">
        <v>513</v>
      </c>
    </row>
    <row r="480" spans="2:24" s="202" customFormat="1" ht="18" customHeight="1" x14ac:dyDescent="0.25">
      <c r="C480" s="316"/>
      <c r="D480" s="215">
        <v>44859</v>
      </c>
      <c r="E480" s="216">
        <v>1</v>
      </c>
      <c r="F480" s="216">
        <v>1.1000000000000001</v>
      </c>
      <c r="G480" s="216"/>
    </row>
    <row r="481" spans="1:12" s="202" customFormat="1" ht="18" customHeight="1" x14ac:dyDescent="0.25">
      <c r="C481" s="226"/>
      <c r="D481" s="217" t="s">
        <v>528</v>
      </c>
      <c r="E481" s="227">
        <f>IF(ISERROR(_xlfn.STDEV.P(E472:E480)),"",_xlfn.STDEV.P(E472:E480))</f>
        <v>9.428090415820635E-2</v>
      </c>
      <c r="F481" s="227">
        <f>IF(ISERROR(_xlfn.STDEV.P(F472:F480)),"",_xlfn.STDEV.P(F472:F480))</f>
        <v>9.938079899999068E-2</v>
      </c>
      <c r="G481" s="227" t="str">
        <f>IF(ISERROR(_xlfn.STDEV.P(G472:G480)),"",_xlfn.STDEV.P(G472:G480))</f>
        <v/>
      </c>
    </row>
    <row r="482" spans="1:12" s="202" customFormat="1" ht="18" customHeight="1" x14ac:dyDescent="0.25">
      <c r="C482" s="226"/>
      <c r="E482" s="228">
        <f>IF(ISERROR(POWER(E481,2)),NA(),POWER(E481,2))</f>
        <v>8.8888888888888906E-3</v>
      </c>
      <c r="F482" s="228">
        <f>IF(ISERROR(POWER(F481,2)),NA(),POWER(F481,2))</f>
        <v>9.8765432098765482E-3</v>
      </c>
      <c r="G482" s="228" t="e">
        <f>IF(ISERROR(POWER(G481,2)),NA(),POWER(G481,2))</f>
        <v>#N/A</v>
      </c>
    </row>
    <row r="483" spans="1:12" s="202" customFormat="1" ht="18" customHeight="1" x14ac:dyDescent="0.25">
      <c r="B483" s="312" t="s">
        <v>514</v>
      </c>
      <c r="C483" s="312"/>
      <c r="D483" s="213">
        <f>COUNT(E472:G480)</f>
        <v>18</v>
      </c>
      <c r="F483" s="219" t="s">
        <v>515</v>
      </c>
      <c r="G483" s="229">
        <f>_xlfn.BINOM.INV($D483,0.95,0.05)</f>
        <v>15</v>
      </c>
    </row>
    <row r="484" spans="1:12" s="202" customFormat="1" ht="18" customHeight="1" x14ac:dyDescent="0.25">
      <c r="B484" s="312" t="s">
        <v>529</v>
      </c>
      <c r="C484" s="312"/>
      <c r="D484" s="214">
        <f>SQRT(SUMIF(E482:G482,"&lt;&gt;#N/A")/COUNTIF(E482:G482,"&lt;&gt;#N/A"))</f>
        <v>9.6864420967570544E-2</v>
      </c>
      <c r="F484" s="219" t="s">
        <v>517</v>
      </c>
      <c r="G484" s="220">
        <f>G483/D483</f>
        <v>0.83333333333333337</v>
      </c>
    </row>
    <row r="485" spans="1:12" s="202" customFormat="1" ht="18" customHeight="1" x14ac:dyDescent="0.25">
      <c r="A485" s="203"/>
      <c r="B485" s="203"/>
      <c r="C485" s="221" t="s">
        <v>530</v>
      </c>
      <c r="D485" s="214">
        <f>D441+G487*D484</f>
        <v>1.0620282652383688</v>
      </c>
      <c r="E485" s="202">
        <f>D432</f>
        <v>0</v>
      </c>
    </row>
    <row r="486" spans="1:12" s="202" customFormat="1" ht="18" customHeight="1" x14ac:dyDescent="0.25">
      <c r="A486" s="217"/>
      <c r="B486" s="217"/>
      <c r="C486" s="217"/>
      <c r="D486" s="212" t="str">
        <f>IF(U478&gt;=G483,"Pass","Fail")</f>
        <v>Pass</v>
      </c>
      <c r="F486" s="219" t="s">
        <v>365</v>
      </c>
      <c r="G486" s="216">
        <v>0.05</v>
      </c>
    </row>
    <row r="487" spans="1:12" s="202" customFormat="1" ht="18" customHeight="1" x14ac:dyDescent="0.25">
      <c r="A487" s="217"/>
      <c r="B487" s="217"/>
      <c r="C487" s="217"/>
      <c r="F487" s="219" t="s">
        <v>520</v>
      </c>
      <c r="G487" s="222">
        <f>_xlfn.NORM.INV(1-G486,0,1)/(1-(1/(4*((COUNT(E472:E480)-1)+(COUNT(F472:F480)-1)+(COUNT(G472:G480)-1)))))</f>
        <v>1.6727325019845474</v>
      </c>
    </row>
    <row r="488" spans="1:12" s="202" customFormat="1" ht="18" customHeight="1" x14ac:dyDescent="0.25">
      <c r="A488" s="217"/>
      <c r="B488" s="217"/>
      <c r="C488" s="217"/>
    </row>
    <row r="489" spans="1:12" s="202" customFormat="1" ht="18" customHeight="1" x14ac:dyDescent="0.25"/>
    <row r="490" spans="1:12" s="203" customFormat="1" ht="18" customHeight="1" x14ac:dyDescent="0.25">
      <c r="B490" s="230" t="s">
        <v>531</v>
      </c>
    </row>
    <row r="491" spans="1:12" s="206" customFormat="1" ht="18" customHeight="1" x14ac:dyDescent="0.25"/>
    <row r="492" spans="1:12" s="206" customFormat="1" ht="18" customHeight="1" x14ac:dyDescent="0.25">
      <c r="B492" s="319" t="s">
        <v>532</v>
      </c>
      <c r="C492" s="319"/>
      <c r="D492" s="223">
        <v>1.5</v>
      </c>
      <c r="E492" s="209" t="e">
        <f>G4</f>
        <v>#REF!</v>
      </c>
    </row>
    <row r="493" spans="1:12" s="206" customFormat="1" ht="18" customHeight="1" x14ac:dyDescent="0.25"/>
    <row r="494" spans="1:12" s="202" customFormat="1" ht="18" customHeight="1" x14ac:dyDescent="0.25"/>
    <row r="495" spans="1:12" s="202" customFormat="1" ht="18" customHeight="1" x14ac:dyDescent="0.25">
      <c r="C495" s="320" t="s">
        <v>533</v>
      </c>
      <c r="D495" s="320"/>
      <c r="E495" s="320"/>
      <c r="F495" s="320"/>
      <c r="G495" s="320"/>
    </row>
    <row r="496" spans="1:12" s="202" customFormat="1" ht="18" customHeight="1" x14ac:dyDescent="0.25">
      <c r="C496" s="320"/>
      <c r="D496" s="320"/>
      <c r="E496" s="320"/>
      <c r="F496" s="320"/>
      <c r="G496" s="320"/>
      <c r="J496" s="297" t="s">
        <v>534</v>
      </c>
      <c r="K496" s="297"/>
      <c r="L496" s="297"/>
    </row>
    <row r="497" spans="2:24" s="202" customFormat="1" ht="18" customHeight="1" x14ac:dyDescent="0.25">
      <c r="C497" s="212" t="s">
        <v>535</v>
      </c>
      <c r="D497" s="212" t="s">
        <v>505</v>
      </c>
      <c r="E497" s="212" t="s">
        <v>506</v>
      </c>
      <c r="F497" s="212" t="s">
        <v>507</v>
      </c>
      <c r="G497" s="212" t="s">
        <v>508</v>
      </c>
      <c r="J497" s="231" t="s">
        <v>506</v>
      </c>
      <c r="K497" s="231" t="s">
        <v>507</v>
      </c>
      <c r="L497" s="231" t="s">
        <v>508</v>
      </c>
      <c r="R497" s="297" t="s">
        <v>536</v>
      </c>
      <c r="S497" s="297"/>
      <c r="T497" s="297"/>
      <c r="V497" s="297" t="s">
        <v>537</v>
      </c>
      <c r="W497" s="297"/>
      <c r="X497" s="297"/>
    </row>
    <row r="498" spans="2:24" s="202" customFormat="1" ht="18" customHeight="1" x14ac:dyDescent="0.25">
      <c r="C498" s="316" t="s">
        <v>100</v>
      </c>
      <c r="D498" s="215">
        <v>44857</v>
      </c>
      <c r="E498" s="216">
        <v>14</v>
      </c>
      <c r="F498" s="216">
        <v>15</v>
      </c>
      <c r="G498" s="216"/>
      <c r="J498" s="222">
        <f t="shared" ref="J498:L506" si="47">IF(V498&lt;100,V498,"")</f>
        <v>8.0291970802919668</v>
      </c>
      <c r="K498" s="222">
        <f t="shared" si="47"/>
        <v>1.459854014598535</v>
      </c>
      <c r="L498" s="222" t="e">
        <f t="shared" si="47"/>
        <v>#VALUE!</v>
      </c>
      <c r="R498" s="214" t="e">
        <f>IF(AND(J498&lt;D516,J498&gt;0),1,"")</f>
        <v>#REF!</v>
      </c>
      <c r="S498" s="214" t="e">
        <f>IF(AND(K498&lt;D516,K498&gt;0),1,"")</f>
        <v>#REF!</v>
      </c>
      <c r="T498" s="214" t="e">
        <f>IF(AND(L498&lt;D516,L498&gt;0),1,"")</f>
        <v>#VALUE!</v>
      </c>
      <c r="V498" s="214">
        <f>SQRT(POWER(((E507-E498)/E507)*100,2))</f>
        <v>8.0291970802919668</v>
      </c>
      <c r="W498" s="214">
        <f>SQRT(POWER(((F507-F498)/F507)*100,2))</f>
        <v>1.459854014598535</v>
      </c>
      <c r="X498" s="214" t="e">
        <f>SQRT(POWER(((G507-G498)/G507)*100,2))</f>
        <v>#VALUE!</v>
      </c>
    </row>
    <row r="499" spans="2:24" s="202" customFormat="1" ht="18" customHeight="1" x14ac:dyDescent="0.25">
      <c r="C499" s="316"/>
      <c r="D499" s="215">
        <v>44857</v>
      </c>
      <c r="E499" s="216">
        <v>13</v>
      </c>
      <c r="F499" s="216">
        <v>14</v>
      </c>
      <c r="G499" s="216"/>
      <c r="J499" s="222">
        <f t="shared" si="47"/>
        <v>14.598540145985398</v>
      </c>
      <c r="K499" s="222">
        <f t="shared" si="47"/>
        <v>8.0291970802919668</v>
      </c>
      <c r="L499" s="222" t="e">
        <f t="shared" si="47"/>
        <v>#VALUE!</v>
      </c>
      <c r="R499" s="214" t="e">
        <f>IF(AND(J499&lt;D516,J499&gt;0),1,"")</f>
        <v>#REF!</v>
      </c>
      <c r="S499" s="214" t="e">
        <f>IF(AND(K499&lt;D516,K499&gt;0),1,"")</f>
        <v>#REF!</v>
      </c>
      <c r="T499" s="214" t="e">
        <f>IF(AND(L499&lt;D516,L499&gt;0),1,"")</f>
        <v>#VALUE!</v>
      </c>
      <c r="V499" s="214">
        <f>SQRT(POWER(((E507-E499)/E507)*100,2))</f>
        <v>14.598540145985398</v>
      </c>
      <c r="W499" s="214">
        <f>SQRT(POWER(((F507-F499)/F507)*100,2))</f>
        <v>8.0291970802919668</v>
      </c>
      <c r="X499" s="214" t="e">
        <f>SQRT(POWER(((G507-G499)/G507)*100,2))</f>
        <v>#VALUE!</v>
      </c>
    </row>
    <row r="500" spans="2:24" s="202" customFormat="1" ht="18" customHeight="1" x14ac:dyDescent="0.25">
      <c r="C500" s="316"/>
      <c r="D500" s="215">
        <v>44857</v>
      </c>
      <c r="E500" s="216">
        <v>15</v>
      </c>
      <c r="F500" s="216">
        <v>16</v>
      </c>
      <c r="G500" s="216"/>
      <c r="J500" s="222">
        <f t="shared" si="47"/>
        <v>1.459854014598535</v>
      </c>
      <c r="K500" s="222">
        <f t="shared" si="47"/>
        <v>5.1094890510948963</v>
      </c>
      <c r="L500" s="222" t="e">
        <f t="shared" si="47"/>
        <v>#VALUE!</v>
      </c>
      <c r="R500" s="214" t="e">
        <f>IF(AND(J500&lt;D516,J500&gt;0),1,"")</f>
        <v>#REF!</v>
      </c>
      <c r="S500" s="214" t="e">
        <f>IF(AND(K500&lt;D516,K500&gt;0),1,"")</f>
        <v>#REF!</v>
      </c>
      <c r="T500" s="214" t="e">
        <f>IF(AND(L500&lt;D516,L500&gt;0),1,"")</f>
        <v>#VALUE!</v>
      </c>
      <c r="V500" s="214">
        <f>SQRT(POWER(((E507-E500)/E507)*100,2))</f>
        <v>1.459854014598535</v>
      </c>
      <c r="W500" s="214">
        <f>SQRT(POWER(((F507-F500)/F507)*100,2))</f>
        <v>5.1094890510948963</v>
      </c>
      <c r="X500" s="214" t="e">
        <f>SQRT(POWER(((G507-G500)/G507)*100,2))</f>
        <v>#VALUE!</v>
      </c>
    </row>
    <row r="501" spans="2:24" s="202" customFormat="1" ht="18" customHeight="1" x14ac:dyDescent="0.25">
      <c r="C501" s="316" t="s">
        <v>102</v>
      </c>
      <c r="D501" s="215">
        <v>44858</v>
      </c>
      <c r="E501" s="216">
        <v>16</v>
      </c>
      <c r="F501" s="216">
        <v>15</v>
      </c>
      <c r="G501" s="216"/>
      <c r="J501" s="222">
        <f t="shared" si="47"/>
        <v>5.1094890510948963</v>
      </c>
      <c r="K501" s="222">
        <f t="shared" si="47"/>
        <v>1.459854014598535</v>
      </c>
      <c r="L501" s="222" t="e">
        <f t="shared" si="47"/>
        <v>#VALUE!</v>
      </c>
      <c r="R501" s="214" t="e">
        <f>IF(AND(J501&lt;D516,J501&gt;0),1,"")</f>
        <v>#REF!</v>
      </c>
      <c r="S501" s="214" t="e">
        <f>IF(AND(K501&lt;D516,K501&gt;0),1,"")</f>
        <v>#REF!</v>
      </c>
      <c r="T501" s="214" t="e">
        <f>IF(AND(L501&lt;D516,L501&gt;0),1,"")</f>
        <v>#VALUE!</v>
      </c>
      <c r="V501" s="214">
        <f>SQRT(POWER(((E507-E501)/E507)*100,2))</f>
        <v>5.1094890510948963</v>
      </c>
      <c r="W501" s="214">
        <f>SQRT(POWER(((F507-F501)/F507)*100,2))</f>
        <v>1.459854014598535</v>
      </c>
      <c r="X501" s="214" t="e">
        <f>SQRT(POWER(((G507-G501)/G507)*100,2))</f>
        <v>#VALUE!</v>
      </c>
    </row>
    <row r="502" spans="2:24" s="202" customFormat="1" ht="18" customHeight="1" x14ac:dyDescent="0.25">
      <c r="C502" s="316"/>
      <c r="D502" s="215">
        <v>44858</v>
      </c>
      <c r="E502" s="216">
        <v>15</v>
      </c>
      <c r="F502" s="216">
        <v>16</v>
      </c>
      <c r="G502" s="216"/>
      <c r="J502" s="222">
        <f t="shared" si="47"/>
        <v>1.459854014598535</v>
      </c>
      <c r="K502" s="222">
        <f t="shared" si="47"/>
        <v>5.1094890510948963</v>
      </c>
      <c r="L502" s="222" t="e">
        <f t="shared" si="47"/>
        <v>#VALUE!</v>
      </c>
      <c r="R502" s="214" t="e">
        <f>IF(AND(J502&lt;D516,J502&gt;0),1,"")</f>
        <v>#REF!</v>
      </c>
      <c r="S502" s="214" t="e">
        <f>IF(AND(K502&lt;D516,K502&gt;0),1,"")</f>
        <v>#REF!</v>
      </c>
      <c r="T502" s="214" t="e">
        <f>IF(AND(L502&lt;D516,L502&gt;0),1,"")</f>
        <v>#VALUE!</v>
      </c>
      <c r="V502" s="214">
        <f>SQRT(POWER(((E507-E502)/E507)*100,2))</f>
        <v>1.459854014598535</v>
      </c>
      <c r="W502" s="214">
        <f>SQRT(POWER(((F507-F502)/F507)*100,2))</f>
        <v>5.1094890510948963</v>
      </c>
      <c r="X502" s="214" t="e">
        <f>SQRT(POWER(((G507-G502)/G507)*100,2))</f>
        <v>#VALUE!</v>
      </c>
    </row>
    <row r="503" spans="2:24" s="202" customFormat="1" ht="18" customHeight="1" x14ac:dyDescent="0.25">
      <c r="C503" s="316"/>
      <c r="D503" s="215">
        <v>44858</v>
      </c>
      <c r="E503" s="216">
        <v>17</v>
      </c>
      <c r="F503" s="216">
        <v>14</v>
      </c>
      <c r="G503" s="216"/>
      <c r="J503" s="222">
        <f t="shared" si="47"/>
        <v>11.678832116788326</v>
      </c>
      <c r="K503" s="222">
        <f t="shared" si="47"/>
        <v>8.0291970802919668</v>
      </c>
      <c r="L503" s="222" t="e">
        <f t="shared" si="47"/>
        <v>#VALUE!</v>
      </c>
      <c r="R503" s="214" t="e">
        <f>IF(AND(J503&lt;D516,J503&gt;0),1,"")</f>
        <v>#REF!</v>
      </c>
      <c r="S503" s="214" t="e">
        <f>IF(AND(K503&lt;D516,K503&gt;0),1,"")</f>
        <v>#REF!</v>
      </c>
      <c r="T503" s="214" t="e">
        <f>IF(AND(L503&lt;D516,L503&gt;0),1,"")</f>
        <v>#VALUE!</v>
      </c>
      <c r="V503" s="214">
        <f>SQRT(POWER(((E507-E503)/E507)*100,2))</f>
        <v>11.678832116788326</v>
      </c>
      <c r="W503" s="214">
        <f>SQRT(POWER(((F507-F503)/F507)*100,2))</f>
        <v>8.0291970802919668</v>
      </c>
      <c r="X503" s="214" t="e">
        <f>SQRT(POWER(((G507-G503)/G507)*100,2))</f>
        <v>#VALUE!</v>
      </c>
    </row>
    <row r="504" spans="2:24" s="202" customFormat="1" ht="18" customHeight="1" x14ac:dyDescent="0.25">
      <c r="C504" s="316" t="s">
        <v>103</v>
      </c>
      <c r="D504" s="215">
        <v>44859</v>
      </c>
      <c r="E504" s="216">
        <v>15</v>
      </c>
      <c r="F504" s="216">
        <v>16</v>
      </c>
      <c r="G504" s="216"/>
      <c r="J504" s="222">
        <f t="shared" si="47"/>
        <v>1.459854014598535</v>
      </c>
      <c r="K504" s="222">
        <f t="shared" si="47"/>
        <v>5.1094890510948963</v>
      </c>
      <c r="L504" s="222" t="e">
        <f t="shared" si="47"/>
        <v>#VALUE!</v>
      </c>
      <c r="R504" s="214" t="e">
        <f>IF(AND(J504&lt;D516,J504&gt;0),1,"")</f>
        <v>#REF!</v>
      </c>
      <c r="S504" s="214" t="e">
        <f>IF(AND(K504&lt;D516,K504&gt;0),1,"")</f>
        <v>#REF!</v>
      </c>
      <c r="T504" s="214" t="e">
        <f>IF(AND(L504&lt;D516,L504&gt;0),1,"")</f>
        <v>#VALUE!</v>
      </c>
      <c r="V504" s="214">
        <f>SQRT(POWER(((E507-E504)/E507)*100,2))</f>
        <v>1.459854014598535</v>
      </c>
      <c r="W504" s="214">
        <f>SQRT(POWER(((F507-F504)/F507)*100,2))</f>
        <v>5.1094890510948963</v>
      </c>
      <c r="X504" s="214" t="e">
        <f>SQRT(POWER(((G507-G504)/G507)*100,2))</f>
        <v>#VALUE!</v>
      </c>
    </row>
    <row r="505" spans="2:24" s="202" customFormat="1" ht="18" customHeight="1" x14ac:dyDescent="0.25">
      <c r="C505" s="316"/>
      <c r="D505" s="215">
        <v>44859</v>
      </c>
      <c r="E505" s="216">
        <v>14</v>
      </c>
      <c r="F505" s="216">
        <v>15</v>
      </c>
      <c r="G505" s="216"/>
      <c r="J505" s="222">
        <f t="shared" si="47"/>
        <v>8.0291970802919668</v>
      </c>
      <c r="K505" s="222">
        <f t="shared" si="47"/>
        <v>1.459854014598535</v>
      </c>
      <c r="L505" s="222" t="e">
        <f t="shared" si="47"/>
        <v>#VALUE!</v>
      </c>
      <c r="R505" s="214" t="e">
        <f>IF(AND(J505&lt;D516,J505&gt;0),1,"")</f>
        <v>#REF!</v>
      </c>
      <c r="S505" s="214" t="e">
        <f>IF(AND(K505&lt;D516,K505&gt;0),1,"")</f>
        <v>#REF!</v>
      </c>
      <c r="T505" s="214" t="e">
        <f>IF(AND(L505&lt;D516,L505&gt;0),1,"")</f>
        <v>#VALUE!</v>
      </c>
      <c r="V505" s="214">
        <f>SQRT(POWER(((E507-E505)/E507)*100,2))</f>
        <v>8.0291970802919668</v>
      </c>
      <c r="W505" s="214">
        <f>SQRT(POWER(((F507-F505)/F507)*100,2))</f>
        <v>1.459854014598535</v>
      </c>
      <c r="X505" s="214" t="e">
        <f>SQRT(POWER(((G507-G505)/G507)*100,2))</f>
        <v>#VALUE!</v>
      </c>
    </row>
    <row r="506" spans="2:24" s="202" customFormat="1" ht="18" customHeight="1" x14ac:dyDescent="0.25">
      <c r="C506" s="316"/>
      <c r="D506" s="215">
        <v>44859</v>
      </c>
      <c r="E506" s="216">
        <v>18</v>
      </c>
      <c r="F506" s="216">
        <v>16</v>
      </c>
      <c r="G506" s="216"/>
      <c r="J506" s="222">
        <f t="shared" si="47"/>
        <v>18.248175182481756</v>
      </c>
      <c r="K506" s="222">
        <f t="shared" si="47"/>
        <v>5.1094890510948963</v>
      </c>
      <c r="L506" s="222" t="e">
        <f t="shared" si="47"/>
        <v>#VALUE!</v>
      </c>
      <c r="R506" s="214" t="e">
        <f>IF(AND(J506&lt;D516,J506&gt;0),1,"")</f>
        <v>#REF!</v>
      </c>
      <c r="S506" s="214" t="e">
        <f>IF(AND(K506&lt;D516,K506&gt;0),1,"")</f>
        <v>#REF!</v>
      </c>
      <c r="T506" s="214" t="e">
        <f>IF(AND(L506&lt;D516,L506&gt;0),1,"")</f>
        <v>#VALUE!</v>
      </c>
      <c r="V506" s="214">
        <f>SQRT(POWER(((E507-E506)/E507)*100,2))</f>
        <v>18.248175182481756</v>
      </c>
      <c r="W506" s="214">
        <f>SQRT(POWER(((F507-F506)/F507)*100,2))</f>
        <v>5.1094890510948963</v>
      </c>
      <c r="X506" s="214" t="e">
        <f>SQRT(POWER(((G507-G506)/G507)*100,2))</f>
        <v>#VALUE!</v>
      </c>
    </row>
    <row r="507" spans="2:24" s="202" customFormat="1" ht="18" customHeight="1" x14ac:dyDescent="0.25">
      <c r="C507" s="321" t="s">
        <v>538</v>
      </c>
      <c r="D507" s="321"/>
      <c r="E507" s="232">
        <f>IF(ISERROR(AVERAGE(E498:E506)),"",AVERAGE(E498:E506))</f>
        <v>15.222222222222221</v>
      </c>
      <c r="F507" s="232">
        <f>IF(ISERROR(AVERAGE(F498:F506)),"",AVERAGE(F498:F506))</f>
        <v>15.222222222222221</v>
      </c>
      <c r="G507" s="232" t="str">
        <f>IF(ISERROR(AVERAGE(G498:G506)),"",AVERAGE(G498:G506))</f>
        <v/>
      </c>
      <c r="O507" s="317" t="s">
        <v>539</v>
      </c>
      <c r="P507" s="317"/>
      <c r="Q507" s="214">
        <f>COUNT(R498:T506)</f>
        <v>0</v>
      </c>
    </row>
    <row r="508" spans="2:24" s="202" customFormat="1" ht="18" customHeight="1" x14ac:dyDescent="0.25">
      <c r="D508" s="233" t="s">
        <v>528</v>
      </c>
      <c r="E508" s="232">
        <f>IF(ISERROR(_xlfn.STDEV.P(E498:E506)),"",_xlfn.STDEV.P(E498:E506))</f>
        <v>1.4740554623801776</v>
      </c>
      <c r="F508" s="232">
        <f>IF(ISERROR(_xlfn.STDEV.P(F498:F506)),"",_xlfn.STDEV.P(F498:F506))</f>
        <v>0.78567420131838606</v>
      </c>
      <c r="G508" s="232" t="str">
        <f>IF(ISERROR(_xlfn.STDEV.P(G498:G506)),"",_xlfn.STDEV.P(G498:G506))</f>
        <v/>
      </c>
      <c r="O508" s="317" t="s">
        <v>540</v>
      </c>
      <c r="P508" s="317"/>
      <c r="Q508" s="218">
        <f>Q507/D512*100</f>
        <v>0</v>
      </c>
    </row>
    <row r="509" spans="2:24" s="202" customFormat="1" ht="18" customHeight="1" x14ac:dyDescent="0.25">
      <c r="D509" s="233" t="s">
        <v>541</v>
      </c>
      <c r="E509" s="234">
        <f>IF(ISERROR(E508/E507),"",E508/E507)</f>
        <v>9.6835760302347432E-2</v>
      </c>
      <c r="F509" s="234">
        <f>IF(ISERROR(F508/F507),"",F508/F507)</f>
        <v>5.161363366325164E-2</v>
      </c>
      <c r="G509" s="234" t="str">
        <f>IF(ISERROR(G508/G507),"",G508/G507)</f>
        <v/>
      </c>
    </row>
    <row r="510" spans="2:24" s="202" customFormat="1" ht="18" customHeight="1" x14ac:dyDescent="0.25">
      <c r="D510" s="233"/>
      <c r="V510" s="318"/>
      <c r="W510" s="318"/>
      <c r="X510" s="318"/>
    </row>
    <row r="511" spans="2:24" s="202" customFormat="1" ht="18" customHeight="1" x14ac:dyDescent="0.25">
      <c r="D511" s="233"/>
    </row>
    <row r="512" spans="2:24" s="202" customFormat="1" ht="18" customHeight="1" x14ac:dyDescent="0.25">
      <c r="B512" s="312" t="s">
        <v>514</v>
      </c>
      <c r="C512" s="312"/>
      <c r="D512" s="213">
        <f>COUNT(E498:G506)</f>
        <v>18</v>
      </c>
      <c r="F512" s="219" t="s">
        <v>515</v>
      </c>
      <c r="G512" s="214">
        <f>_xlfn.BINOM.INV($D512,0.95,0.05)</f>
        <v>15</v>
      </c>
    </row>
    <row r="513" spans="1:7" s="202" customFormat="1" ht="18" customHeight="1" x14ac:dyDescent="0.25">
      <c r="B513" s="312" t="s">
        <v>542</v>
      </c>
      <c r="C513" s="312"/>
      <c r="D513" s="213">
        <f>COUNT(E509:G509)</f>
        <v>2</v>
      </c>
      <c r="F513" s="219" t="s">
        <v>517</v>
      </c>
      <c r="G513" s="220">
        <f>G512/D512</f>
        <v>0.83333333333333337</v>
      </c>
    </row>
    <row r="514" spans="1:7" s="202" customFormat="1" ht="18" customHeight="1" x14ac:dyDescent="0.25">
      <c r="A514" s="312" t="s">
        <v>543</v>
      </c>
      <c r="B514" s="312"/>
      <c r="C514" s="312"/>
      <c r="D514" s="227">
        <f>AVERAGE(E507:G507)</f>
        <v>15.222222222222221</v>
      </c>
    </row>
    <row r="515" spans="1:7" s="202" customFormat="1" ht="18" customHeight="1" x14ac:dyDescent="0.25">
      <c r="A515" s="318"/>
      <c r="B515" s="318"/>
      <c r="C515" s="318"/>
      <c r="D515" s="203"/>
      <c r="F515" s="219" t="s">
        <v>365</v>
      </c>
      <c r="G515" s="216">
        <v>0.05</v>
      </c>
    </row>
    <row r="516" spans="1:7" s="202" customFormat="1" ht="18" customHeight="1" x14ac:dyDescent="0.25">
      <c r="B516" s="313" t="s">
        <v>544</v>
      </c>
      <c r="C516" s="313"/>
      <c r="D516" s="213" t="e">
        <v>#REF!</v>
      </c>
      <c r="E516" s="202" t="s">
        <v>513</v>
      </c>
      <c r="F516" s="219" t="s">
        <v>520</v>
      </c>
      <c r="G516" s="222">
        <f>_xlfn.NORM.INV(1-G515,0,1)/(1-(1/(4*((COUNT(E498:E506)-1)+(COUNT(F498:F506)-1)+(COUNT(G498:G506)-1)))))</f>
        <v>1.6727325019845474</v>
      </c>
    </row>
    <row r="517" spans="1:7" s="202" customFormat="1" ht="18" customHeight="1" x14ac:dyDescent="0.25">
      <c r="D517" s="212" t="str">
        <f>IF(Q507&gt;=G512,"Pass","Fail")</f>
        <v>Fail</v>
      </c>
    </row>
    <row r="518" spans="1:7" s="202" customFormat="1" ht="18" customHeight="1" x14ac:dyDescent="0.25"/>
  </sheetData>
  <protectedRanges>
    <protectedRange sqref="J61:L160" name="Apply Inclusion and Exclusion Criteria"/>
  </protectedRanges>
  <dataConsolidate/>
  <mergeCells count="336">
    <mergeCell ref="B512:C512"/>
    <mergeCell ref="B513:C513"/>
    <mergeCell ref="A514:C514"/>
    <mergeCell ref="A515:C515"/>
    <mergeCell ref="B516:C516"/>
    <mergeCell ref="C501:C503"/>
    <mergeCell ref="C504:C506"/>
    <mergeCell ref="C507:D507"/>
    <mergeCell ref="O507:P507"/>
    <mergeCell ref="O508:P508"/>
    <mergeCell ref="V510:X510"/>
    <mergeCell ref="B492:C492"/>
    <mergeCell ref="C495:G496"/>
    <mergeCell ref="J496:L496"/>
    <mergeCell ref="R497:T497"/>
    <mergeCell ref="V497:X497"/>
    <mergeCell ref="C498:C500"/>
    <mergeCell ref="C475:C477"/>
    <mergeCell ref="C478:C480"/>
    <mergeCell ref="S478:T478"/>
    <mergeCell ref="S479:T479"/>
    <mergeCell ref="B483:C483"/>
    <mergeCell ref="B484:C484"/>
    <mergeCell ref="J461:M461"/>
    <mergeCell ref="N461:Q461"/>
    <mergeCell ref="B467:C467"/>
    <mergeCell ref="V468:X468"/>
    <mergeCell ref="C469:G470"/>
    <mergeCell ref="C472:C474"/>
    <mergeCell ref="B459:C459"/>
    <mergeCell ref="J459:M459"/>
    <mergeCell ref="N459:Q459"/>
    <mergeCell ref="A460:C460"/>
    <mergeCell ref="J460:M460"/>
    <mergeCell ref="N460:Q460"/>
    <mergeCell ref="B457:C457"/>
    <mergeCell ref="J457:M457"/>
    <mergeCell ref="N457:Q457"/>
    <mergeCell ref="B458:C458"/>
    <mergeCell ref="J458:M458"/>
    <mergeCell ref="N458:Q458"/>
    <mergeCell ref="S454:T454"/>
    <mergeCell ref="J455:M455"/>
    <mergeCell ref="N455:Q455"/>
    <mergeCell ref="S455:T455"/>
    <mergeCell ref="J456:M456"/>
    <mergeCell ref="N456:Q456"/>
    <mergeCell ref="C452:C454"/>
    <mergeCell ref="J452:M452"/>
    <mergeCell ref="N452:Q452"/>
    <mergeCell ref="J453:M453"/>
    <mergeCell ref="N453:Q453"/>
    <mergeCell ref="J454:M454"/>
    <mergeCell ref="N454:Q454"/>
    <mergeCell ref="C449:C451"/>
    <mergeCell ref="J449:M449"/>
    <mergeCell ref="N449:Q449"/>
    <mergeCell ref="J450:M450"/>
    <mergeCell ref="N450:Q450"/>
    <mergeCell ref="J451:M451"/>
    <mergeCell ref="N451:Q451"/>
    <mergeCell ref="C446:C448"/>
    <mergeCell ref="J446:M446"/>
    <mergeCell ref="N446:Q446"/>
    <mergeCell ref="J447:M447"/>
    <mergeCell ref="N447:Q447"/>
    <mergeCell ref="J448:M448"/>
    <mergeCell ref="N448:Q448"/>
    <mergeCell ref="B441:C441"/>
    <mergeCell ref="C443:G444"/>
    <mergeCell ref="J444:Q444"/>
    <mergeCell ref="V444:X444"/>
    <mergeCell ref="J445:M445"/>
    <mergeCell ref="N445:Q445"/>
    <mergeCell ref="B288:D288"/>
    <mergeCell ref="B290:D290"/>
    <mergeCell ref="B373:M376"/>
    <mergeCell ref="B435:C435"/>
    <mergeCell ref="E435:F435"/>
    <mergeCell ref="B437:C437"/>
    <mergeCell ref="E437:F437"/>
    <mergeCell ref="G250:G251"/>
    <mergeCell ref="H250:H251"/>
    <mergeCell ref="I250:I251"/>
    <mergeCell ref="B284:D284"/>
    <mergeCell ref="D285:F285"/>
    <mergeCell ref="B286:D286"/>
    <mergeCell ref="B246:E246"/>
    <mergeCell ref="B250:B251"/>
    <mergeCell ref="C250:C251"/>
    <mergeCell ref="D250:D251"/>
    <mergeCell ref="E250:E251"/>
    <mergeCell ref="F250:F251"/>
    <mergeCell ref="G210:G212"/>
    <mergeCell ref="H210:H212"/>
    <mergeCell ref="B238:H238"/>
    <mergeCell ref="B240:C240"/>
    <mergeCell ref="B242:E242"/>
    <mergeCell ref="B244:E244"/>
    <mergeCell ref="B206:E206"/>
    <mergeCell ref="B210:B212"/>
    <mergeCell ref="C210:C212"/>
    <mergeCell ref="D210:D212"/>
    <mergeCell ref="E210:E212"/>
    <mergeCell ref="F210:F212"/>
    <mergeCell ref="B160:C160"/>
    <mergeCell ref="K160:M160"/>
    <mergeCell ref="B198:H198"/>
    <mergeCell ref="B200:C200"/>
    <mergeCell ref="B202:E202"/>
    <mergeCell ref="B204:E204"/>
    <mergeCell ref="B157:C157"/>
    <mergeCell ref="K157:M157"/>
    <mergeCell ref="B158:C158"/>
    <mergeCell ref="K158:M158"/>
    <mergeCell ref="B159:C159"/>
    <mergeCell ref="K159:M159"/>
    <mergeCell ref="B154:C154"/>
    <mergeCell ref="K154:M154"/>
    <mergeCell ref="B155:C155"/>
    <mergeCell ref="K155:M155"/>
    <mergeCell ref="B156:C156"/>
    <mergeCell ref="K156:M156"/>
    <mergeCell ref="B151:C151"/>
    <mergeCell ref="K151:M151"/>
    <mergeCell ref="B152:C152"/>
    <mergeCell ref="K152:M152"/>
    <mergeCell ref="B153:C153"/>
    <mergeCell ref="K153:M153"/>
    <mergeCell ref="B148:C148"/>
    <mergeCell ref="K148:M148"/>
    <mergeCell ref="B149:C149"/>
    <mergeCell ref="K149:M149"/>
    <mergeCell ref="B150:C150"/>
    <mergeCell ref="K150:M150"/>
    <mergeCell ref="B145:C145"/>
    <mergeCell ref="K145:M145"/>
    <mergeCell ref="B146:C146"/>
    <mergeCell ref="K146:M146"/>
    <mergeCell ref="B147:C147"/>
    <mergeCell ref="K147:M147"/>
    <mergeCell ref="B142:C142"/>
    <mergeCell ref="K142:M142"/>
    <mergeCell ref="B143:C143"/>
    <mergeCell ref="K143:M143"/>
    <mergeCell ref="B144:C144"/>
    <mergeCell ref="K144:M144"/>
    <mergeCell ref="B139:C139"/>
    <mergeCell ref="K139:M139"/>
    <mergeCell ref="B140:C140"/>
    <mergeCell ref="K140:M140"/>
    <mergeCell ref="B141:C141"/>
    <mergeCell ref="K141:M141"/>
    <mergeCell ref="B136:C136"/>
    <mergeCell ref="K136:M136"/>
    <mergeCell ref="B137:C137"/>
    <mergeCell ref="K137:M137"/>
    <mergeCell ref="B138:C138"/>
    <mergeCell ref="K138:M138"/>
    <mergeCell ref="B133:C133"/>
    <mergeCell ref="K133:M133"/>
    <mergeCell ref="B134:C134"/>
    <mergeCell ref="K134:M134"/>
    <mergeCell ref="B135:C135"/>
    <mergeCell ref="K135:M135"/>
    <mergeCell ref="B130:C130"/>
    <mergeCell ref="K130:M130"/>
    <mergeCell ref="B131:C131"/>
    <mergeCell ref="K131:M131"/>
    <mergeCell ref="B132:C132"/>
    <mergeCell ref="K132:M132"/>
    <mergeCell ref="B127:C127"/>
    <mergeCell ref="K127:M127"/>
    <mergeCell ref="B128:C128"/>
    <mergeCell ref="K128:M128"/>
    <mergeCell ref="B129:C129"/>
    <mergeCell ref="K129:M129"/>
    <mergeCell ref="B124:C124"/>
    <mergeCell ref="K124:M124"/>
    <mergeCell ref="B125:C125"/>
    <mergeCell ref="K125:M125"/>
    <mergeCell ref="B126:C126"/>
    <mergeCell ref="K126:M126"/>
    <mergeCell ref="B121:C121"/>
    <mergeCell ref="K121:M121"/>
    <mergeCell ref="B122:C122"/>
    <mergeCell ref="K122:M122"/>
    <mergeCell ref="B123:C123"/>
    <mergeCell ref="K123:M123"/>
    <mergeCell ref="B118:C118"/>
    <mergeCell ref="K118:M118"/>
    <mergeCell ref="B119:C119"/>
    <mergeCell ref="K119:M119"/>
    <mergeCell ref="B120:C120"/>
    <mergeCell ref="K120:M120"/>
    <mergeCell ref="B115:C115"/>
    <mergeCell ref="K115:M115"/>
    <mergeCell ref="B116:C116"/>
    <mergeCell ref="K116:M116"/>
    <mergeCell ref="B117:C117"/>
    <mergeCell ref="K117:M117"/>
    <mergeCell ref="B112:C112"/>
    <mergeCell ref="K112:M112"/>
    <mergeCell ref="B113:C113"/>
    <mergeCell ref="K113:M113"/>
    <mergeCell ref="B114:C114"/>
    <mergeCell ref="K114:M114"/>
    <mergeCell ref="B109:C109"/>
    <mergeCell ref="K109:M109"/>
    <mergeCell ref="B110:C110"/>
    <mergeCell ref="K110:M110"/>
    <mergeCell ref="B111:C111"/>
    <mergeCell ref="K111:M111"/>
    <mergeCell ref="B106:C106"/>
    <mergeCell ref="K106:M106"/>
    <mergeCell ref="B107:C107"/>
    <mergeCell ref="K107:M107"/>
    <mergeCell ref="B108:C108"/>
    <mergeCell ref="K108:M108"/>
    <mergeCell ref="B103:C103"/>
    <mergeCell ref="K103:M103"/>
    <mergeCell ref="B104:C104"/>
    <mergeCell ref="K104:M104"/>
    <mergeCell ref="B105:C105"/>
    <mergeCell ref="K105:M105"/>
    <mergeCell ref="B100:C100"/>
    <mergeCell ref="K100:M100"/>
    <mergeCell ref="B101:C101"/>
    <mergeCell ref="K101:M101"/>
    <mergeCell ref="B102:C102"/>
    <mergeCell ref="K102:M102"/>
    <mergeCell ref="B97:C97"/>
    <mergeCell ref="K97:M97"/>
    <mergeCell ref="B98:C98"/>
    <mergeCell ref="K98:M98"/>
    <mergeCell ref="B99:C99"/>
    <mergeCell ref="K99:M99"/>
    <mergeCell ref="B94:C94"/>
    <mergeCell ref="K94:M94"/>
    <mergeCell ref="B95:C95"/>
    <mergeCell ref="K95:M95"/>
    <mergeCell ref="B96:C96"/>
    <mergeCell ref="K96:M96"/>
    <mergeCell ref="B91:C91"/>
    <mergeCell ref="K91:M91"/>
    <mergeCell ref="B92:C92"/>
    <mergeCell ref="K92:M92"/>
    <mergeCell ref="B93:C93"/>
    <mergeCell ref="K93:M93"/>
    <mergeCell ref="B88:C88"/>
    <mergeCell ref="K88:M88"/>
    <mergeCell ref="B89:C89"/>
    <mergeCell ref="K89:M89"/>
    <mergeCell ref="B90:C90"/>
    <mergeCell ref="K90:M90"/>
    <mergeCell ref="B85:C85"/>
    <mergeCell ref="K85:M85"/>
    <mergeCell ref="B86:C86"/>
    <mergeCell ref="K86:M86"/>
    <mergeCell ref="B87:C87"/>
    <mergeCell ref="K87:M87"/>
    <mergeCell ref="B82:C82"/>
    <mergeCell ref="K82:M82"/>
    <mergeCell ref="B83:C83"/>
    <mergeCell ref="K83:M83"/>
    <mergeCell ref="B84:C84"/>
    <mergeCell ref="K84:M84"/>
    <mergeCell ref="B79:C79"/>
    <mergeCell ref="K79:M79"/>
    <mergeCell ref="B80:C80"/>
    <mergeCell ref="K80:M80"/>
    <mergeCell ref="B81:C81"/>
    <mergeCell ref="K81:M81"/>
    <mergeCell ref="B76:C76"/>
    <mergeCell ref="K76:M76"/>
    <mergeCell ref="B77:C77"/>
    <mergeCell ref="K77:M77"/>
    <mergeCell ref="B78:C78"/>
    <mergeCell ref="K78:M78"/>
    <mergeCell ref="B73:C73"/>
    <mergeCell ref="K73:M73"/>
    <mergeCell ref="B74:C74"/>
    <mergeCell ref="K74:M74"/>
    <mergeCell ref="B75:C75"/>
    <mergeCell ref="K75:M75"/>
    <mergeCell ref="B70:C70"/>
    <mergeCell ref="K70:M70"/>
    <mergeCell ref="B71:C71"/>
    <mergeCell ref="K71:M71"/>
    <mergeCell ref="B72:C72"/>
    <mergeCell ref="K72:M72"/>
    <mergeCell ref="B67:C67"/>
    <mergeCell ref="K67:M67"/>
    <mergeCell ref="B68:C68"/>
    <mergeCell ref="K68:M68"/>
    <mergeCell ref="B69:C69"/>
    <mergeCell ref="K69:M69"/>
    <mergeCell ref="B64:C64"/>
    <mergeCell ref="K64:M64"/>
    <mergeCell ref="B65:C65"/>
    <mergeCell ref="K65:M65"/>
    <mergeCell ref="B66:C66"/>
    <mergeCell ref="K66:M66"/>
    <mergeCell ref="K60:M60"/>
    <mergeCell ref="B61:C61"/>
    <mergeCell ref="K61:M61"/>
    <mergeCell ref="B62:C62"/>
    <mergeCell ref="K62:M62"/>
    <mergeCell ref="B63:C63"/>
    <mergeCell ref="K63:M63"/>
    <mergeCell ref="B56:C56"/>
    <mergeCell ref="D56:F56"/>
    <mergeCell ref="G56:I56"/>
    <mergeCell ref="D59:F59"/>
    <mergeCell ref="G59:I59"/>
    <mergeCell ref="B60:C60"/>
    <mergeCell ref="B41:H41"/>
    <mergeCell ref="B43:H43"/>
    <mergeCell ref="B45:E45"/>
    <mergeCell ref="D54:F54"/>
    <mergeCell ref="G54:I54"/>
    <mergeCell ref="B55:C55"/>
    <mergeCell ref="D55:F55"/>
    <mergeCell ref="G55:I55"/>
    <mergeCell ref="B16:E16"/>
    <mergeCell ref="B19:J25"/>
    <mergeCell ref="B28:J30"/>
    <mergeCell ref="B33:E33"/>
    <mergeCell ref="I33:J33"/>
    <mergeCell ref="B36:C36"/>
    <mergeCell ref="B4:E4"/>
    <mergeCell ref="B6:C6"/>
    <mergeCell ref="B8:H8"/>
    <mergeCell ref="B10:H10"/>
    <mergeCell ref="B12:E12"/>
    <mergeCell ref="B14:E14"/>
  </mergeCells>
  <conditionalFormatting sqref="D169">
    <cfRule type="cellIs" dxfId="35" priority="28" operator="greaterThan">
      <formula>1.1</formula>
    </cfRule>
    <cfRule type="cellIs" dxfId="34" priority="27" operator="lessThan">
      <formula>0.9</formula>
    </cfRule>
    <cfRule type="cellIs" dxfId="33" priority="26" operator="between">
      <formula>0.9</formula>
      <formula>1.1</formula>
    </cfRule>
  </conditionalFormatting>
  <conditionalFormatting sqref="D186">
    <cfRule type="cellIs" dxfId="32" priority="1" operator="greaterThan">
      <formula>0.85</formula>
    </cfRule>
  </conditionalFormatting>
  <conditionalFormatting sqref="D355:D356">
    <cfRule type="containsErrors" dxfId="31" priority="14">
      <formula>ISERROR(D355)</formula>
    </cfRule>
  </conditionalFormatting>
  <conditionalFormatting sqref="D426">
    <cfRule type="cellIs" dxfId="30" priority="8" operator="equal">
      <formula>"Fail"</formula>
    </cfRule>
    <cfRule type="cellIs" dxfId="29" priority="9" operator="equal">
      <formula>"Pass"</formula>
    </cfRule>
  </conditionalFormatting>
  <conditionalFormatting sqref="D461">
    <cfRule type="expression" dxfId="28" priority="4">
      <formula>#REF!="pass"</formula>
    </cfRule>
    <cfRule type="expression" dxfId="27" priority="5">
      <formula>#REF!="fail"</formula>
    </cfRule>
  </conditionalFormatting>
  <conditionalFormatting sqref="D486">
    <cfRule type="expression" dxfId="26" priority="2">
      <formula>$D$40="Fail"</formula>
    </cfRule>
    <cfRule type="expression" dxfId="25" priority="3">
      <formula>$D$40="Pass"</formula>
    </cfRule>
  </conditionalFormatting>
  <conditionalFormatting sqref="D517">
    <cfRule type="expression" dxfId="24" priority="35">
      <formula>#REF!="Fail"</formula>
    </cfRule>
    <cfRule type="expression" dxfId="23" priority="36">
      <formula>#REF!="Pass"</formula>
    </cfRule>
  </conditionalFormatting>
  <conditionalFormatting sqref="D342:G343">
    <cfRule type="containsText" dxfId="22" priority="18" operator="containsText" text="Pass">
      <formula>NOT(ISERROR(SEARCH("Pass",D342)))</formula>
    </cfRule>
    <cfRule type="containsText" dxfId="21" priority="19" operator="containsText" text="Fail">
      <formula>NOT(ISERROR(SEARCH("Fail",D342)))</formula>
    </cfRule>
  </conditionalFormatting>
  <conditionalFormatting sqref="D351:G351">
    <cfRule type="containsText" dxfId="20" priority="15" operator="containsText" text="Good">
      <formula>NOT(ISERROR(SEARCH("Good",D351)))</formula>
    </cfRule>
    <cfRule type="containsText" dxfId="19" priority="17" operator="containsText" text="Poor">
      <formula>NOT(ISERROR(SEARCH("Poor",D351)))</formula>
    </cfRule>
    <cfRule type="containsText" dxfId="18" priority="16" operator="containsText" text="Acceptable">
      <formula>NOT(ISERROR(SEARCH("Acceptable",D351)))</formula>
    </cfRule>
  </conditionalFormatting>
  <conditionalFormatting sqref="D362:G364">
    <cfRule type="containsErrors" dxfId="17" priority="13">
      <formula>ISERROR(D362)</formula>
    </cfRule>
  </conditionalFormatting>
  <conditionalFormatting sqref="D366:G367">
    <cfRule type="containsText" dxfId="16" priority="10" operator="containsText" text="Pass">
      <formula>NOT(ISERROR(SEARCH("Pass",D366)))</formula>
    </cfRule>
    <cfRule type="containsText" dxfId="15" priority="11" operator="containsText" text="Fail">
      <formula>NOT(ISERROR(SEARCH("Fail",D366)))</formula>
    </cfRule>
    <cfRule type="containsErrors" dxfId="14" priority="12">
      <formula>ISERROR(D366)</formula>
    </cfRule>
  </conditionalFormatting>
  <conditionalFormatting sqref="H213:H220">
    <cfRule type="cellIs" dxfId="13" priority="22" operator="equal">
      <formula>"Pass"</formula>
    </cfRule>
    <cfRule type="cellIs" dxfId="12" priority="23" operator="equal">
      <formula>"Fail"</formula>
    </cfRule>
  </conditionalFormatting>
  <conditionalFormatting sqref="H226">
    <cfRule type="cellIs" dxfId="11" priority="24" operator="equal">
      <formula>"PASS"</formula>
    </cfRule>
    <cfRule type="cellIs" dxfId="10" priority="25" operator="equal">
      <formula>"CHECK"</formula>
    </cfRule>
  </conditionalFormatting>
  <conditionalFormatting sqref="H252:I259">
    <cfRule type="cellIs" dxfId="9" priority="21" operator="equal">
      <formula>"Pass"</formula>
    </cfRule>
    <cfRule type="cellIs" dxfId="8" priority="20" operator="equal">
      <formula>"Fail"</formula>
    </cfRule>
  </conditionalFormatting>
  <conditionalFormatting sqref="I426">
    <cfRule type="cellIs" dxfId="7" priority="6" operator="equal">
      <formula>"Fail"</formula>
    </cfRule>
    <cfRule type="cellIs" dxfId="6" priority="7" operator="equal">
      <formula>"Pass"</formula>
    </cfRule>
  </conditionalFormatting>
  <conditionalFormatting sqref="J163">
    <cfRule type="cellIs" dxfId="5" priority="31" operator="lessThan">
      <formula>0.95</formula>
    </cfRule>
    <cfRule type="cellIs" dxfId="4" priority="32" operator="greaterThanOrEqual">
      <formula>0.95</formula>
    </cfRule>
  </conditionalFormatting>
  <conditionalFormatting sqref="J164">
    <cfRule type="cellIs" dxfId="3" priority="29" operator="lessThan">
      <formula>0.9025</formula>
    </cfRule>
    <cfRule type="cellIs" dxfId="2" priority="30" operator="greaterThanOrEqual">
      <formula>0.9025</formula>
    </cfRule>
  </conditionalFormatting>
  <conditionalFormatting sqref="J61:K160">
    <cfRule type="cellIs" dxfId="1" priority="33" operator="equal">
      <formula>"EXCLUDE"</formula>
    </cfRule>
    <cfRule type="cellIs" dxfId="0" priority="34" operator="equal">
      <formula>"INCLUDE"</formula>
    </cfRule>
  </conditionalFormatting>
  <dataValidations count="10">
    <dataValidation type="list" allowBlank="1" showInputMessage="1" showErrorMessage="1" sqref="J61:J160" xr:uid="{48F4AA3A-4076-40DD-A533-CA12DB8944C1}">
      <formula1>"INCLUDE,EXCLUDE"</formula1>
    </dataValidation>
    <dataValidation type="list" allowBlank="1" showInputMessage="1" showErrorMessage="1" sqref="D357" xr:uid="{1C4A134B-2819-4971-B21B-5247F300E539}">
      <formula1>"Optimal,Desirable,Minimal"</formula1>
    </dataValidation>
    <dataValidation allowBlank="1" showInputMessage="1" showErrorMessage="1" prompt="Enter required information" sqref="B42:B45 D48" xr:uid="{7D014088-690F-4249-A4B6-2635E0A0A893}">
      <formula1>0</formula1>
      <formula2>0</formula2>
    </dataValidation>
    <dataValidation allowBlank="1" showInputMessage="1" showErrorMessage="1" promptTitle="Instrument Information" prompt="Identity and location of instrument. Use serial number if available." sqref="B41" xr:uid="{543D139A-122A-4971-ADFC-87CC25669804}">
      <formula1>0</formula1>
      <formula2>0</formula2>
    </dataValidation>
    <dataValidation allowBlank="1" showInputMessage="1" showErrorMessage="1" promptTitle="Measurand" prompt="Enter analyte, type of measurement and matrix. Example 1: Sodium concentration in serum or plasma. Example 2: ALT activity in serum or plasma" sqref="B11:H11" xr:uid="{B58FC02D-FAFD-4235-AB23-AA79BDCA223E}">
      <formula1>0</formula1>
      <formula2>0</formula2>
    </dataValidation>
    <dataValidation allowBlank="1" showErrorMessage="1" promptTitle="Instrument Information" prompt="Identity and location of instrument. Use serial number if available." sqref="F45:G45" xr:uid="{786F7002-966B-4BA4-9136-181D02597766}">
      <formula1>0</formula1>
      <formula2>0</formula2>
    </dataValidation>
    <dataValidation allowBlank="1" showErrorMessage="1" prompt="Enter required information" sqref="E46:G46" xr:uid="{185CC50D-696D-45EE-9095-1E0016B4EE9F}">
      <formula1>0</formula1>
      <formula2>0</formula2>
    </dataValidation>
    <dataValidation allowBlank="1" showErrorMessage="1" promptTitle="Measureand" prompt="Enter analyte, type of measurement and matrix. Example 1: Sodium concentration in serum or plasma. Example 2: ALT activity in serum or plasma" sqref="G47:H47" xr:uid="{E90EA582-199C-43C5-BE71-D708C3AE6139}">
      <formula1>0</formula1>
      <formula2>0</formula2>
    </dataValidation>
    <dataValidation allowBlank="1" showInputMessage="1" showErrorMessage="1" promptTitle="Instrument" prompt="Identity and location of instrument. Use serial number if available." sqref="B8:H8" xr:uid="{BCF53E76-830A-4024-9394-78C77384950A}">
      <formula1>0</formula1>
      <formula2>0</formula2>
    </dataValidation>
    <dataValidation allowBlank="1" showErrorMessage="1" sqref="B10:H10 B12 F12:H12" xr:uid="{B29AFD81-D06F-43EC-9DCA-DA40375214C5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7C4C-4CAB-4C8B-BFA5-B5AC3750BFB1}">
  <dimension ref="A1:E79"/>
  <sheetViews>
    <sheetView workbookViewId="0">
      <selection activeCell="A78" sqref="A78"/>
    </sheetView>
  </sheetViews>
  <sheetFormatPr defaultRowHeight="15" x14ac:dyDescent="0.25"/>
  <sheetData>
    <row r="1" spans="1:3" x14ac:dyDescent="0.25">
      <c r="B1" t="s">
        <v>22</v>
      </c>
      <c r="C1" t="s">
        <v>21</v>
      </c>
    </row>
    <row r="2" spans="1:3" x14ac:dyDescent="0.25">
      <c r="A2">
        <v>1</v>
      </c>
      <c r="B2">
        <v>159.13210490169399</v>
      </c>
      <c r="C2">
        <v>155.98074231864101</v>
      </c>
    </row>
    <row r="3" spans="1:3" x14ac:dyDescent="0.25">
      <c r="A3">
        <v>2</v>
      </c>
      <c r="B3">
        <v>122.409823158536</v>
      </c>
      <c r="C3">
        <v>113.586242123666</v>
      </c>
    </row>
    <row r="4" spans="1:3" x14ac:dyDescent="0.25">
      <c r="A4">
        <v>3</v>
      </c>
      <c r="B4">
        <v>54.372011387251</v>
      </c>
      <c r="C4">
        <v>55.921679372055998</v>
      </c>
    </row>
    <row r="5" spans="1:3" x14ac:dyDescent="0.25">
      <c r="A5">
        <v>4</v>
      </c>
      <c r="B5">
        <v>77.609053318060006</v>
      </c>
      <c r="C5">
        <v>83.514517680632906</v>
      </c>
    </row>
    <row r="6" spans="1:3" x14ac:dyDescent="0.25">
      <c r="A6">
        <v>5</v>
      </c>
      <c r="B6">
        <v>117.910400514949</v>
      </c>
      <c r="C6">
        <v>126.40481970805</v>
      </c>
    </row>
    <row r="7" spans="1:3" x14ac:dyDescent="0.25">
      <c r="A7">
        <v>6</v>
      </c>
      <c r="B7">
        <v>34.344147338778498</v>
      </c>
      <c r="C7">
        <v>32.226275140333399</v>
      </c>
    </row>
    <row r="8" spans="1:3" x14ac:dyDescent="0.25">
      <c r="A8">
        <v>7</v>
      </c>
      <c r="B8">
        <v>133.330052612602</v>
      </c>
      <c r="C8">
        <v>147.86753657140099</v>
      </c>
    </row>
    <row r="9" spans="1:3" x14ac:dyDescent="0.25">
      <c r="A9">
        <v>8</v>
      </c>
      <c r="B9">
        <v>106.125436506021</v>
      </c>
      <c r="C9">
        <v>107.78364955393</v>
      </c>
    </row>
    <row r="10" spans="1:3" x14ac:dyDescent="0.25">
      <c r="A10">
        <v>9</v>
      </c>
      <c r="B10">
        <v>13.620680957941399</v>
      </c>
      <c r="C10">
        <v>15.35315550658</v>
      </c>
    </row>
    <row r="11" spans="1:3" x14ac:dyDescent="0.25">
      <c r="A11">
        <v>10</v>
      </c>
      <c r="B11">
        <v>107.589968083491</v>
      </c>
      <c r="C11">
        <v>96.604733783992003</v>
      </c>
    </row>
    <row r="12" spans="1:3" x14ac:dyDescent="0.25">
      <c r="A12">
        <v>11</v>
      </c>
      <c r="B12">
        <v>123.05589812134799</v>
      </c>
      <c r="C12">
        <v>133.747124593531</v>
      </c>
    </row>
    <row r="13" spans="1:3" x14ac:dyDescent="0.25">
      <c r="A13">
        <v>12</v>
      </c>
      <c r="B13">
        <v>135.936896080639</v>
      </c>
      <c r="C13">
        <v>153.08843004809401</v>
      </c>
    </row>
    <row r="14" spans="1:3" x14ac:dyDescent="0.25">
      <c r="A14">
        <v>13</v>
      </c>
      <c r="B14">
        <v>98.979600969977696</v>
      </c>
      <c r="C14">
        <v>102.206305712324</v>
      </c>
    </row>
    <row r="15" spans="1:3" x14ac:dyDescent="0.25">
      <c r="A15">
        <v>14</v>
      </c>
      <c r="B15">
        <v>144.10984548892301</v>
      </c>
      <c r="C15">
        <v>132.895425970432</v>
      </c>
    </row>
    <row r="16" spans="1:3" x14ac:dyDescent="0.25">
      <c r="A16">
        <v>15</v>
      </c>
      <c r="B16">
        <v>81.865365595201297</v>
      </c>
      <c r="C16">
        <v>73.166182714680204</v>
      </c>
    </row>
    <row r="17" spans="1:3" x14ac:dyDescent="0.25">
      <c r="A17">
        <v>16</v>
      </c>
      <c r="B17">
        <v>175.53695301438199</v>
      </c>
      <c r="C17">
        <v>166.08058206248899</v>
      </c>
    </row>
    <row r="18" spans="1:3" x14ac:dyDescent="0.25">
      <c r="A18">
        <v>17</v>
      </c>
      <c r="B18">
        <v>104.33528618404</v>
      </c>
      <c r="C18">
        <v>103.31463421866501</v>
      </c>
    </row>
    <row r="19" spans="1:3" x14ac:dyDescent="0.25">
      <c r="A19">
        <v>18</v>
      </c>
      <c r="B19">
        <v>141.31455209541099</v>
      </c>
      <c r="C19">
        <v>135.866732678566</v>
      </c>
    </row>
    <row r="20" spans="1:3" x14ac:dyDescent="0.25">
      <c r="A20">
        <v>19</v>
      </c>
      <c r="B20">
        <v>196.73585706288699</v>
      </c>
      <c r="C20">
        <v>201.30030248776501</v>
      </c>
    </row>
    <row r="21" spans="1:3" x14ac:dyDescent="0.25">
      <c r="A21">
        <v>20</v>
      </c>
      <c r="B21">
        <v>26.221329617640201</v>
      </c>
      <c r="C21">
        <v>26.194669590043301</v>
      </c>
    </row>
    <row r="22" spans="1:3" x14ac:dyDescent="0.25">
      <c r="A22">
        <v>21</v>
      </c>
      <c r="B22">
        <v>81.647916111775899</v>
      </c>
      <c r="C22">
        <v>74.944509796754105</v>
      </c>
    </row>
    <row r="23" spans="1:3" x14ac:dyDescent="0.25">
      <c r="A23">
        <v>22</v>
      </c>
      <c r="B23">
        <v>128.69195919741401</v>
      </c>
      <c r="C23">
        <v>118.420171497986</v>
      </c>
    </row>
    <row r="24" spans="1:3" x14ac:dyDescent="0.25">
      <c r="A24">
        <v>23</v>
      </c>
      <c r="B24">
        <v>78.085403907704105</v>
      </c>
      <c r="C24">
        <v>75.877900724083403</v>
      </c>
    </row>
    <row r="25" spans="1:3" x14ac:dyDescent="0.25">
      <c r="A25">
        <v>24</v>
      </c>
      <c r="B25">
        <v>99.852487983459099</v>
      </c>
      <c r="C25">
        <v>101.712295496333</v>
      </c>
    </row>
    <row r="26" spans="1:3" x14ac:dyDescent="0.25">
      <c r="A26">
        <v>25</v>
      </c>
      <c r="B26">
        <v>199.50892377408701</v>
      </c>
      <c r="C26">
        <v>197.745177611874</v>
      </c>
    </row>
    <row r="27" spans="1:3" x14ac:dyDescent="0.25">
      <c r="A27">
        <v>26</v>
      </c>
      <c r="B27">
        <v>36.448185399594699</v>
      </c>
      <c r="C27">
        <v>39.767065260969801</v>
      </c>
    </row>
    <row r="28" spans="1:3" x14ac:dyDescent="0.25">
      <c r="A28">
        <v>27</v>
      </c>
      <c r="B28">
        <v>52.108760557024503</v>
      </c>
      <c r="C28">
        <v>47.757676466800199</v>
      </c>
    </row>
    <row r="29" spans="1:3" x14ac:dyDescent="0.25">
      <c r="A29">
        <v>28</v>
      </c>
      <c r="B29">
        <v>149.927096024082</v>
      </c>
      <c r="C29">
        <v>169.10294466617901</v>
      </c>
    </row>
    <row r="30" spans="1:3" x14ac:dyDescent="0.25">
      <c r="A30">
        <v>29</v>
      </c>
      <c r="B30">
        <v>212.16567255753199</v>
      </c>
      <c r="C30">
        <v>195.61338574274899</v>
      </c>
    </row>
    <row r="31" spans="1:3" x14ac:dyDescent="0.25">
      <c r="A31">
        <v>30</v>
      </c>
      <c r="B31">
        <v>183.84757519680301</v>
      </c>
      <c r="C31">
        <v>195.814547048847</v>
      </c>
    </row>
    <row r="32" spans="1:3" x14ac:dyDescent="0.25">
      <c r="A32">
        <v>31</v>
      </c>
      <c r="B32">
        <v>105.45959993757501</v>
      </c>
      <c r="C32">
        <v>120.878762598496</v>
      </c>
    </row>
    <row r="33" spans="1:5" x14ac:dyDescent="0.25">
      <c r="A33">
        <v>32</v>
      </c>
      <c r="B33">
        <v>206.23643346151599</v>
      </c>
      <c r="C33">
        <v>176.13757382836701</v>
      </c>
    </row>
    <row r="34" spans="1:5" x14ac:dyDescent="0.25">
      <c r="A34">
        <v>33</v>
      </c>
      <c r="B34">
        <v>175.415108298636</v>
      </c>
      <c r="C34">
        <v>170.383238334743</v>
      </c>
    </row>
    <row r="35" spans="1:5" x14ac:dyDescent="0.25">
      <c r="A35">
        <v>34</v>
      </c>
      <c r="B35">
        <v>138.21550923581</v>
      </c>
      <c r="C35">
        <v>122.716860228998</v>
      </c>
    </row>
    <row r="36" spans="1:5" x14ac:dyDescent="0.25">
      <c r="A36">
        <v>35</v>
      </c>
      <c r="B36">
        <v>37.199607298721098</v>
      </c>
      <c r="C36">
        <v>40.416988126300303</v>
      </c>
    </row>
    <row r="37" spans="1:5" x14ac:dyDescent="0.25">
      <c r="A37">
        <v>36</v>
      </c>
      <c r="B37">
        <v>175.71775848977401</v>
      </c>
      <c r="C37">
        <v>191.77022770702601</v>
      </c>
    </row>
    <row r="38" spans="1:5" x14ac:dyDescent="0.25">
      <c r="A38">
        <v>37</v>
      </c>
      <c r="B38">
        <v>178.938863344091</v>
      </c>
      <c r="C38">
        <v>172.50619003727499</v>
      </c>
    </row>
    <row r="39" spans="1:5" x14ac:dyDescent="0.25">
      <c r="A39">
        <v>38</v>
      </c>
      <c r="B39">
        <v>37.835578936698298</v>
      </c>
      <c r="C39">
        <v>37.086141407558202</v>
      </c>
    </row>
    <row r="40" spans="1:5" x14ac:dyDescent="0.25">
      <c r="A40">
        <v>39</v>
      </c>
      <c r="B40">
        <v>59.520200898949902</v>
      </c>
      <c r="C40">
        <v>58.485494797572599</v>
      </c>
    </row>
    <row r="41" spans="1:5" x14ac:dyDescent="0.25">
      <c r="A41">
        <v>40</v>
      </c>
      <c r="B41">
        <v>149.862143480833</v>
      </c>
      <c r="C41">
        <v>169.52761339400701</v>
      </c>
    </row>
    <row r="44" spans="1:5" x14ac:dyDescent="0.25">
      <c r="A44" t="s">
        <v>23</v>
      </c>
    </row>
    <row r="45" spans="1:5" x14ac:dyDescent="0.25">
      <c r="B45" t="s">
        <v>10</v>
      </c>
      <c r="C45" t="s">
        <v>24</v>
      </c>
      <c r="D45" t="s">
        <v>25</v>
      </c>
      <c r="E45" t="s">
        <v>26</v>
      </c>
    </row>
    <row r="46" spans="1:5" x14ac:dyDescent="0.25">
      <c r="A46" t="s">
        <v>12</v>
      </c>
      <c r="B46">
        <v>-0.46581660000000003</v>
      </c>
      <c r="C46" t="s">
        <v>28</v>
      </c>
      <c r="D46">
        <v>-5.8836820000000003</v>
      </c>
      <c r="E46">
        <v>4.9161149999999996</v>
      </c>
    </row>
    <row r="47" spans="1:5" x14ac:dyDescent="0.25">
      <c r="A47" t="s">
        <v>13</v>
      </c>
      <c r="B47">
        <v>0.9941025</v>
      </c>
      <c r="C47" t="s">
        <v>28</v>
      </c>
      <c r="D47">
        <v>0.93364789999999998</v>
      </c>
      <c r="E47">
        <v>1.084514</v>
      </c>
    </row>
    <row r="49" spans="1:5" x14ac:dyDescent="0.25">
      <c r="A49" t="s">
        <v>27</v>
      </c>
    </row>
    <row r="50" spans="1:5" x14ac:dyDescent="0.25">
      <c r="B50" t="s">
        <v>10</v>
      </c>
      <c r="C50" t="s">
        <v>24</v>
      </c>
      <c r="D50" t="s">
        <v>25</v>
      </c>
      <c r="E50" t="s">
        <v>26</v>
      </c>
    </row>
    <row r="51" spans="1:5" x14ac:dyDescent="0.25">
      <c r="A51" t="s">
        <v>12</v>
      </c>
      <c r="B51">
        <v>1.1479469</v>
      </c>
      <c r="C51">
        <v>1.3740541799999999</v>
      </c>
      <c r="D51">
        <v>-1.63368</v>
      </c>
      <c r="E51">
        <v>3.9295740000000001</v>
      </c>
    </row>
    <row r="52" spans="1:5" x14ac:dyDescent="0.25">
      <c r="A52" t="s">
        <v>13</v>
      </c>
      <c r="B52">
        <v>0.9868692</v>
      </c>
      <c r="C52">
        <v>2.135165E-2</v>
      </c>
      <c r="D52">
        <v>0.94364499999999996</v>
      </c>
      <c r="E52">
        <v>1.0300929999999999</v>
      </c>
    </row>
    <row r="54" spans="1:5" x14ac:dyDescent="0.25">
      <c r="A54" t="s">
        <v>32</v>
      </c>
    </row>
    <row r="55" spans="1:5" x14ac:dyDescent="0.25">
      <c r="A55" t="s">
        <v>35</v>
      </c>
      <c r="B55">
        <v>0.8</v>
      </c>
    </row>
    <row r="56" spans="1:5" x14ac:dyDescent="0.25">
      <c r="B56" t="s">
        <v>10</v>
      </c>
      <c r="C56" t="s">
        <v>24</v>
      </c>
      <c r="D56" t="s">
        <v>25</v>
      </c>
      <c r="E56" t="s">
        <v>26</v>
      </c>
    </row>
    <row r="57" spans="1:5" x14ac:dyDescent="0.25">
      <c r="A57" t="s">
        <v>33</v>
      </c>
      <c r="B57">
        <v>1.1705037</v>
      </c>
      <c r="C57">
        <v>1.3544179300000001</v>
      </c>
      <c r="D57">
        <v>1.571372</v>
      </c>
      <c r="E57">
        <v>-3.9123790000000001</v>
      </c>
    </row>
    <row r="58" spans="1:5" x14ac:dyDescent="0.25">
      <c r="A58" t="s">
        <v>34</v>
      </c>
      <c r="B58">
        <v>0.98691249999999997</v>
      </c>
      <c r="C58">
        <v>2.1221219999999999E-2</v>
      </c>
      <c r="D58">
        <v>0.94395240000000002</v>
      </c>
      <c r="E58">
        <v>1.029873</v>
      </c>
    </row>
    <row r="61" spans="1:5" x14ac:dyDescent="0.25">
      <c r="A61" t="s">
        <v>30</v>
      </c>
    </row>
    <row r="62" spans="1:5" x14ac:dyDescent="0.25">
      <c r="A62" t="s">
        <v>7</v>
      </c>
      <c r="B62" t="s">
        <v>29</v>
      </c>
    </row>
    <row r="63" spans="1:5" x14ac:dyDescent="0.25">
      <c r="A63" t="s">
        <v>9</v>
      </c>
      <c r="B63" t="s">
        <v>10</v>
      </c>
      <c r="C63" t="s">
        <v>11</v>
      </c>
    </row>
    <row r="64" spans="1:5" x14ac:dyDescent="0.25">
      <c r="A64" t="s">
        <v>12</v>
      </c>
      <c r="B64">
        <v>-0.46582166630962618</v>
      </c>
      <c r="C64">
        <v>-5.5134661894185477</v>
      </c>
      <c r="D64">
        <v>4.3472526162157976</v>
      </c>
    </row>
    <row r="65" spans="1:5" x14ac:dyDescent="0.25">
      <c r="A65" t="s">
        <v>13</v>
      </c>
      <c r="B65">
        <v>0.99410254582622259</v>
      </c>
      <c r="C65">
        <v>0.93607722562009321</v>
      </c>
      <c r="D65">
        <v>1.0818635184884531</v>
      </c>
    </row>
    <row r="67" spans="1:5" x14ac:dyDescent="0.25">
      <c r="A67" t="s">
        <v>15</v>
      </c>
    </row>
    <row r="68" spans="1:5" x14ac:dyDescent="0.25">
      <c r="A68" t="s">
        <v>7</v>
      </c>
      <c r="B68" t="s">
        <v>31</v>
      </c>
    </row>
    <row r="69" spans="1:5" x14ac:dyDescent="0.25">
      <c r="A69" t="s">
        <v>17</v>
      </c>
      <c r="B69">
        <v>1</v>
      </c>
    </row>
    <row r="70" spans="1:5" x14ac:dyDescent="0.25">
      <c r="A70" t="s">
        <v>9</v>
      </c>
      <c r="B70" t="s">
        <v>10</v>
      </c>
      <c r="C70" t="s">
        <v>18</v>
      </c>
      <c r="E70" t="s">
        <v>19</v>
      </c>
    </row>
    <row r="71" spans="1:5" x14ac:dyDescent="0.25">
      <c r="A71" t="s">
        <v>12</v>
      </c>
      <c r="B71">
        <v>1.1479469369526285</v>
      </c>
      <c r="C71">
        <v>-1.6336803325194329</v>
      </c>
      <c r="D71">
        <v>3.9295742064246899</v>
      </c>
      <c r="E71">
        <v>1.3740541832509552</v>
      </c>
    </row>
    <row r="72" spans="1:5" x14ac:dyDescent="0.25">
      <c r="A72" t="s">
        <v>13</v>
      </c>
      <c r="B72">
        <v>0.98686919436362275</v>
      </c>
      <c r="C72">
        <v>0.94364503109715692</v>
      </c>
      <c r="D72">
        <v>1.0300933576300886</v>
      </c>
      <c r="E72">
        <v>2.135165376239714E-2</v>
      </c>
    </row>
    <row r="74" spans="1:5" x14ac:dyDescent="0.25">
      <c r="A74" t="s">
        <v>15</v>
      </c>
    </row>
    <row r="75" spans="1:5" x14ac:dyDescent="0.25">
      <c r="A75" t="s">
        <v>7</v>
      </c>
      <c r="B75" t="s">
        <v>36</v>
      </c>
    </row>
    <row r="76" spans="1:5" x14ac:dyDescent="0.25">
      <c r="A76" t="s">
        <v>17</v>
      </c>
      <c r="B76">
        <v>0.8</v>
      </c>
    </row>
    <row r="77" spans="1:5" x14ac:dyDescent="0.25">
      <c r="A77" t="s">
        <v>9</v>
      </c>
      <c r="B77" t="s">
        <v>10</v>
      </c>
      <c r="C77" t="s">
        <v>18</v>
      </c>
      <c r="E77" t="s">
        <v>19</v>
      </c>
    </row>
    <row r="78" spans="1:5" x14ac:dyDescent="0.25">
      <c r="A78" t="s">
        <v>12</v>
      </c>
      <c r="B78">
        <v>1.1705037201685684</v>
      </c>
      <c r="C78">
        <v>-1.5713720538957849</v>
      </c>
      <c r="D78">
        <v>3.9123794942329218</v>
      </c>
      <c r="E78">
        <v>1.3544179404103358</v>
      </c>
    </row>
    <row r="79" spans="1:5" x14ac:dyDescent="0.25">
      <c r="A79" t="s">
        <v>13</v>
      </c>
      <c r="B79">
        <v>0.98691248962236722</v>
      </c>
      <c r="C79">
        <v>0.94395238359943179</v>
      </c>
      <c r="D79">
        <v>1.0298725956453028</v>
      </c>
      <c r="E79">
        <v>2.1221216099496499E-2</v>
      </c>
    </row>
  </sheetData>
  <pageMargins left="0.7" right="0.7" top="0.75" bottom="0.75" header="0.3" footer="0.3"/>
  <customProperties>
    <customPr name="__ai3_dataset_221696496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AC70-CA4B-4CA5-A2B3-727ECE35C6EE}">
  <dimension ref="A1:F33"/>
  <sheetViews>
    <sheetView workbookViewId="0">
      <selection activeCell="E11" sqref="E11"/>
    </sheetView>
  </sheetViews>
  <sheetFormatPr defaultRowHeight="15" x14ac:dyDescent="0.25"/>
  <sheetData>
    <row r="1" spans="1:6" ht="15.75" x14ac:dyDescent="0.25">
      <c r="A1" s="3"/>
      <c r="B1" s="4"/>
      <c r="C1" s="4" t="s">
        <v>90</v>
      </c>
      <c r="D1" s="3"/>
      <c r="E1" s="3"/>
      <c r="F1" s="3"/>
    </row>
    <row r="2" spans="1:6" ht="15.75" x14ac:dyDescent="0.25">
      <c r="A2" s="3"/>
      <c r="B2" s="3"/>
      <c r="C2" s="5" t="s">
        <v>91</v>
      </c>
      <c r="D2" s="6" t="s">
        <v>92</v>
      </c>
      <c r="E2" s="6" t="s">
        <v>93</v>
      </c>
      <c r="F2" s="7" t="s">
        <v>94</v>
      </c>
    </row>
    <row r="3" spans="1:6" ht="15.75" x14ac:dyDescent="0.25">
      <c r="A3" s="3"/>
      <c r="B3" s="8" t="s">
        <v>95</v>
      </c>
      <c r="C3" s="9">
        <v>106</v>
      </c>
      <c r="D3" s="9">
        <v>463</v>
      </c>
      <c r="E3" s="9">
        <v>106</v>
      </c>
      <c r="F3" s="9">
        <v>463</v>
      </c>
    </row>
    <row r="4" spans="1:6" ht="15.75" x14ac:dyDescent="0.25">
      <c r="A4" s="3"/>
      <c r="B4" s="10" t="s">
        <v>96</v>
      </c>
      <c r="C4" s="11">
        <v>0.01</v>
      </c>
      <c r="D4" s="11">
        <v>0.01</v>
      </c>
      <c r="E4" s="11">
        <v>0.01</v>
      </c>
      <c r="F4" s="11">
        <v>0.01</v>
      </c>
    </row>
    <row r="5" spans="1:6" ht="15.75" x14ac:dyDescent="0.25">
      <c r="A5" s="3"/>
      <c r="B5" s="10" t="s">
        <v>97</v>
      </c>
      <c r="C5" s="11">
        <v>2.5999999999999999E-2</v>
      </c>
      <c r="D5" s="11">
        <v>2.5999999999999999E-2</v>
      </c>
      <c r="E5" s="11">
        <v>2.5999999999999999E-2</v>
      </c>
      <c r="F5" s="11">
        <v>2.5999999999999999E-2</v>
      </c>
    </row>
    <row r="6" spans="1:6" ht="15.75" x14ac:dyDescent="0.25">
      <c r="A6" s="3"/>
      <c r="B6" s="3"/>
      <c r="C6" s="3"/>
      <c r="D6" s="3"/>
      <c r="E6" s="3"/>
      <c r="F6" s="3"/>
    </row>
    <row r="7" spans="1:6" ht="15.75" x14ac:dyDescent="0.25">
      <c r="A7" s="3"/>
      <c r="B7" s="12"/>
      <c r="C7" s="12"/>
      <c r="D7" s="12"/>
      <c r="E7" s="12"/>
      <c r="F7" s="12"/>
    </row>
    <row r="8" spans="1:6" ht="15.75" x14ac:dyDescent="0.25">
      <c r="A8" s="13" t="s">
        <v>98</v>
      </c>
      <c r="B8" s="13" t="s">
        <v>99</v>
      </c>
      <c r="C8" s="5" t="s">
        <v>91</v>
      </c>
      <c r="D8" s="6" t="s">
        <v>92</v>
      </c>
      <c r="E8" s="6" t="s">
        <v>93</v>
      </c>
      <c r="F8" s="7" t="s">
        <v>94</v>
      </c>
    </row>
    <row r="9" spans="1:6" ht="15.75" x14ac:dyDescent="0.25">
      <c r="A9" s="14" t="s">
        <v>100</v>
      </c>
      <c r="B9" s="15" t="s">
        <v>101</v>
      </c>
      <c r="C9" s="9">
        <v>95.1</v>
      </c>
      <c r="D9" s="9">
        <v>418.2</v>
      </c>
      <c r="E9" s="9">
        <v>95.1</v>
      </c>
      <c r="F9" s="9">
        <v>418.2</v>
      </c>
    </row>
    <row r="10" spans="1:6" ht="15.75" x14ac:dyDescent="0.25">
      <c r="A10" s="14" t="s">
        <v>100</v>
      </c>
      <c r="B10" s="15" t="s">
        <v>101</v>
      </c>
      <c r="C10" s="9">
        <v>95.2</v>
      </c>
      <c r="D10" s="9">
        <v>415.2</v>
      </c>
      <c r="E10" s="9">
        <v>95.2</v>
      </c>
      <c r="F10" s="9">
        <v>415.2</v>
      </c>
    </row>
    <row r="11" spans="1:6" ht="15.75" x14ac:dyDescent="0.25">
      <c r="A11" s="14" t="s">
        <v>100</v>
      </c>
      <c r="B11" s="15" t="s">
        <v>101</v>
      </c>
      <c r="C11" s="9">
        <v>95.8</v>
      </c>
      <c r="D11" s="9">
        <v>416.9</v>
      </c>
      <c r="E11" s="9">
        <v>95.8</v>
      </c>
      <c r="F11" s="9">
        <v>416.9</v>
      </c>
    </row>
    <row r="12" spans="1:6" ht="15.75" x14ac:dyDescent="0.25">
      <c r="A12" s="14" t="s">
        <v>100</v>
      </c>
      <c r="B12" s="15" t="s">
        <v>101</v>
      </c>
      <c r="C12" s="9">
        <v>95.4</v>
      </c>
      <c r="D12" s="9">
        <v>416.3</v>
      </c>
      <c r="E12" s="9">
        <v>95.4</v>
      </c>
      <c r="F12" s="9">
        <v>416.3</v>
      </c>
    </row>
    <row r="13" spans="1:6" ht="15.75" x14ac:dyDescent="0.25">
      <c r="A13" s="14" t="s">
        <v>100</v>
      </c>
      <c r="B13" s="15" t="s">
        <v>101</v>
      </c>
      <c r="C13" s="9">
        <v>95.9</v>
      </c>
      <c r="D13" s="9">
        <v>416.8</v>
      </c>
      <c r="E13" s="9">
        <v>95.9</v>
      </c>
      <c r="F13" s="9">
        <v>416.8</v>
      </c>
    </row>
    <row r="14" spans="1:6" ht="15.75" x14ac:dyDescent="0.25">
      <c r="A14" s="14" t="s">
        <v>102</v>
      </c>
      <c r="B14" s="15" t="s">
        <v>101</v>
      </c>
      <c r="C14" s="9">
        <v>98.2</v>
      </c>
      <c r="D14" s="9">
        <v>421.3</v>
      </c>
      <c r="E14" s="9">
        <v>98.2</v>
      </c>
      <c r="F14" s="9">
        <v>421.3</v>
      </c>
    </row>
    <row r="15" spans="1:6" ht="15.75" x14ac:dyDescent="0.25">
      <c r="A15" s="14" t="s">
        <v>102</v>
      </c>
      <c r="B15" s="15" t="s">
        <v>101</v>
      </c>
      <c r="C15" s="9">
        <v>96.6</v>
      </c>
      <c r="D15" s="9">
        <v>416.7</v>
      </c>
      <c r="E15" s="9">
        <v>96.6</v>
      </c>
      <c r="F15" s="9">
        <v>416.7</v>
      </c>
    </row>
    <row r="16" spans="1:6" ht="15.75" x14ac:dyDescent="0.25">
      <c r="A16" s="14" t="s">
        <v>102</v>
      </c>
      <c r="B16" s="15" t="s">
        <v>101</v>
      </c>
      <c r="C16" s="9">
        <v>96.9</v>
      </c>
      <c r="D16" s="9">
        <v>422.5</v>
      </c>
      <c r="E16" s="9">
        <v>96.9</v>
      </c>
      <c r="F16" s="9">
        <v>422.5</v>
      </c>
    </row>
    <row r="17" spans="1:6" ht="15.75" x14ac:dyDescent="0.25">
      <c r="A17" s="14" t="s">
        <v>102</v>
      </c>
      <c r="B17" s="15" t="s">
        <v>101</v>
      </c>
      <c r="C17" s="9">
        <v>96.2</v>
      </c>
      <c r="D17" s="9">
        <v>419.9</v>
      </c>
      <c r="E17" s="9">
        <v>96.2</v>
      </c>
      <c r="F17" s="9">
        <v>419.9</v>
      </c>
    </row>
    <row r="18" spans="1:6" ht="15.75" x14ac:dyDescent="0.25">
      <c r="A18" s="14" t="s">
        <v>102</v>
      </c>
      <c r="B18" s="15" t="s">
        <v>101</v>
      </c>
      <c r="C18" s="9">
        <v>91.6</v>
      </c>
      <c r="D18" s="9">
        <v>405.7</v>
      </c>
      <c r="E18" s="9">
        <v>91.6</v>
      </c>
      <c r="F18" s="9">
        <v>405.7</v>
      </c>
    </row>
    <row r="19" spans="1:6" ht="15.75" x14ac:dyDescent="0.25">
      <c r="A19" s="14" t="s">
        <v>103</v>
      </c>
      <c r="B19" s="15" t="s">
        <v>101</v>
      </c>
      <c r="C19" s="9">
        <v>94</v>
      </c>
      <c r="D19" s="9">
        <v>413.3</v>
      </c>
      <c r="E19" s="9">
        <v>94</v>
      </c>
      <c r="F19" s="9">
        <v>413.3</v>
      </c>
    </row>
    <row r="20" spans="1:6" ht="15.75" x14ac:dyDescent="0.25">
      <c r="A20" s="14" t="s">
        <v>103</v>
      </c>
      <c r="B20" s="15" t="s">
        <v>101</v>
      </c>
      <c r="C20" s="9">
        <v>92</v>
      </c>
      <c r="D20" s="9">
        <v>411.7</v>
      </c>
      <c r="E20" s="9">
        <v>92</v>
      </c>
      <c r="F20" s="9">
        <v>411.7</v>
      </c>
    </row>
    <row r="21" spans="1:6" ht="15.75" x14ac:dyDescent="0.25">
      <c r="A21" s="14" t="s">
        <v>103</v>
      </c>
      <c r="B21" s="15" t="s">
        <v>101</v>
      </c>
      <c r="C21" s="9">
        <v>93.1</v>
      </c>
      <c r="D21" s="9">
        <v>413.8</v>
      </c>
      <c r="E21" s="9">
        <v>93.1</v>
      </c>
      <c r="F21" s="9">
        <v>413.8</v>
      </c>
    </row>
    <row r="22" spans="1:6" ht="15.75" x14ac:dyDescent="0.25">
      <c r="A22" s="14" t="s">
        <v>103</v>
      </c>
      <c r="B22" s="15" t="s">
        <v>101</v>
      </c>
      <c r="C22" s="9">
        <v>92.7</v>
      </c>
      <c r="D22" s="9">
        <v>412.3</v>
      </c>
      <c r="E22" s="9">
        <v>92.7</v>
      </c>
      <c r="F22" s="9">
        <v>412.3</v>
      </c>
    </row>
    <row r="23" spans="1:6" ht="15.75" x14ac:dyDescent="0.25">
      <c r="A23" s="14" t="s">
        <v>103</v>
      </c>
      <c r="B23" s="15" t="s">
        <v>101</v>
      </c>
      <c r="C23" s="9">
        <v>93.7</v>
      </c>
      <c r="D23" s="9">
        <v>414.6</v>
      </c>
      <c r="E23" s="9">
        <v>93.7</v>
      </c>
      <c r="F23" s="9">
        <v>414.6</v>
      </c>
    </row>
    <row r="24" spans="1:6" ht="15.75" x14ac:dyDescent="0.25">
      <c r="A24" s="14" t="s">
        <v>104</v>
      </c>
      <c r="B24" s="15" t="s">
        <v>101</v>
      </c>
      <c r="C24" s="9">
        <v>91.4</v>
      </c>
      <c r="D24" s="9">
        <v>401.3</v>
      </c>
      <c r="E24" s="9">
        <v>91.4</v>
      </c>
      <c r="F24" s="9">
        <v>401.3</v>
      </c>
    </row>
    <row r="25" spans="1:6" ht="15.75" x14ac:dyDescent="0.25">
      <c r="A25" s="14" t="s">
        <v>104</v>
      </c>
      <c r="B25" s="15" t="s">
        <v>101</v>
      </c>
      <c r="C25" s="9">
        <v>91.6</v>
      </c>
      <c r="D25" s="9">
        <v>398.7</v>
      </c>
      <c r="E25" s="9">
        <v>91.6</v>
      </c>
      <c r="F25" s="9">
        <v>398.7</v>
      </c>
    </row>
    <row r="26" spans="1:6" ht="15.75" x14ac:dyDescent="0.25">
      <c r="A26" s="14" t="s">
        <v>104</v>
      </c>
      <c r="B26" s="15" t="s">
        <v>101</v>
      </c>
      <c r="C26" s="9">
        <v>92.5</v>
      </c>
      <c r="D26" s="9">
        <v>399</v>
      </c>
      <c r="E26" s="9">
        <v>92.5</v>
      </c>
      <c r="F26" s="9">
        <v>399</v>
      </c>
    </row>
    <row r="27" spans="1:6" ht="15.75" x14ac:dyDescent="0.25">
      <c r="A27" s="14" t="s">
        <v>104</v>
      </c>
      <c r="B27" s="15" t="s">
        <v>101</v>
      </c>
      <c r="C27" s="9">
        <v>91.2</v>
      </c>
      <c r="D27" s="9">
        <v>398.2</v>
      </c>
      <c r="E27" s="9">
        <v>91.2</v>
      </c>
      <c r="F27" s="9">
        <v>398.2</v>
      </c>
    </row>
    <row r="28" spans="1:6" ht="15.75" x14ac:dyDescent="0.25">
      <c r="A28" s="14" t="s">
        <v>104</v>
      </c>
      <c r="B28" s="15" t="s">
        <v>101</v>
      </c>
      <c r="C28" s="9">
        <v>93</v>
      </c>
      <c r="D28" s="9">
        <v>402.4</v>
      </c>
      <c r="E28" s="9">
        <v>93</v>
      </c>
      <c r="F28" s="9">
        <v>402.4</v>
      </c>
    </row>
    <row r="29" spans="1:6" ht="15.75" x14ac:dyDescent="0.25">
      <c r="A29" s="14" t="s">
        <v>105</v>
      </c>
      <c r="B29" s="15" t="s">
        <v>101</v>
      </c>
      <c r="C29" s="9">
        <v>92.9</v>
      </c>
      <c r="D29" s="9">
        <v>401.4</v>
      </c>
      <c r="E29" s="9">
        <v>92.9</v>
      </c>
      <c r="F29" s="9">
        <v>401.4</v>
      </c>
    </row>
    <row r="30" spans="1:6" ht="15.75" x14ac:dyDescent="0.25">
      <c r="A30" s="14" t="s">
        <v>105</v>
      </c>
      <c r="B30" s="15" t="s">
        <v>101</v>
      </c>
      <c r="C30" s="9">
        <v>92.1</v>
      </c>
      <c r="D30" s="9">
        <v>402</v>
      </c>
      <c r="E30" s="9">
        <v>92.1</v>
      </c>
      <c r="F30" s="9">
        <v>402</v>
      </c>
    </row>
    <row r="31" spans="1:6" ht="15.75" x14ac:dyDescent="0.25">
      <c r="A31" s="14" t="s">
        <v>105</v>
      </c>
      <c r="B31" s="15" t="s">
        <v>101</v>
      </c>
      <c r="C31" s="9">
        <v>94.7</v>
      </c>
      <c r="D31" s="9">
        <v>404.2</v>
      </c>
      <c r="E31" s="9">
        <v>94.7</v>
      </c>
      <c r="F31" s="9">
        <v>404.2</v>
      </c>
    </row>
    <row r="32" spans="1:6" ht="15.75" x14ac:dyDescent="0.25">
      <c r="A32" s="14" t="s">
        <v>105</v>
      </c>
      <c r="B32" s="15" t="s">
        <v>101</v>
      </c>
      <c r="C32" s="9">
        <v>89.2</v>
      </c>
      <c r="D32" s="9">
        <v>399.7</v>
      </c>
      <c r="E32" s="9">
        <v>89.2</v>
      </c>
      <c r="F32" s="9">
        <v>399.7</v>
      </c>
    </row>
    <row r="33" spans="1:6" ht="15.75" x14ac:dyDescent="0.25">
      <c r="A33" s="14" t="s">
        <v>105</v>
      </c>
      <c r="B33" s="15" t="s">
        <v>101</v>
      </c>
      <c r="C33" s="9">
        <v>88</v>
      </c>
      <c r="D33" s="9">
        <v>398.6</v>
      </c>
      <c r="E33" s="9">
        <v>88</v>
      </c>
      <c r="F33" s="9">
        <v>398.6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6C3-9975-4AA6-8422-8E0469BF948A}">
  <dimension ref="A1:P81"/>
  <sheetViews>
    <sheetView workbookViewId="0">
      <selection activeCell="D1" sqref="D1:D81"/>
    </sheetView>
  </sheetViews>
  <sheetFormatPr defaultRowHeight="15" x14ac:dyDescent="0.25"/>
  <cols>
    <col min="11" max="11" width="13.5703125" bestFit="1" customWidth="1"/>
    <col min="13" max="13" width="11.42578125" bestFit="1" customWidth="1"/>
    <col min="15" max="15" width="10.42578125" bestFit="1" customWidth="1"/>
  </cols>
  <sheetData>
    <row r="1" spans="1:16" x14ac:dyDescent="0.25">
      <c r="A1" t="s">
        <v>98</v>
      </c>
      <c r="B1" t="s">
        <v>99</v>
      </c>
      <c r="C1" t="s">
        <v>192</v>
      </c>
      <c r="D1" t="s">
        <v>233</v>
      </c>
      <c r="F1" t="s">
        <v>95</v>
      </c>
      <c r="G1">
        <v>100.38988950839853</v>
      </c>
      <c r="J1" t="s">
        <v>163</v>
      </c>
    </row>
    <row r="2" spans="1:16" x14ac:dyDescent="0.25">
      <c r="A2" t="s">
        <v>100</v>
      </c>
      <c r="B2" t="s">
        <v>101</v>
      </c>
      <c r="C2">
        <v>105.91254948744201</v>
      </c>
      <c r="D2">
        <v>242</v>
      </c>
      <c r="F2" t="s">
        <v>122</v>
      </c>
      <c r="G2">
        <v>1019.59383803088</v>
      </c>
      <c r="J2" t="s">
        <v>164</v>
      </c>
      <c r="K2" s="16">
        <v>0.03</v>
      </c>
    </row>
    <row r="3" spans="1:16" x14ac:dyDescent="0.25">
      <c r="A3" t="s">
        <v>100</v>
      </c>
      <c r="B3" t="s">
        <v>101</v>
      </c>
      <c r="C3">
        <v>103.459443897618</v>
      </c>
      <c r="D3">
        <v>246</v>
      </c>
      <c r="F3" t="s">
        <v>123</v>
      </c>
      <c r="G3">
        <v>248.53879533730424</v>
      </c>
      <c r="J3" t="s">
        <v>165</v>
      </c>
      <c r="K3" s="16">
        <v>0.01</v>
      </c>
    </row>
    <row r="4" spans="1:16" x14ac:dyDescent="0.25">
      <c r="A4" t="s">
        <v>100</v>
      </c>
      <c r="B4" t="s">
        <v>106</v>
      </c>
      <c r="C4">
        <v>100.374620448402</v>
      </c>
      <c r="D4">
        <v>245</v>
      </c>
      <c r="F4" t="s">
        <v>124</v>
      </c>
      <c r="G4">
        <v>68.157867478650402</v>
      </c>
      <c r="J4" t="s">
        <v>166</v>
      </c>
      <c r="K4" s="16">
        <v>0.02</v>
      </c>
    </row>
    <row r="5" spans="1:16" x14ac:dyDescent="0.25">
      <c r="A5" t="s">
        <v>100</v>
      </c>
      <c r="B5" t="s">
        <v>106</v>
      </c>
      <c r="C5">
        <v>103.765913942498</v>
      </c>
      <c r="D5">
        <v>246</v>
      </c>
      <c r="F5" t="s">
        <v>125</v>
      </c>
      <c r="G5">
        <v>400.59850549364029</v>
      </c>
      <c r="J5" t="s">
        <v>167</v>
      </c>
      <c r="K5" s="17">
        <f>SQRT(POWER(K2,2)+POWER(K3,2)+POWER(K4,2))</f>
        <v>3.7416573867739417E-2</v>
      </c>
    </row>
    <row r="6" spans="1:16" x14ac:dyDescent="0.25">
      <c r="A6" t="s">
        <v>102</v>
      </c>
      <c r="B6" t="s">
        <v>101</v>
      </c>
      <c r="C6">
        <v>101.52339031338801</v>
      </c>
      <c r="D6">
        <v>243</v>
      </c>
      <c r="F6" t="s">
        <v>126</v>
      </c>
      <c r="G6">
        <v>302.29866972128497</v>
      </c>
    </row>
    <row r="7" spans="1:16" x14ac:dyDescent="0.25">
      <c r="A7" t="s">
        <v>102</v>
      </c>
      <c r="B7" t="s">
        <v>101</v>
      </c>
      <c r="C7">
        <v>101.334799870363</v>
      </c>
      <c r="D7">
        <v>242</v>
      </c>
      <c r="F7" t="s">
        <v>127</v>
      </c>
      <c r="G7">
        <v>79</v>
      </c>
    </row>
    <row r="8" spans="1:16" x14ac:dyDescent="0.25">
      <c r="A8" t="s">
        <v>102</v>
      </c>
      <c r="B8" t="s">
        <v>106</v>
      </c>
      <c r="C8">
        <v>102.72422719070801</v>
      </c>
      <c r="D8">
        <v>238</v>
      </c>
      <c r="F8" t="s">
        <v>128</v>
      </c>
      <c r="G8">
        <v>19</v>
      </c>
    </row>
    <row r="9" spans="1:16" x14ac:dyDescent="0.25">
      <c r="A9" t="s">
        <v>102</v>
      </c>
      <c r="B9" t="s">
        <v>106</v>
      </c>
      <c r="C9">
        <v>99.324477084567704</v>
      </c>
      <c r="D9">
        <v>238</v>
      </c>
      <c r="F9" t="s">
        <v>129</v>
      </c>
      <c r="G9">
        <v>1</v>
      </c>
      <c r="J9" s="27" t="s">
        <v>172</v>
      </c>
      <c r="K9" s="63" t="s">
        <v>95</v>
      </c>
      <c r="L9" s="64" t="s">
        <v>173</v>
      </c>
      <c r="M9" s="64" t="s">
        <v>174</v>
      </c>
      <c r="N9" s="65" t="s">
        <v>175</v>
      </c>
      <c r="O9" s="66" t="s">
        <v>176</v>
      </c>
      <c r="P9" s="18"/>
    </row>
    <row r="10" spans="1:16" x14ac:dyDescent="0.25">
      <c r="A10" t="s">
        <v>103</v>
      </c>
      <c r="B10" t="s">
        <v>101</v>
      </c>
      <c r="C10">
        <v>104.639388464438</v>
      </c>
      <c r="D10">
        <v>247</v>
      </c>
      <c r="F10" t="s">
        <v>130</v>
      </c>
      <c r="G10">
        <v>19</v>
      </c>
      <c r="J10" s="33"/>
      <c r="K10" s="51">
        <v>100.38988950839854</v>
      </c>
      <c r="L10" s="34">
        <v>3.1523518872781216E-2</v>
      </c>
      <c r="M10" s="67">
        <v>3.1646425765544222</v>
      </c>
      <c r="N10" s="36">
        <v>3.7627484975622447E-2</v>
      </c>
      <c r="O10" s="68">
        <v>3.7774190591816637</v>
      </c>
      <c r="P10" s="18"/>
    </row>
    <row r="11" spans="1:16" x14ac:dyDescent="0.25">
      <c r="A11" t="s">
        <v>103</v>
      </c>
      <c r="B11" t="s">
        <v>101</v>
      </c>
      <c r="C11">
        <v>94.140946998019203</v>
      </c>
      <c r="D11">
        <v>239</v>
      </c>
      <c r="F11" t="s">
        <v>131</v>
      </c>
      <c r="G11">
        <v>40</v>
      </c>
      <c r="J11" s="18"/>
      <c r="K11" s="18"/>
      <c r="L11" s="18"/>
      <c r="M11" s="18"/>
      <c r="N11" s="18"/>
      <c r="O11" s="18"/>
      <c r="P11" s="18"/>
    </row>
    <row r="12" spans="1:16" x14ac:dyDescent="0.25">
      <c r="A12" t="s">
        <v>103</v>
      </c>
      <c r="B12" t="s">
        <v>106</v>
      </c>
      <c r="C12">
        <v>95.331980483197896</v>
      </c>
      <c r="D12">
        <v>241</v>
      </c>
      <c r="F12" t="s">
        <v>132</v>
      </c>
      <c r="G12">
        <v>13.08098922827917</v>
      </c>
      <c r="J12" s="39" t="s">
        <v>177</v>
      </c>
      <c r="K12" s="38"/>
      <c r="L12" s="38"/>
      <c r="M12" s="38"/>
      <c r="N12" s="38"/>
      <c r="O12" s="38"/>
      <c r="P12" s="38"/>
    </row>
    <row r="13" spans="1:16" x14ac:dyDescent="0.25">
      <c r="A13" t="s">
        <v>103</v>
      </c>
      <c r="B13" t="s">
        <v>106</v>
      </c>
      <c r="C13">
        <v>98.001881267459893</v>
      </c>
      <c r="D13">
        <v>240</v>
      </c>
      <c r="F13" t="s">
        <v>133</v>
      </c>
      <c r="G13">
        <v>68.157867478650402</v>
      </c>
      <c r="J13" s="57"/>
      <c r="K13" s="58"/>
      <c r="L13" s="59"/>
      <c r="M13" s="59"/>
      <c r="N13" s="60"/>
      <c r="O13" s="61"/>
      <c r="P13" s="18"/>
    </row>
    <row r="14" spans="1:16" x14ac:dyDescent="0.25">
      <c r="A14" t="s">
        <v>104</v>
      </c>
      <c r="B14" t="s">
        <v>101</v>
      </c>
      <c r="C14">
        <v>104.594870621225</v>
      </c>
      <c r="D14">
        <v>249</v>
      </c>
      <c r="F14" t="s">
        <v>134</v>
      </c>
      <c r="G14">
        <v>15.910456301120259</v>
      </c>
      <c r="J14" s="43" t="s">
        <v>178</v>
      </c>
      <c r="K14" s="45" t="s">
        <v>179</v>
      </c>
      <c r="L14" s="34" t="s">
        <v>180</v>
      </c>
      <c r="M14" s="34" t="s">
        <v>195</v>
      </c>
      <c r="N14" s="46"/>
      <c r="O14" s="68" t="s">
        <v>181</v>
      </c>
      <c r="P14" s="18"/>
    </row>
    <row r="15" spans="1:16" x14ac:dyDescent="0.25">
      <c r="A15" t="s">
        <v>104</v>
      </c>
      <c r="B15" t="s">
        <v>101</v>
      </c>
      <c r="C15">
        <v>98.530713798513403</v>
      </c>
      <c r="D15">
        <v>241</v>
      </c>
      <c r="F15" t="s">
        <v>135</v>
      </c>
      <c r="G15">
        <v>10.014962637341007</v>
      </c>
      <c r="J15" s="43" t="s">
        <v>164</v>
      </c>
      <c r="K15" s="45">
        <v>0.70187374801929114</v>
      </c>
      <c r="L15" s="34">
        <v>3.1523518872781216E-2</v>
      </c>
      <c r="M15" s="32">
        <v>2.5881215454310803E-2</v>
      </c>
      <c r="N15" s="42">
        <v>4.0334431539147869E-2</v>
      </c>
      <c r="O15" s="68">
        <v>3.1646425765544222</v>
      </c>
      <c r="P15" s="18"/>
    </row>
    <row r="16" spans="1:16" x14ac:dyDescent="0.25">
      <c r="A16" t="s">
        <v>104</v>
      </c>
      <c r="B16" t="s">
        <v>106</v>
      </c>
      <c r="C16">
        <v>96.039491787101397</v>
      </c>
      <c r="D16">
        <v>250</v>
      </c>
      <c r="F16" t="s">
        <v>136</v>
      </c>
      <c r="G16">
        <v>1.5886685629557695</v>
      </c>
      <c r="J16" s="43" t="s">
        <v>196</v>
      </c>
      <c r="K16" s="45">
        <v>0.29812625198070891</v>
      </c>
      <c r="L16" s="34">
        <v>2.0544960050292133E-2</v>
      </c>
      <c r="M16" s="34">
        <v>0</v>
      </c>
      <c r="N16" s="46">
        <v>3.7748494440878202E-2</v>
      </c>
      <c r="O16" s="68">
        <v>2.0625062694032894</v>
      </c>
      <c r="P16" s="18"/>
    </row>
    <row r="17" spans="1:16" x14ac:dyDescent="0.25">
      <c r="A17" t="s">
        <v>104</v>
      </c>
      <c r="B17" t="s">
        <v>106</v>
      </c>
      <c r="C17">
        <v>93.734562913754502</v>
      </c>
      <c r="D17">
        <v>245</v>
      </c>
      <c r="F17" t="s">
        <v>137</v>
      </c>
      <c r="G17">
        <v>1.3061445860523149</v>
      </c>
      <c r="J17" s="43" t="s">
        <v>197</v>
      </c>
      <c r="K17" s="45">
        <v>1</v>
      </c>
      <c r="L17" s="34">
        <v>3.7627484975622447E-2</v>
      </c>
      <c r="M17" s="32">
        <v>3.1650663597920368E-2</v>
      </c>
      <c r="N17" s="42">
        <v>4.9621001719379595E-2</v>
      </c>
      <c r="O17" s="68">
        <v>3.7774190591816637</v>
      </c>
      <c r="P17" s="18"/>
    </row>
    <row r="18" spans="1:16" x14ac:dyDescent="0.25">
      <c r="A18" t="s">
        <v>105</v>
      </c>
      <c r="B18" t="s">
        <v>101</v>
      </c>
      <c r="C18">
        <v>103.816993585125</v>
      </c>
      <c r="D18">
        <v>246</v>
      </c>
      <c r="F18" t="s">
        <v>138</v>
      </c>
      <c r="G18">
        <v>6.8056037697556953</v>
      </c>
      <c r="J18" s="43" t="s">
        <v>198</v>
      </c>
      <c r="K18" s="45">
        <v>0</v>
      </c>
      <c r="L18" s="34">
        <v>0</v>
      </c>
      <c r="M18" s="34">
        <v>0</v>
      </c>
      <c r="N18" s="46">
        <v>2.0190793907005913E-2</v>
      </c>
      <c r="O18" s="68">
        <v>0</v>
      </c>
      <c r="P18" s="18"/>
    </row>
    <row r="19" spans="1:16" x14ac:dyDescent="0.25">
      <c r="A19" t="s">
        <v>105</v>
      </c>
      <c r="B19" t="s">
        <v>101</v>
      </c>
      <c r="C19">
        <v>100.908936633932</v>
      </c>
      <c r="D19">
        <v>242</v>
      </c>
      <c r="F19" t="s">
        <v>139</v>
      </c>
      <c r="G19">
        <v>80</v>
      </c>
      <c r="J19" s="18" t="s">
        <v>182</v>
      </c>
      <c r="K19" s="18">
        <v>1</v>
      </c>
      <c r="L19" s="18">
        <v>3.7627484975622447E-2</v>
      </c>
      <c r="M19" s="18">
        <v>3.3627058708404052E-2</v>
      </c>
      <c r="N19" s="18">
        <v>4.5952437339526891E-2</v>
      </c>
      <c r="O19" s="18">
        <v>3.7774190591816637</v>
      </c>
      <c r="P19" s="18"/>
    </row>
    <row r="20" spans="1:16" x14ac:dyDescent="0.25">
      <c r="A20" t="s">
        <v>105</v>
      </c>
      <c r="B20" t="s">
        <v>106</v>
      </c>
      <c r="C20">
        <v>95.247126548386404</v>
      </c>
      <c r="D20">
        <v>243</v>
      </c>
      <c r="F20" t="s">
        <v>140</v>
      </c>
      <c r="G20">
        <v>20</v>
      </c>
      <c r="J20" s="19"/>
      <c r="K20" s="20"/>
      <c r="L20" s="20"/>
      <c r="M20" s="20"/>
      <c r="N20" s="20"/>
      <c r="O20" s="20"/>
      <c r="P20" s="20"/>
    </row>
    <row r="21" spans="1:16" x14ac:dyDescent="0.25">
      <c r="A21" t="s">
        <v>105</v>
      </c>
      <c r="B21" t="s">
        <v>106</v>
      </c>
      <c r="C21">
        <v>103.27943303077799</v>
      </c>
      <c r="D21">
        <v>240</v>
      </c>
      <c r="F21" t="s">
        <v>141</v>
      </c>
      <c r="G21">
        <v>2</v>
      </c>
      <c r="J21" s="18" t="s">
        <v>183</v>
      </c>
      <c r="K21" s="18"/>
      <c r="L21" s="18"/>
      <c r="M21" s="18"/>
      <c r="N21" s="18"/>
      <c r="O21" s="18"/>
      <c r="P21" s="18"/>
    </row>
    <row r="22" spans="1:16" x14ac:dyDescent="0.25">
      <c r="A22" t="s">
        <v>107</v>
      </c>
      <c r="B22" t="s">
        <v>101</v>
      </c>
      <c r="C22">
        <v>98.578804752151896</v>
      </c>
      <c r="D22">
        <v>244</v>
      </c>
      <c r="F22" t="s">
        <v>142</v>
      </c>
      <c r="G22">
        <v>2</v>
      </c>
      <c r="J22" s="27"/>
      <c r="K22" s="54"/>
      <c r="L22" s="55"/>
      <c r="M22" s="62"/>
      <c r="N22" s="56"/>
      <c r="O22" s="69"/>
      <c r="P22" s="69"/>
    </row>
    <row r="23" spans="1:16" ht="15" customHeight="1" x14ac:dyDescent="0.25">
      <c r="A23" t="s">
        <v>107</v>
      </c>
      <c r="B23" t="s">
        <v>101</v>
      </c>
      <c r="C23">
        <v>100.657733243134</v>
      </c>
      <c r="D23">
        <v>245</v>
      </c>
      <c r="F23" t="s">
        <v>143</v>
      </c>
      <c r="G23">
        <v>0</v>
      </c>
      <c r="J23" s="43" t="s">
        <v>184</v>
      </c>
      <c r="K23" s="52" t="s">
        <v>185</v>
      </c>
      <c r="L23" s="49" t="s">
        <v>186</v>
      </c>
      <c r="M23" s="53" t="s">
        <v>187</v>
      </c>
      <c r="N23" s="70" t="s">
        <v>188</v>
      </c>
      <c r="O23" s="47"/>
      <c r="P23" s="47"/>
    </row>
    <row r="24" spans="1:16" ht="15" customHeight="1" x14ac:dyDescent="0.25">
      <c r="A24" t="s">
        <v>107</v>
      </c>
      <c r="B24" t="s">
        <v>106</v>
      </c>
      <c r="C24">
        <v>104.575040466348</v>
      </c>
      <c r="D24">
        <v>251</v>
      </c>
      <c r="F24" t="s">
        <v>144</v>
      </c>
      <c r="G24">
        <v>2.9477468318896269</v>
      </c>
      <c r="J24" s="43" t="s">
        <v>98</v>
      </c>
      <c r="K24" s="52">
        <v>248.53879533730492</v>
      </c>
      <c r="L24" s="49">
        <v>19</v>
      </c>
      <c r="M24" s="53">
        <v>13.080989228279206</v>
      </c>
      <c r="N24" s="19" t="s">
        <v>199</v>
      </c>
      <c r="O24" s="20"/>
      <c r="P24" s="20"/>
    </row>
    <row r="25" spans="1:16" x14ac:dyDescent="0.25">
      <c r="A25" t="s">
        <v>107</v>
      </c>
      <c r="B25" t="s">
        <v>106</v>
      </c>
      <c r="C25">
        <v>102.107644530922</v>
      </c>
      <c r="D25">
        <v>247</v>
      </c>
      <c r="F25" t="s">
        <v>145</v>
      </c>
      <c r="G25">
        <v>10.014962637341007</v>
      </c>
      <c r="J25" s="43" t="s">
        <v>201</v>
      </c>
      <c r="K25" s="52">
        <v>370.45653719993516</v>
      </c>
      <c r="L25" s="49">
        <v>20</v>
      </c>
      <c r="M25" s="53">
        <v>18.522826859996758</v>
      </c>
      <c r="N25" s="19" t="s">
        <v>202</v>
      </c>
      <c r="O25" s="20"/>
      <c r="P25" s="20"/>
    </row>
    <row r="26" spans="1:16" x14ac:dyDescent="0.25">
      <c r="A26" t="s">
        <v>108</v>
      </c>
      <c r="B26" t="s">
        <v>101</v>
      </c>
      <c r="C26">
        <v>98.114225588836803</v>
      </c>
      <c r="D26">
        <v>241</v>
      </c>
      <c r="F26" t="s">
        <v>146</v>
      </c>
      <c r="G26">
        <v>0</v>
      </c>
      <c r="J26" t="s">
        <v>189</v>
      </c>
      <c r="K26">
        <v>400.59850549364046</v>
      </c>
      <c r="L26">
        <v>40</v>
      </c>
      <c r="M26">
        <v>10.014962637341011</v>
      </c>
      <c r="N26" t="s">
        <v>190</v>
      </c>
    </row>
    <row r="27" spans="1:16" x14ac:dyDescent="0.25">
      <c r="A27" t="s">
        <v>108</v>
      </c>
      <c r="B27" t="s">
        <v>101</v>
      </c>
      <c r="C27">
        <v>104.77635112279</v>
      </c>
      <c r="D27">
        <v>246</v>
      </c>
      <c r="F27" t="s">
        <v>147</v>
      </c>
      <c r="G27">
        <v>1.7169003558417788</v>
      </c>
    </row>
    <row r="28" spans="1:16" x14ac:dyDescent="0.25">
      <c r="A28" t="s">
        <v>108</v>
      </c>
      <c r="B28" t="s">
        <v>106</v>
      </c>
      <c r="C28">
        <v>102.46555249469699</v>
      </c>
      <c r="D28">
        <v>245</v>
      </c>
      <c r="F28" t="s">
        <v>148</v>
      </c>
      <c r="G28">
        <v>3.1646425765544213</v>
      </c>
    </row>
    <row r="29" spans="1:16" x14ac:dyDescent="0.25">
      <c r="A29" t="s">
        <v>108</v>
      </c>
      <c r="B29" t="s">
        <v>106</v>
      </c>
      <c r="C29">
        <v>99.938488746252204</v>
      </c>
      <c r="D29">
        <v>247</v>
      </c>
      <c r="F29" t="s">
        <v>149</v>
      </c>
      <c r="G29">
        <v>3.6003762955044896</v>
      </c>
    </row>
    <row r="30" spans="1:16" x14ac:dyDescent="0.25">
      <c r="A30" t="s">
        <v>109</v>
      </c>
      <c r="B30" t="s">
        <v>101</v>
      </c>
      <c r="C30">
        <v>103.061864182264</v>
      </c>
      <c r="D30">
        <v>245</v>
      </c>
      <c r="F30" t="s">
        <v>150</v>
      </c>
      <c r="G30">
        <v>0</v>
      </c>
      <c r="J30" t="s">
        <v>204</v>
      </c>
    </row>
    <row r="31" spans="1:16" x14ac:dyDescent="0.25">
      <c r="A31" t="s">
        <v>109</v>
      </c>
      <c r="B31" t="s">
        <v>101</v>
      </c>
      <c r="C31">
        <v>102.96684523714001</v>
      </c>
      <c r="D31">
        <v>245</v>
      </c>
      <c r="F31" t="s">
        <v>151</v>
      </c>
      <c r="G31">
        <v>1.7102323393812926E-2</v>
      </c>
      <c r="J31" t="s">
        <v>205</v>
      </c>
    </row>
    <row r="32" spans="1:16" x14ac:dyDescent="0.25">
      <c r="A32" t="s">
        <v>109</v>
      </c>
      <c r="B32" t="s">
        <v>106</v>
      </c>
      <c r="C32">
        <v>90.750612406640599</v>
      </c>
      <c r="D32">
        <v>243</v>
      </c>
      <c r="F32" t="s">
        <v>152</v>
      </c>
      <c r="G32">
        <v>3.1523518872781216E-2</v>
      </c>
    </row>
    <row r="33" spans="1:16" x14ac:dyDescent="0.25">
      <c r="A33" t="s">
        <v>109</v>
      </c>
      <c r="B33" t="s">
        <v>106</v>
      </c>
      <c r="C33">
        <v>93.400877471520005</v>
      </c>
      <c r="D33">
        <v>245</v>
      </c>
      <c r="F33" t="s">
        <v>153</v>
      </c>
      <c r="G33">
        <v>3.5863933242035156E-2</v>
      </c>
      <c r="J33" t="s">
        <v>208</v>
      </c>
      <c r="K33" t="s">
        <v>186</v>
      </c>
      <c r="L33" t="s">
        <v>185</v>
      </c>
      <c r="M33" t="s">
        <v>187</v>
      </c>
      <c r="N33" t="s">
        <v>209</v>
      </c>
      <c r="O33" t="s">
        <v>181</v>
      </c>
      <c r="P33" t="s">
        <v>180</v>
      </c>
    </row>
    <row r="34" spans="1:16" x14ac:dyDescent="0.25">
      <c r="A34" t="s">
        <v>110</v>
      </c>
      <c r="B34" t="s">
        <v>101</v>
      </c>
      <c r="C34">
        <v>100.50394565867001</v>
      </c>
      <c r="D34">
        <v>243</v>
      </c>
      <c r="F34" t="s">
        <v>154</v>
      </c>
      <c r="G34">
        <v>74.263217127883351</v>
      </c>
      <c r="J34" t="s">
        <v>167</v>
      </c>
      <c r="K34">
        <v>72.003827000000001</v>
      </c>
      <c r="N34">
        <v>14.268895000000001</v>
      </c>
      <c r="O34">
        <v>3.7774190000000001</v>
      </c>
      <c r="P34">
        <v>3.7627480000000002</v>
      </c>
    </row>
    <row r="35" spans="1:16" x14ac:dyDescent="0.25">
      <c r="A35" t="s">
        <v>110</v>
      </c>
      <c r="B35" t="s">
        <v>101</v>
      </c>
      <c r="C35">
        <v>99.862939218668402</v>
      </c>
      <c r="D35">
        <v>239</v>
      </c>
      <c r="F35" t="s">
        <v>155</v>
      </c>
      <c r="G35">
        <v>3.1029117072908172</v>
      </c>
      <c r="J35" t="s">
        <v>98</v>
      </c>
      <c r="K35">
        <v>19</v>
      </c>
      <c r="L35">
        <v>248.53879499999999</v>
      </c>
      <c r="M35">
        <v>13.080989000000001</v>
      </c>
      <c r="N35">
        <v>0</v>
      </c>
      <c r="O35">
        <v>0</v>
      </c>
      <c r="P35">
        <v>0</v>
      </c>
    </row>
    <row r="36" spans="1:16" x14ac:dyDescent="0.25">
      <c r="A36" t="s">
        <v>110</v>
      </c>
      <c r="B36" t="s">
        <v>106</v>
      </c>
      <c r="C36">
        <v>98.9347816938037</v>
      </c>
      <c r="D36">
        <v>244</v>
      </c>
      <c r="F36" t="s">
        <v>156</v>
      </c>
      <c r="G36">
        <v>4.2892958004324999</v>
      </c>
      <c r="J36" t="s">
        <v>210</v>
      </c>
      <c r="K36">
        <v>20</v>
      </c>
      <c r="L36">
        <v>370.45653700000003</v>
      </c>
      <c r="M36">
        <v>18.522826999999999</v>
      </c>
      <c r="N36">
        <v>4.2539319999999998</v>
      </c>
      <c r="O36">
        <v>2.062506</v>
      </c>
      <c r="P36">
        <v>2.0544959999999999</v>
      </c>
    </row>
    <row r="37" spans="1:16" x14ac:dyDescent="0.25">
      <c r="A37" t="s">
        <v>110</v>
      </c>
      <c r="B37" t="s">
        <v>106</v>
      </c>
      <c r="C37">
        <v>102.18390876234</v>
      </c>
      <c r="D37">
        <v>245</v>
      </c>
      <c r="F37" t="s">
        <v>157</v>
      </c>
      <c r="G37">
        <v>2.5982123598024129</v>
      </c>
      <c r="J37" t="s">
        <v>189</v>
      </c>
      <c r="K37">
        <v>40</v>
      </c>
      <c r="L37">
        <v>400.59850499999999</v>
      </c>
      <c r="M37">
        <v>10.014963</v>
      </c>
      <c r="N37">
        <v>10.014963</v>
      </c>
      <c r="O37">
        <v>3.1646429999999999</v>
      </c>
      <c r="P37">
        <v>3.152352</v>
      </c>
    </row>
    <row r="38" spans="1:16" x14ac:dyDescent="0.25">
      <c r="A38" t="s">
        <v>111</v>
      </c>
      <c r="B38" t="s">
        <v>101</v>
      </c>
      <c r="C38">
        <v>95.955394569818196</v>
      </c>
      <c r="D38">
        <v>244</v>
      </c>
      <c r="F38" t="s">
        <v>158</v>
      </c>
      <c r="G38">
        <v>4.049169125596829</v>
      </c>
    </row>
    <row r="39" spans="1:16" x14ac:dyDescent="0.25">
      <c r="A39" t="s">
        <v>111</v>
      </c>
      <c r="B39" t="s">
        <v>101</v>
      </c>
      <c r="C39">
        <v>108.471792595466</v>
      </c>
      <c r="D39">
        <v>246</v>
      </c>
      <c r="F39" t="s">
        <v>159</v>
      </c>
      <c r="G39">
        <v>3.0908607654471329E-2</v>
      </c>
      <c r="J39" t="s">
        <v>206</v>
      </c>
    </row>
    <row r="40" spans="1:16" x14ac:dyDescent="0.25">
      <c r="A40" t="s">
        <v>111</v>
      </c>
      <c r="B40" t="s">
        <v>106</v>
      </c>
      <c r="C40">
        <v>99.493795247262895</v>
      </c>
      <c r="D40">
        <v>247</v>
      </c>
      <c r="F40" t="s">
        <v>160</v>
      </c>
      <c r="G40">
        <v>4.2726372361169523E-2</v>
      </c>
    </row>
    <row r="41" spans="1:16" x14ac:dyDescent="0.25">
      <c r="A41" t="s">
        <v>111</v>
      </c>
      <c r="B41" t="s">
        <v>106</v>
      </c>
      <c r="C41">
        <v>95.755952301741203</v>
      </c>
      <c r="D41">
        <v>239</v>
      </c>
      <c r="F41" t="s">
        <v>161</v>
      </c>
      <c r="G41">
        <v>2.5881215454321715E-2</v>
      </c>
    </row>
    <row r="42" spans="1:16" x14ac:dyDescent="0.25">
      <c r="A42" t="s">
        <v>112</v>
      </c>
      <c r="B42" t="s">
        <v>101</v>
      </c>
      <c r="C42">
        <v>106.64351196067599</v>
      </c>
      <c r="D42">
        <v>252</v>
      </c>
      <c r="F42" t="s">
        <v>162</v>
      </c>
      <c r="G42">
        <v>4.0334431539125061E-2</v>
      </c>
    </row>
    <row r="43" spans="1:16" x14ac:dyDescent="0.25">
      <c r="A43" t="s">
        <v>112</v>
      </c>
      <c r="B43" t="s">
        <v>101</v>
      </c>
      <c r="C43">
        <v>98.852209551491597</v>
      </c>
      <c r="D43">
        <v>251</v>
      </c>
      <c r="F43" t="s">
        <v>162</v>
      </c>
      <c r="G43">
        <v>4.7943044096376383E-2</v>
      </c>
    </row>
    <row r="44" spans="1:16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16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16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16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16" x14ac:dyDescent="0.25">
      <c r="A48" t="s">
        <v>113</v>
      </c>
      <c r="B48" t="s">
        <v>106</v>
      </c>
      <c r="C48">
        <v>106.095248879312</v>
      </c>
      <c r="D48">
        <v>251</v>
      </c>
    </row>
    <row r="49" spans="1:10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10" x14ac:dyDescent="0.25">
      <c r="A50" t="s">
        <v>114</v>
      </c>
      <c r="B50" t="s">
        <v>101</v>
      </c>
      <c r="C50">
        <v>100.65363630873</v>
      </c>
      <c r="D50">
        <v>242</v>
      </c>
      <c r="J50" t="s">
        <v>207</v>
      </c>
    </row>
    <row r="51" spans="1:10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10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10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10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10" x14ac:dyDescent="0.25">
      <c r="A55" t="s">
        <v>115</v>
      </c>
      <c r="B55" t="s">
        <v>101</v>
      </c>
      <c r="C55">
        <v>103.745049689742</v>
      </c>
      <c r="D55">
        <v>249</v>
      </c>
    </row>
    <row r="56" spans="1:10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10" x14ac:dyDescent="0.25">
      <c r="A57" t="s">
        <v>115</v>
      </c>
      <c r="B57" t="s">
        <v>106</v>
      </c>
      <c r="C57">
        <v>104.182440367005</v>
      </c>
      <c r="D57">
        <v>240</v>
      </c>
    </row>
    <row r="58" spans="1:10" x14ac:dyDescent="0.25">
      <c r="A58" t="s">
        <v>116</v>
      </c>
      <c r="B58" t="s">
        <v>101</v>
      </c>
      <c r="C58">
        <v>100.320280613403</v>
      </c>
      <c r="D58">
        <v>247</v>
      </c>
    </row>
    <row r="59" spans="1:10" x14ac:dyDescent="0.25">
      <c r="A59" t="s">
        <v>116</v>
      </c>
      <c r="B59" t="s">
        <v>101</v>
      </c>
      <c r="C59">
        <v>100.64591214593</v>
      </c>
      <c r="D59">
        <v>248</v>
      </c>
    </row>
    <row r="60" spans="1:10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10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10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10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10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  <customProperties>
    <customPr name="__ai3_dataset_1753400505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B62E-C183-4D29-A9A9-387646CEF91A}">
  <dimension ref="A1:Y167"/>
  <sheetViews>
    <sheetView topLeftCell="A8" workbookViewId="0">
      <selection activeCell="Q38" sqref="Q38"/>
    </sheetView>
  </sheetViews>
  <sheetFormatPr defaultRowHeight="15" x14ac:dyDescent="0.25"/>
  <sheetData>
    <row r="1" spans="1:25" x14ac:dyDescent="0.25">
      <c r="B1" t="s">
        <v>98</v>
      </c>
      <c r="C1" t="s">
        <v>99</v>
      </c>
      <c r="D1" t="s">
        <v>192</v>
      </c>
      <c r="F1" t="s">
        <v>98</v>
      </c>
      <c r="G1" t="s">
        <v>101</v>
      </c>
      <c r="H1" t="s">
        <v>101</v>
      </c>
      <c r="I1" t="s">
        <v>106</v>
      </c>
      <c r="J1" t="s">
        <v>106</v>
      </c>
      <c r="L1" t="s">
        <v>216</v>
      </c>
      <c r="M1" t="s">
        <v>214</v>
      </c>
      <c r="N1" t="s">
        <v>218</v>
      </c>
      <c r="P1" t="s">
        <v>211</v>
      </c>
      <c r="Q1" t="s">
        <v>211</v>
      </c>
      <c r="T1" t="s">
        <v>220</v>
      </c>
      <c r="Y1" t="s">
        <v>216</v>
      </c>
    </row>
    <row r="2" spans="1:25" x14ac:dyDescent="0.25">
      <c r="A2">
        <v>1</v>
      </c>
      <c r="B2" t="s">
        <v>100</v>
      </c>
      <c r="C2" t="s">
        <v>101</v>
      </c>
      <c r="D2">
        <v>105.91254948744201</v>
      </c>
      <c r="F2" t="s">
        <v>100</v>
      </c>
      <c r="G2">
        <v>105.91254948744201</v>
      </c>
      <c r="H2">
        <v>103.459443897618</v>
      </c>
      <c r="I2">
        <v>100.374620448402</v>
      </c>
      <c r="J2">
        <v>103.765913942498</v>
      </c>
      <c r="L2">
        <f>AVERAGE(G2:J2)</f>
        <v>103.37813194399</v>
      </c>
      <c r="M2">
        <f>POWER(L2-$Q$26,2)</f>
        <v>8.9295928538697478</v>
      </c>
      <c r="N2">
        <f>COUNT(G2:J2)</f>
        <v>4</v>
      </c>
      <c r="O2">
        <f>M2*N2</f>
        <v>35.718371415478991</v>
      </c>
      <c r="P2">
        <f>DEVSQ(G2:H2)</f>
        <v>3.008863517412891</v>
      </c>
      <c r="Q2">
        <f>DEVSQ(I2:J2)</f>
        <v>5.7504357815489424</v>
      </c>
      <c r="R2">
        <f>COUNT(G2:H2)</f>
        <v>2</v>
      </c>
      <c r="S2">
        <f>COUNT(I2:J2)</f>
        <v>2</v>
      </c>
      <c r="T2">
        <f>POWER(G2-$Q$26,2)</f>
        <v>30.499773244128708</v>
      </c>
      <c r="U2">
        <f t="shared" ref="U2:W17" si="0">POWER(H2-$Q$26,2)</f>
        <v>9.4221641483766394</v>
      </c>
      <c r="V2">
        <f t="shared" si="0"/>
        <v>2.331441931771021E-4</v>
      </c>
      <c r="W2">
        <f t="shared" si="0"/>
        <v>11.397540979636792</v>
      </c>
    </row>
    <row r="3" spans="1:25" x14ac:dyDescent="0.25">
      <c r="A3">
        <v>2</v>
      </c>
      <c r="B3" t="s">
        <v>100</v>
      </c>
      <c r="C3" t="s">
        <v>101</v>
      </c>
      <c r="D3">
        <v>103.459443897618</v>
      </c>
      <c r="F3" t="s">
        <v>102</v>
      </c>
      <c r="G3">
        <v>101.52339031338801</v>
      </c>
      <c r="H3">
        <v>101.334799870363</v>
      </c>
      <c r="I3">
        <v>102.72422719070801</v>
      </c>
      <c r="J3">
        <v>99.324477084567704</v>
      </c>
      <c r="L3">
        <f t="shared" ref="L3:L21" si="1">AVERAGE(G3:J3)</f>
        <v>101.22672361475668</v>
      </c>
      <c r="M3">
        <f t="shared" ref="M3:M21" si="2">POWER(L3-$Q$26,2)</f>
        <v>0.70029132156427387</v>
      </c>
      <c r="N3">
        <f t="shared" ref="N3:N21" si="3">COUNT(G3:J3)</f>
        <v>4</v>
      </c>
      <c r="O3">
        <f t="shared" ref="O3:O21" si="4">M3*N3</f>
        <v>2.8011652862570955</v>
      </c>
      <c r="P3">
        <f t="shared" ref="P3:P21" si="5">DEVSQ(G3:H3)</f>
        <v>1.7783177600184108E-2</v>
      </c>
      <c r="Q3">
        <f t="shared" ref="Q3:Q21" si="6">DEVSQ(I3:J3)</f>
        <v>5.7791503921005001</v>
      </c>
      <c r="R3">
        <f t="shared" ref="R3:R21" si="7">COUNT(G3:H3)</f>
        <v>2</v>
      </c>
      <c r="S3">
        <f t="shared" ref="S3:S21" si="8">COUNT(I3:J3)</f>
        <v>2</v>
      </c>
      <c r="T3">
        <f t="shared" ref="T3:T21" si="9">POWER(G3-$Q$26,2)</f>
        <v>1.2848240749118338</v>
      </c>
      <c r="U3">
        <f t="shared" si="0"/>
        <v>0.89285559214786114</v>
      </c>
      <c r="V3">
        <f t="shared" si="0"/>
        <v>5.4491324150500677</v>
      </c>
      <c r="W3">
        <f t="shared" si="0"/>
        <v>1.1351036328530355</v>
      </c>
    </row>
    <row r="4" spans="1:25" x14ac:dyDescent="0.25">
      <c r="A4">
        <v>3</v>
      </c>
      <c r="B4" t="s">
        <v>100</v>
      </c>
      <c r="C4" t="s">
        <v>106</v>
      </c>
      <c r="D4">
        <v>100.374620448402</v>
      </c>
      <c r="F4" t="s">
        <v>103</v>
      </c>
      <c r="G4">
        <v>104.639388464438</v>
      </c>
      <c r="H4">
        <v>94.140946998019203</v>
      </c>
      <c r="I4">
        <v>95.331980483197896</v>
      </c>
      <c r="J4">
        <v>98.001881267459893</v>
      </c>
      <c r="L4">
        <f t="shared" si="1"/>
        <v>98.028549303278751</v>
      </c>
      <c r="M4">
        <f t="shared" si="2"/>
        <v>5.5759275643150286</v>
      </c>
      <c r="N4">
        <f t="shared" si="3"/>
        <v>4</v>
      </c>
      <c r="O4">
        <f t="shared" si="4"/>
        <v>22.303710257260114</v>
      </c>
      <c r="P4">
        <f t="shared" si="5"/>
        <v>55.108636611910825</v>
      </c>
      <c r="Q4">
        <f t="shared" si="6"/>
        <v>3.5641850989014152</v>
      </c>
      <c r="R4">
        <f t="shared" si="7"/>
        <v>2</v>
      </c>
      <c r="S4">
        <f t="shared" si="8"/>
        <v>2</v>
      </c>
      <c r="T4">
        <f t="shared" si="9"/>
        <v>18.058241377380703</v>
      </c>
      <c r="U4">
        <f t="shared" si="0"/>
        <v>39.049282498025647</v>
      </c>
      <c r="V4">
        <f t="shared" si="0"/>
        <v>25.58244370720584</v>
      </c>
      <c r="W4">
        <f t="shared" si="0"/>
        <v>5.7025833587907506</v>
      </c>
    </row>
    <row r="5" spans="1:25" x14ac:dyDescent="0.25">
      <c r="A5">
        <v>4</v>
      </c>
      <c r="B5" t="s">
        <v>100</v>
      </c>
      <c r="C5" t="s">
        <v>106</v>
      </c>
      <c r="D5">
        <v>103.765913942498</v>
      </c>
      <c r="F5" t="s">
        <v>104</v>
      </c>
      <c r="G5">
        <v>104.594870621225</v>
      </c>
      <c r="H5">
        <v>98.530713798513403</v>
      </c>
      <c r="I5">
        <v>96.039491787101397</v>
      </c>
      <c r="J5">
        <v>93.734562913754502</v>
      </c>
      <c r="L5">
        <f t="shared" si="1"/>
        <v>98.224909780148579</v>
      </c>
      <c r="M5">
        <f t="shared" si="2"/>
        <v>4.6871372237331501</v>
      </c>
      <c r="N5">
        <f t="shared" si="3"/>
        <v>4</v>
      </c>
      <c r="O5">
        <f t="shared" si="4"/>
        <v>18.7485488949326</v>
      </c>
      <c r="P5">
        <f t="shared" si="5"/>
        <v>18.386998985219797</v>
      </c>
      <c r="Q5">
        <f t="shared" si="6"/>
        <v>2.6563485555940947</v>
      </c>
      <c r="R5">
        <f t="shared" si="7"/>
        <v>2</v>
      </c>
      <c r="S5">
        <f t="shared" si="8"/>
        <v>2</v>
      </c>
      <c r="T5">
        <f t="shared" si="9"/>
        <v>17.681866159227489</v>
      </c>
      <c r="U5">
        <f t="shared" si="0"/>
        <v>3.456534320226794</v>
      </c>
      <c r="V5">
        <f t="shared" si="0"/>
        <v>18.92596033346712</v>
      </c>
      <c r="W5">
        <f t="shared" si="0"/>
        <v>44.293372081375821</v>
      </c>
    </row>
    <row r="6" spans="1:25" x14ac:dyDescent="0.25">
      <c r="A6">
        <v>5</v>
      </c>
      <c r="B6" t="s">
        <v>102</v>
      </c>
      <c r="C6" t="s">
        <v>101</v>
      </c>
      <c r="D6">
        <v>101.52339031338801</v>
      </c>
      <c r="F6" t="s">
        <v>105</v>
      </c>
      <c r="G6">
        <v>103.816993585125</v>
      </c>
      <c r="H6">
        <v>100.908936633932</v>
      </c>
      <c r="I6">
        <v>95.247126548386404</v>
      </c>
      <c r="J6">
        <v>103.27943303077799</v>
      </c>
      <c r="L6">
        <f t="shared" si="1"/>
        <v>100.81312244955535</v>
      </c>
      <c r="M6">
        <f t="shared" si="2"/>
        <v>0.17912612248026924</v>
      </c>
      <c r="N6">
        <f t="shared" si="3"/>
        <v>4</v>
      </c>
      <c r="O6">
        <f t="shared" si="4"/>
        <v>0.71650448992107696</v>
      </c>
      <c r="P6">
        <f t="shared" si="5"/>
        <v>4.2283976156909739</v>
      </c>
      <c r="Q6">
        <f t="shared" si="6"/>
        <v>32.258973713534978</v>
      </c>
      <c r="R6">
        <f t="shared" si="7"/>
        <v>2</v>
      </c>
      <c r="S6">
        <f t="shared" si="8"/>
        <v>2</v>
      </c>
      <c r="T6">
        <f t="shared" si="9"/>
        <v>11.745042352715352</v>
      </c>
      <c r="U6">
        <f t="shared" si="0"/>
        <v>0.26940991852457841</v>
      </c>
      <c r="V6">
        <f t="shared" si="0"/>
        <v>26.448010862872483</v>
      </c>
      <c r="W6">
        <f t="shared" si="0"/>
        <v>8.3494617677252325</v>
      </c>
    </row>
    <row r="7" spans="1:25" x14ac:dyDescent="0.25">
      <c r="A7">
        <v>6</v>
      </c>
      <c r="B7" t="s">
        <v>102</v>
      </c>
      <c r="C7" t="s">
        <v>101</v>
      </c>
      <c r="D7">
        <v>101.334799870363</v>
      </c>
      <c r="F7" t="s">
        <v>107</v>
      </c>
      <c r="G7">
        <v>98.578804752151896</v>
      </c>
      <c r="H7">
        <v>100.657733243134</v>
      </c>
      <c r="I7">
        <v>104.575040466348</v>
      </c>
      <c r="J7">
        <v>102.107644530922</v>
      </c>
      <c r="L7">
        <f t="shared" si="1"/>
        <v>101.47980574813899</v>
      </c>
      <c r="M7">
        <f t="shared" si="2"/>
        <v>1.1879174096500169</v>
      </c>
      <c r="N7">
        <f t="shared" si="3"/>
        <v>4</v>
      </c>
      <c r="O7">
        <f t="shared" si="4"/>
        <v>4.7516696386000676</v>
      </c>
      <c r="P7">
        <f t="shared" si="5"/>
        <v>2.1609718353085716</v>
      </c>
      <c r="Q7">
        <f t="shared" si="6"/>
        <v>3.0440213510783671</v>
      </c>
      <c r="R7">
        <f t="shared" si="7"/>
        <v>2</v>
      </c>
      <c r="S7">
        <f t="shared" si="8"/>
        <v>2</v>
      </c>
      <c r="T7">
        <f t="shared" si="9"/>
        <v>3.2800279943088602</v>
      </c>
      <c r="U7">
        <f t="shared" si="0"/>
        <v>7.1740266237057107E-2</v>
      </c>
      <c r="V7">
        <f t="shared" si="0"/>
        <v>17.515488540825523</v>
      </c>
      <c r="W7">
        <f t="shared" si="0"/>
        <v>2.950682317404679</v>
      </c>
    </row>
    <row r="8" spans="1:25" x14ac:dyDescent="0.25">
      <c r="A8">
        <v>7</v>
      </c>
      <c r="B8" t="s">
        <v>102</v>
      </c>
      <c r="C8" t="s">
        <v>106</v>
      </c>
      <c r="D8">
        <v>102.72422719070801</v>
      </c>
      <c r="F8" t="s">
        <v>108</v>
      </c>
      <c r="G8">
        <v>98.114225588836803</v>
      </c>
      <c r="H8">
        <v>104.77635112279</v>
      </c>
      <c r="I8">
        <v>102.46555249469699</v>
      </c>
      <c r="J8">
        <v>99.938488746252204</v>
      </c>
      <c r="L8">
        <f t="shared" si="1"/>
        <v>101.323654488144</v>
      </c>
      <c r="M8">
        <f t="shared" si="2"/>
        <v>0.87191703739909554</v>
      </c>
      <c r="N8">
        <f t="shared" si="3"/>
        <v>4</v>
      </c>
      <c r="O8">
        <f t="shared" si="4"/>
        <v>3.4876681495963822</v>
      </c>
      <c r="P8">
        <f t="shared" si="5"/>
        <v>22.191958315075613</v>
      </c>
      <c r="Q8">
        <f t="shared" si="6"/>
        <v>3.1930255943519135</v>
      </c>
      <c r="R8">
        <f t="shared" si="7"/>
        <v>2</v>
      </c>
      <c r="S8">
        <f t="shared" si="8"/>
        <v>2</v>
      </c>
      <c r="T8">
        <f t="shared" si="9"/>
        <v>5.1786462747949571</v>
      </c>
      <c r="U8">
        <f t="shared" si="0"/>
        <v>19.241045494530024</v>
      </c>
      <c r="V8">
        <f t="shared" si="0"/>
        <v>4.3083768326895333</v>
      </c>
      <c r="W8">
        <f t="shared" si="0"/>
        <v>0.2037626480662664</v>
      </c>
    </row>
    <row r="9" spans="1:25" x14ac:dyDescent="0.25">
      <c r="A9">
        <v>8</v>
      </c>
      <c r="B9" t="s">
        <v>102</v>
      </c>
      <c r="C9" t="s">
        <v>106</v>
      </c>
      <c r="D9">
        <v>99.324477084567704</v>
      </c>
      <c r="F9" t="s">
        <v>109</v>
      </c>
      <c r="G9">
        <v>103.061864182264</v>
      </c>
      <c r="H9">
        <v>102.96684523714001</v>
      </c>
      <c r="I9">
        <v>90.750612406640599</v>
      </c>
      <c r="J9">
        <v>93.400877471520005</v>
      </c>
      <c r="L9">
        <f t="shared" si="1"/>
        <v>97.545049824391157</v>
      </c>
      <c r="M9">
        <f t="shared" si="2"/>
        <v>8.0931128277030631</v>
      </c>
      <c r="N9">
        <f t="shared" si="3"/>
        <v>4</v>
      </c>
      <c r="O9">
        <f t="shared" si="4"/>
        <v>32.372451310812252</v>
      </c>
      <c r="P9">
        <f t="shared" si="5"/>
        <v>4.5142999662385244E-3</v>
      </c>
      <c r="Q9">
        <f t="shared" si="6"/>
        <v>3.5119524570601208</v>
      </c>
      <c r="R9">
        <f t="shared" si="7"/>
        <v>2</v>
      </c>
      <c r="S9">
        <f t="shared" si="8"/>
        <v>2</v>
      </c>
      <c r="T9">
        <f t="shared" si="9"/>
        <v>7.139448657778602</v>
      </c>
      <c r="U9">
        <f t="shared" si="0"/>
        <v>6.6407008278936122</v>
      </c>
      <c r="V9">
        <f t="shared" si="0"/>
        <v>92.915663044474414</v>
      </c>
      <c r="W9">
        <f t="shared" si="0"/>
        <v>48.846289251632648</v>
      </c>
    </row>
    <row r="10" spans="1:25" x14ac:dyDescent="0.25">
      <c r="A10">
        <v>9</v>
      </c>
      <c r="B10" t="s">
        <v>103</v>
      </c>
      <c r="C10" t="s">
        <v>101</v>
      </c>
      <c r="D10">
        <v>104.639388464438</v>
      </c>
      <c r="F10" t="s">
        <v>110</v>
      </c>
      <c r="G10">
        <v>100.50394565867001</v>
      </c>
      <c r="H10">
        <v>99.862939218668402</v>
      </c>
      <c r="I10">
        <v>98.9347816938037</v>
      </c>
      <c r="J10">
        <v>102.18390876234</v>
      </c>
      <c r="L10">
        <f t="shared" si="1"/>
        <v>100.37139383337052</v>
      </c>
      <c r="M10">
        <f t="shared" si="2"/>
        <v>3.4208999474109869E-4</v>
      </c>
      <c r="N10">
        <f t="shared" si="3"/>
        <v>4</v>
      </c>
      <c r="O10">
        <f t="shared" si="4"/>
        <v>1.3683599789643948E-3</v>
      </c>
      <c r="P10">
        <f t="shared" si="5"/>
        <v>0.20544462806176497</v>
      </c>
      <c r="Q10">
        <f t="shared" si="6"/>
        <v>5.2784133537476334</v>
      </c>
      <c r="R10">
        <f t="shared" si="7"/>
        <v>2</v>
      </c>
      <c r="S10">
        <f t="shared" si="8"/>
        <v>2</v>
      </c>
      <c r="T10">
        <f t="shared" si="9"/>
        <v>1.3008805414753738E-2</v>
      </c>
      <c r="U10">
        <f t="shared" si="0"/>
        <v>0.27767660784664633</v>
      </c>
      <c r="V10">
        <f t="shared" si="0"/>
        <v>2.117338752094887</v>
      </c>
      <c r="W10">
        <f t="shared" si="0"/>
        <v>3.2185050835127633</v>
      </c>
    </row>
    <row r="11" spans="1:25" x14ac:dyDescent="0.25">
      <c r="A11">
        <v>10</v>
      </c>
      <c r="B11" t="s">
        <v>103</v>
      </c>
      <c r="C11" t="s">
        <v>101</v>
      </c>
      <c r="D11">
        <v>94.140946998019203</v>
      </c>
      <c r="F11" t="s">
        <v>111</v>
      </c>
      <c r="G11">
        <v>95.955394569818196</v>
      </c>
      <c r="H11">
        <v>108.471792595466</v>
      </c>
      <c r="I11">
        <v>99.493795247262895</v>
      </c>
      <c r="J11">
        <v>95.755952301741203</v>
      </c>
      <c r="L11">
        <f t="shared" si="1"/>
        <v>99.91923367857207</v>
      </c>
      <c r="M11">
        <f t="shared" si="2"/>
        <v>0.22151691014961594</v>
      </c>
      <c r="N11">
        <f t="shared" si="3"/>
        <v>4</v>
      </c>
      <c r="O11">
        <f t="shared" si="4"/>
        <v>0.88606764059846377</v>
      </c>
      <c r="P11">
        <f t="shared" si="5"/>
        <v>78.330109768220098</v>
      </c>
      <c r="Q11">
        <f t="shared" si="6"/>
        <v>6.9857349426931385</v>
      </c>
      <c r="R11">
        <f t="shared" si="7"/>
        <v>2</v>
      </c>
      <c r="S11">
        <f t="shared" si="8"/>
        <v>2</v>
      </c>
      <c r="T11">
        <f t="shared" si="9"/>
        <v>19.664745360294429</v>
      </c>
      <c r="U11">
        <f t="shared" si="0"/>
        <v>65.317157508750995</v>
      </c>
      <c r="V11">
        <f t="shared" si="0"/>
        <v>0.80298492484018547</v>
      </c>
      <c r="W11">
        <f t="shared" si="0"/>
        <v>21.47337403524293</v>
      </c>
    </row>
    <row r="12" spans="1:25" x14ac:dyDescent="0.25">
      <c r="A12">
        <v>11</v>
      </c>
      <c r="B12" t="s">
        <v>103</v>
      </c>
      <c r="C12" t="s">
        <v>106</v>
      </c>
      <c r="D12">
        <v>95.331980483197896</v>
      </c>
      <c r="F12" t="s">
        <v>112</v>
      </c>
      <c r="G12">
        <v>106.64351196067599</v>
      </c>
      <c r="H12">
        <v>98.852209551491597</v>
      </c>
      <c r="I12">
        <v>99.493433384858406</v>
      </c>
      <c r="J12">
        <v>98.634645392121001</v>
      </c>
      <c r="L12">
        <f t="shared" si="1"/>
        <v>100.90595007228674</v>
      </c>
      <c r="M12">
        <f t="shared" si="2"/>
        <v>0.26631850560063958</v>
      </c>
      <c r="N12">
        <f t="shared" si="3"/>
        <v>4</v>
      </c>
      <c r="O12">
        <f t="shared" si="4"/>
        <v>1.0652740224025583</v>
      </c>
      <c r="P12">
        <f t="shared" si="5"/>
        <v>30.35219661568129</v>
      </c>
      <c r="Q12">
        <f t="shared" si="6"/>
        <v>0.3687584082349703</v>
      </c>
      <c r="R12">
        <f t="shared" si="7"/>
        <v>2</v>
      </c>
      <c r="S12">
        <f t="shared" si="8"/>
        <v>2</v>
      </c>
      <c r="T12">
        <f t="shared" si="9"/>
        <v>39.107793775629041</v>
      </c>
      <c r="U12">
        <f t="shared" si="0"/>
        <v>2.3644596498732473</v>
      </c>
      <c r="V12">
        <f t="shared" si="0"/>
        <v>0.80363358143255192</v>
      </c>
      <c r="W12">
        <f t="shared" si="0"/>
        <v>3.0808819077268157</v>
      </c>
    </row>
    <row r="13" spans="1:25" x14ac:dyDescent="0.25">
      <c r="A13">
        <v>12</v>
      </c>
      <c r="B13" t="s">
        <v>103</v>
      </c>
      <c r="C13" t="s">
        <v>106</v>
      </c>
      <c r="D13">
        <v>98.001881267459893</v>
      </c>
      <c r="F13" t="s">
        <v>113</v>
      </c>
      <c r="G13">
        <v>99.262354950237295</v>
      </c>
      <c r="H13">
        <v>99.053648233066596</v>
      </c>
      <c r="I13">
        <v>106.095248879312</v>
      </c>
      <c r="J13">
        <v>105.28232972817899</v>
      </c>
      <c r="L13">
        <f t="shared" si="1"/>
        <v>102.42339544769872</v>
      </c>
      <c r="M13">
        <f t="shared" si="2"/>
        <v>4.1351464051692401</v>
      </c>
      <c r="N13">
        <f t="shared" si="3"/>
        <v>4</v>
      </c>
      <c r="O13">
        <f t="shared" si="4"/>
        <v>16.540585620676961</v>
      </c>
      <c r="P13">
        <f t="shared" si="5"/>
        <v>2.1779246896085094E-2</v>
      </c>
      <c r="Q13">
        <f t="shared" si="6"/>
        <v>0.33041877313940032</v>
      </c>
      <c r="R13">
        <f t="shared" si="7"/>
        <v>2</v>
      </c>
      <c r="S13">
        <f t="shared" si="8"/>
        <v>2</v>
      </c>
      <c r="T13">
        <f t="shared" si="9"/>
        <v>1.2713341798478079</v>
      </c>
      <c r="U13">
        <f t="shared" si="0"/>
        <v>1.7855407459006623</v>
      </c>
      <c r="V13">
        <f t="shared" si="0"/>
        <v>32.55112555127031</v>
      </c>
      <c r="W13">
        <f t="shared" si="0"/>
        <v>23.935971304125694</v>
      </c>
    </row>
    <row r="14" spans="1:25" x14ac:dyDescent="0.25">
      <c r="A14">
        <v>13</v>
      </c>
      <c r="B14" t="s">
        <v>104</v>
      </c>
      <c r="C14" t="s">
        <v>101</v>
      </c>
      <c r="D14">
        <v>104.594870621225</v>
      </c>
      <c r="F14" t="s">
        <v>114</v>
      </c>
      <c r="G14">
        <v>100.65363630873</v>
      </c>
      <c r="H14">
        <v>105.12351501370399</v>
      </c>
      <c r="I14">
        <v>94.837038603240799</v>
      </c>
      <c r="J14">
        <v>97.992749210821401</v>
      </c>
      <c r="L14">
        <f t="shared" si="1"/>
        <v>99.651734784124045</v>
      </c>
      <c r="M14">
        <f t="shared" si="2"/>
        <v>0.54487239696871281</v>
      </c>
      <c r="N14">
        <f t="shared" si="3"/>
        <v>4</v>
      </c>
      <c r="O14">
        <f t="shared" si="4"/>
        <v>2.1794895878748513</v>
      </c>
      <c r="P14">
        <f t="shared" si="5"/>
        <v>9.989907818589991</v>
      </c>
      <c r="Q14">
        <f t="shared" si="6"/>
        <v>4.9792547193983658</v>
      </c>
      <c r="R14">
        <f t="shared" si="7"/>
        <v>2</v>
      </c>
      <c r="S14">
        <f t="shared" si="8"/>
        <v>2</v>
      </c>
      <c r="T14">
        <f t="shared" si="9"/>
        <v>6.9562374685098502E-2</v>
      </c>
      <c r="U14">
        <f t="shared" si="0"/>
        <v>22.407210424478588</v>
      </c>
      <c r="V14">
        <f t="shared" si="0"/>
        <v>30.834153174910817</v>
      </c>
      <c r="W14">
        <f t="shared" si="0"/>
        <v>5.7462816062680746</v>
      </c>
    </row>
    <row r="15" spans="1:25" x14ac:dyDescent="0.25">
      <c r="A15">
        <v>14</v>
      </c>
      <c r="B15" t="s">
        <v>104</v>
      </c>
      <c r="C15" t="s">
        <v>101</v>
      </c>
      <c r="D15">
        <v>98.530713798513403</v>
      </c>
      <c r="F15" t="s">
        <v>115</v>
      </c>
      <c r="G15">
        <v>99.002807374167901</v>
      </c>
      <c r="H15">
        <v>103.745049689742</v>
      </c>
      <c r="I15">
        <v>103.08617757797801</v>
      </c>
      <c r="J15">
        <v>104.182440367005</v>
      </c>
      <c r="L15">
        <f t="shared" si="1"/>
        <v>102.50411875222323</v>
      </c>
      <c r="M15">
        <f t="shared" si="2"/>
        <v>4.4699652954436635</v>
      </c>
      <c r="N15">
        <f t="shared" si="3"/>
        <v>4</v>
      </c>
      <c r="O15">
        <f t="shared" si="4"/>
        <v>17.879861181774654</v>
      </c>
      <c r="P15">
        <f t="shared" si="5"/>
        <v>11.244431089810815</v>
      </c>
      <c r="Q15">
        <f t="shared" si="6"/>
        <v>0.60089605130262203</v>
      </c>
      <c r="R15">
        <f t="shared" si="7"/>
        <v>2</v>
      </c>
      <c r="S15">
        <f t="shared" si="8"/>
        <v>2</v>
      </c>
      <c r="T15">
        <f t="shared" si="9"/>
        <v>1.9239968471017443</v>
      </c>
      <c r="U15">
        <f t="shared" si="0"/>
        <v>11.257099842472899</v>
      </c>
      <c r="V15">
        <f t="shared" si="0"/>
        <v>7.2699693541567196</v>
      </c>
      <c r="W15">
        <f t="shared" si="0"/>
        <v>14.383442015116819</v>
      </c>
    </row>
    <row r="16" spans="1:25" x14ac:dyDescent="0.25">
      <c r="A16">
        <v>15</v>
      </c>
      <c r="B16" t="s">
        <v>104</v>
      </c>
      <c r="C16" t="s">
        <v>106</v>
      </c>
      <c r="D16">
        <v>96.039491787101397</v>
      </c>
      <c r="F16" t="s">
        <v>116</v>
      </c>
      <c r="G16">
        <v>100.320280613403</v>
      </c>
      <c r="H16">
        <v>100.64591214593</v>
      </c>
      <c r="I16">
        <v>100.13462920147801</v>
      </c>
      <c r="J16">
        <v>93.846833066265603</v>
      </c>
      <c r="L16">
        <f t="shared" si="1"/>
        <v>98.736913756769155</v>
      </c>
      <c r="M16">
        <f t="shared" si="2"/>
        <v>2.7323288354746333</v>
      </c>
      <c r="N16">
        <f t="shared" si="3"/>
        <v>4</v>
      </c>
      <c r="O16">
        <f t="shared" si="4"/>
        <v>10.929315341898533</v>
      </c>
      <c r="P16">
        <f t="shared" si="5"/>
        <v>5.3017947487940698E-2</v>
      </c>
      <c r="Q16">
        <f t="shared" si="6"/>
        <v>19.768190118996017</v>
      </c>
      <c r="R16">
        <f t="shared" si="7"/>
        <v>2</v>
      </c>
      <c r="S16">
        <f t="shared" si="8"/>
        <v>2</v>
      </c>
      <c r="T16">
        <f t="shared" si="9"/>
        <v>4.8453982624960977E-3</v>
      </c>
      <c r="U16">
        <f t="shared" si="0"/>
        <v>6.5547590928579133E-2</v>
      </c>
      <c r="V16">
        <f t="shared" si="0"/>
        <v>6.5157824289150332E-2</v>
      </c>
      <c r="W16">
        <f t="shared" si="0"/>
        <v>42.811587604936946</v>
      </c>
    </row>
    <row r="17" spans="1:23" x14ac:dyDescent="0.25">
      <c r="A17">
        <v>16</v>
      </c>
      <c r="B17" t="s">
        <v>104</v>
      </c>
      <c r="C17" t="s">
        <v>106</v>
      </c>
      <c r="D17">
        <v>93.734562913754502</v>
      </c>
      <c r="F17" t="s">
        <v>117</v>
      </c>
      <c r="G17">
        <v>99.543655541489301</v>
      </c>
      <c r="H17">
        <v>95.551374834117695</v>
      </c>
      <c r="I17">
        <v>98.567078983067105</v>
      </c>
      <c r="J17">
        <v>94.781433284768497</v>
      </c>
      <c r="L17">
        <f t="shared" si="1"/>
        <v>97.110885660860646</v>
      </c>
      <c r="M17">
        <f t="shared" si="2"/>
        <v>10.751866232168123</v>
      </c>
      <c r="N17">
        <f t="shared" si="3"/>
        <v>4</v>
      </c>
      <c r="O17">
        <f t="shared" si="4"/>
        <v>43.007464928672491</v>
      </c>
      <c r="P17">
        <f t="shared" si="5"/>
        <v>7.9691526232257646</v>
      </c>
      <c r="Q17">
        <f t="shared" si="6"/>
        <v>7.1655566765233809</v>
      </c>
      <c r="R17">
        <f t="shared" si="7"/>
        <v>2</v>
      </c>
      <c r="S17">
        <f t="shared" si="8"/>
        <v>2</v>
      </c>
      <c r="T17">
        <f t="shared" si="9"/>
        <v>0.71611192675089841</v>
      </c>
      <c r="U17">
        <f t="shared" si="0"/>
        <v>23.411224253230792</v>
      </c>
      <c r="V17">
        <f t="shared" si="0"/>
        <v>3.3226382112589548</v>
      </c>
      <c r="W17">
        <f t="shared" si="0"/>
        <v>31.454781212374243</v>
      </c>
    </row>
    <row r="18" spans="1:23" x14ac:dyDescent="0.25">
      <c r="A18">
        <v>17</v>
      </c>
      <c r="B18" t="s">
        <v>105</v>
      </c>
      <c r="C18" t="s">
        <v>101</v>
      </c>
      <c r="D18">
        <v>103.816993585125</v>
      </c>
      <c r="F18" t="s">
        <v>118</v>
      </c>
      <c r="G18">
        <v>102.014383040507</v>
      </c>
      <c r="H18">
        <v>100.126420974056</v>
      </c>
      <c r="I18">
        <v>102.44322099826</v>
      </c>
      <c r="J18">
        <v>97.482457456906701</v>
      </c>
      <c r="L18">
        <f t="shared" si="1"/>
        <v>100.51662061743244</v>
      </c>
      <c r="M18">
        <f t="shared" si="2"/>
        <v>1.6060773996968907E-2</v>
      </c>
      <c r="N18">
        <f t="shared" si="3"/>
        <v>4</v>
      </c>
      <c r="O18">
        <f t="shared" si="4"/>
        <v>6.4243095987875629E-2</v>
      </c>
      <c r="P18">
        <f t="shared" si="5"/>
        <v>1.7822003821789569</v>
      </c>
      <c r="Q18">
        <f t="shared" si="6"/>
        <v>12.304587456610076</v>
      </c>
      <c r="R18">
        <f t="shared" si="7"/>
        <v>2</v>
      </c>
      <c r="S18">
        <f t="shared" si="8"/>
        <v>2</v>
      </c>
      <c r="T18">
        <f t="shared" si="9"/>
        <v>2.6389792358623114</v>
      </c>
      <c r="U18">
        <f t="shared" ref="U18:U21" si="10">POWER(H18-$Q$26,2)</f>
        <v>6.9415668588589108E-2</v>
      </c>
      <c r="V18">
        <f t="shared" ref="V18:V21" si="11">POWER(I18-$Q$26,2)</f>
        <v>4.2161702072568135</v>
      </c>
      <c r="W18">
        <f t="shared" ref="W18:W21" si="12">POWER(J18-$Q$26,2)</f>
        <v>8.4531611340418742</v>
      </c>
    </row>
    <row r="19" spans="1:23" x14ac:dyDescent="0.25">
      <c r="A19">
        <v>18</v>
      </c>
      <c r="B19" t="s">
        <v>105</v>
      </c>
      <c r="C19" t="s">
        <v>101</v>
      </c>
      <c r="D19">
        <v>100.908936633932</v>
      </c>
      <c r="F19" t="s">
        <v>119</v>
      </c>
      <c r="G19">
        <v>103.330116828904</v>
      </c>
      <c r="H19">
        <v>100.166155712055</v>
      </c>
      <c r="I19">
        <v>102.301694861897</v>
      </c>
      <c r="J19">
        <v>96.319150123228596</v>
      </c>
      <c r="L19">
        <f t="shared" si="1"/>
        <v>100.52927938152115</v>
      </c>
      <c r="M19">
        <f t="shared" si="2"/>
        <v>1.9429536729145293E-2</v>
      </c>
      <c r="N19">
        <f t="shared" si="3"/>
        <v>4</v>
      </c>
      <c r="O19">
        <f t="shared" si="4"/>
        <v>7.7718146916581174E-2</v>
      </c>
      <c r="P19">
        <f t="shared" si="5"/>
        <v>5.0053249744661699</v>
      </c>
      <c r="Q19">
        <f t="shared" si="6"/>
        <v>17.895420775084531</v>
      </c>
      <c r="R19">
        <f t="shared" si="7"/>
        <v>2</v>
      </c>
      <c r="S19">
        <f t="shared" si="8"/>
        <v>2</v>
      </c>
      <c r="T19">
        <f t="shared" si="9"/>
        <v>8.6449366962468659</v>
      </c>
      <c r="U19">
        <f t="shared" si="10"/>
        <v>5.0056811626279001E-2</v>
      </c>
      <c r="V19">
        <f t="shared" si="11"/>
        <v>3.6549997096655007</v>
      </c>
      <c r="W19">
        <f t="shared" si="12"/>
        <v>16.57091914197354</v>
      </c>
    </row>
    <row r="20" spans="1:23" x14ac:dyDescent="0.25">
      <c r="A20">
        <v>19</v>
      </c>
      <c r="B20" t="s">
        <v>105</v>
      </c>
      <c r="C20" t="s">
        <v>106</v>
      </c>
      <c r="D20">
        <v>95.247126548386404</v>
      </c>
      <c r="F20" t="s">
        <v>120</v>
      </c>
      <c r="G20">
        <v>96.5498408573701</v>
      </c>
      <c r="H20">
        <v>99.872600728842002</v>
      </c>
      <c r="I20">
        <v>102.830345405888</v>
      </c>
      <c r="J20">
        <v>100.012136574309</v>
      </c>
      <c r="L20">
        <f t="shared" si="1"/>
        <v>99.816230891602274</v>
      </c>
      <c r="M20">
        <f t="shared" si="2"/>
        <v>0.32908420862457211</v>
      </c>
      <c r="N20">
        <f t="shared" si="3"/>
        <v>4</v>
      </c>
      <c r="O20">
        <f t="shared" si="4"/>
        <v>1.3163368344982884</v>
      </c>
      <c r="P20">
        <f t="shared" si="5"/>
        <v>5.5203665817319862</v>
      </c>
      <c r="Q20">
        <f t="shared" si="6"/>
        <v>3.9711505091949353</v>
      </c>
      <c r="R20">
        <f t="shared" si="7"/>
        <v>2</v>
      </c>
      <c r="S20">
        <f t="shared" si="8"/>
        <v>2</v>
      </c>
      <c r="T20">
        <f t="shared" si="9"/>
        <v>14.74597364226512</v>
      </c>
      <c r="U20">
        <f t="shared" si="10"/>
        <v>0.26758768145506245</v>
      </c>
      <c r="V20">
        <f t="shared" si="11"/>
        <v>5.9558249875912095</v>
      </c>
      <c r="W20">
        <f t="shared" si="12"/>
        <v>0.14269727921323691</v>
      </c>
    </row>
    <row r="21" spans="1:23" x14ac:dyDescent="0.25">
      <c r="A21">
        <v>20</v>
      </c>
      <c r="B21" t="s">
        <v>105</v>
      </c>
      <c r="C21" t="s">
        <v>106</v>
      </c>
      <c r="D21">
        <v>103.27943303077799</v>
      </c>
      <c r="F21" t="s">
        <v>121</v>
      </c>
      <c r="G21">
        <v>106.057124750673</v>
      </c>
      <c r="H21">
        <v>104.190012230812</v>
      </c>
      <c r="I21">
        <v>100.070114638088</v>
      </c>
      <c r="J21">
        <v>102.851092936852</v>
      </c>
      <c r="L21">
        <f t="shared" si="1"/>
        <v>103.29208613910625</v>
      </c>
      <c r="M21">
        <f t="shared" si="2"/>
        <v>8.422745283291329</v>
      </c>
      <c r="N21">
        <f t="shared" si="3"/>
        <v>4</v>
      </c>
      <c r="O21">
        <f t="shared" si="4"/>
        <v>33.690981133165316</v>
      </c>
      <c r="P21">
        <f t="shared" si="5"/>
        <v>1.7430545809108384</v>
      </c>
      <c r="Q21">
        <f t="shared" si="6"/>
        <v>3.8669201490981493</v>
      </c>
      <c r="R21">
        <f t="shared" si="7"/>
        <v>2</v>
      </c>
      <c r="S21">
        <f t="shared" si="8"/>
        <v>2</v>
      </c>
      <c r="T21">
        <f t="shared" si="9"/>
        <v>32.117555291277959</v>
      </c>
      <c r="U21">
        <f t="shared" si="10"/>
        <v>14.440932705403322</v>
      </c>
      <c r="V21">
        <f t="shared" si="11"/>
        <v>0.10225596768210385</v>
      </c>
      <c r="W21">
        <f t="shared" si="12"/>
        <v>6.0575223162311991</v>
      </c>
    </row>
    <row r="22" spans="1:23" x14ac:dyDescent="0.25">
      <c r="A22">
        <v>21</v>
      </c>
      <c r="B22" t="s">
        <v>107</v>
      </c>
      <c r="C22" t="s">
        <v>101</v>
      </c>
      <c r="D22">
        <v>98.578804752151896</v>
      </c>
    </row>
    <row r="23" spans="1:23" x14ac:dyDescent="0.25">
      <c r="A23">
        <v>22</v>
      </c>
      <c r="B23" t="s">
        <v>107</v>
      </c>
      <c r="C23" t="s">
        <v>101</v>
      </c>
      <c r="D23">
        <v>100.657733243134</v>
      </c>
      <c r="F23" t="s">
        <v>217</v>
      </c>
      <c r="G23">
        <f>AVERAGE(G2:H21)</f>
        <v>101.31291352947446</v>
      </c>
      <c r="I23">
        <f>AVERAGE(I2:J21)</f>
        <v>99.466865487322622</v>
      </c>
      <c r="N23" t="s">
        <v>123</v>
      </c>
      <c r="O23">
        <f>SUM(O2:O21)</f>
        <v>248.53879533730412</v>
      </c>
      <c r="P23" t="s">
        <v>125</v>
      </c>
      <c r="Q23">
        <f>SUM(P2:Q21)</f>
        <v>400.59850549364035</v>
      </c>
      <c r="S23" t="s">
        <v>122</v>
      </c>
      <c r="T23">
        <f>SUM(T2:W21)</f>
        <v>1019.5938380308799</v>
      </c>
    </row>
    <row r="24" spans="1:23" x14ac:dyDescent="0.25">
      <c r="A24">
        <v>23</v>
      </c>
      <c r="B24" t="s">
        <v>107</v>
      </c>
      <c r="C24" t="s">
        <v>106</v>
      </c>
      <c r="D24">
        <v>104.575040466348</v>
      </c>
      <c r="F24" t="s">
        <v>215</v>
      </c>
      <c r="G24">
        <f>POWER(G23-$Q$26,2)</f>
        <v>0.85197334348320874</v>
      </c>
      <c r="I24">
        <f>POWER(I23-$Q$26,2)</f>
        <v>0.85197334348310383</v>
      </c>
      <c r="N24" t="s">
        <v>222</v>
      </c>
      <c r="O24">
        <f>COUNT(L2:L21)-1</f>
        <v>19</v>
      </c>
      <c r="P24" t="s">
        <v>212</v>
      </c>
      <c r="Q24">
        <f>COUNT(P2:Q21)</f>
        <v>40</v>
      </c>
      <c r="S24" t="s">
        <v>213</v>
      </c>
      <c r="T24">
        <f>COUNT(T2:W21)-1</f>
        <v>79</v>
      </c>
    </row>
    <row r="25" spans="1:23" x14ac:dyDescent="0.25">
      <c r="A25">
        <v>24</v>
      </c>
      <c r="B25" t="s">
        <v>107</v>
      </c>
      <c r="C25" t="s">
        <v>106</v>
      </c>
      <c r="D25">
        <v>102.107644530922</v>
      </c>
      <c r="G25">
        <f>COUNT(G2:H21)</f>
        <v>40</v>
      </c>
      <c r="I25">
        <f>COUNT(I2:J21)</f>
        <v>40</v>
      </c>
      <c r="J25" t="s">
        <v>124</v>
      </c>
    </row>
    <row r="26" spans="1:23" x14ac:dyDescent="0.25">
      <c r="A26">
        <v>25</v>
      </c>
      <c r="B26" t="s">
        <v>108</v>
      </c>
      <c r="C26" t="s">
        <v>101</v>
      </c>
      <c r="D26">
        <v>98.114225588836803</v>
      </c>
      <c r="G26">
        <f>G24*G25</f>
        <v>34.078933739328349</v>
      </c>
      <c r="I26">
        <f>I24*I25</f>
        <v>34.078933739324157</v>
      </c>
      <c r="J26">
        <f>SUM(G26,I26)</f>
        <v>68.157867478652506</v>
      </c>
      <c r="P26" t="s">
        <v>95</v>
      </c>
      <c r="Q26">
        <f>AVERAGE(G2:J21)</f>
        <v>100.38988950839851</v>
      </c>
    </row>
    <row r="27" spans="1:23" x14ac:dyDescent="0.25">
      <c r="A27">
        <v>26</v>
      </c>
      <c r="B27" t="s">
        <v>108</v>
      </c>
      <c r="C27" t="s">
        <v>101</v>
      </c>
      <c r="D27">
        <v>104.77635112279</v>
      </c>
      <c r="J27" t="s">
        <v>221</v>
      </c>
      <c r="N27" t="s">
        <v>219</v>
      </c>
    </row>
    <row r="28" spans="1:23" x14ac:dyDescent="0.25">
      <c r="A28">
        <v>27</v>
      </c>
      <c r="B28" t="s">
        <v>108</v>
      </c>
      <c r="C28" t="s">
        <v>106</v>
      </c>
      <c r="D28">
        <v>102.46555249469699</v>
      </c>
      <c r="F28" t="s">
        <v>139</v>
      </c>
      <c r="G28">
        <f>COUNT(D2:D81)</f>
        <v>80</v>
      </c>
      <c r="J28">
        <f>COUNT(G26:I26)</f>
        <v>2</v>
      </c>
      <c r="L28" t="s">
        <v>126</v>
      </c>
      <c r="M28">
        <f>T23-O23-J26-Q23</f>
        <v>302.29866972128286</v>
      </c>
    </row>
    <row r="29" spans="1:23" x14ac:dyDescent="0.25">
      <c r="A29">
        <v>28</v>
      </c>
      <c r="B29" t="s">
        <v>108</v>
      </c>
      <c r="C29" t="s">
        <v>106</v>
      </c>
      <c r="D29">
        <v>99.938488746252204</v>
      </c>
      <c r="F29" t="s">
        <v>228</v>
      </c>
      <c r="G29">
        <v>20</v>
      </c>
      <c r="L29" t="s">
        <v>223</v>
      </c>
      <c r="M29">
        <f>T23-O23-Q23</f>
        <v>370.45653719993538</v>
      </c>
    </row>
    <row r="30" spans="1:23" x14ac:dyDescent="0.25">
      <c r="A30">
        <v>29</v>
      </c>
      <c r="B30" t="s">
        <v>109</v>
      </c>
      <c r="C30" t="s">
        <v>101</v>
      </c>
      <c r="D30">
        <v>103.061864182264</v>
      </c>
      <c r="F30" t="s">
        <v>227</v>
      </c>
      <c r="G30">
        <v>2</v>
      </c>
    </row>
    <row r="31" spans="1:23" x14ac:dyDescent="0.25">
      <c r="A31">
        <v>30</v>
      </c>
      <c r="B31" t="s">
        <v>109</v>
      </c>
      <c r="C31" t="s">
        <v>101</v>
      </c>
      <c r="D31">
        <v>102.96684523714001</v>
      </c>
      <c r="F31" t="s">
        <v>226</v>
      </c>
      <c r="G31">
        <v>2</v>
      </c>
    </row>
    <row r="32" spans="1:23" x14ac:dyDescent="0.25">
      <c r="A32">
        <v>31</v>
      </c>
      <c r="B32" t="s">
        <v>109</v>
      </c>
      <c r="C32" t="s">
        <v>106</v>
      </c>
      <c r="D32">
        <v>90.750612406640599</v>
      </c>
      <c r="G32" t="s">
        <v>219</v>
      </c>
      <c r="H32" t="s">
        <v>185</v>
      </c>
      <c r="I32" t="s">
        <v>187</v>
      </c>
      <c r="J32" t="s">
        <v>209</v>
      </c>
      <c r="K32" t="s">
        <v>181</v>
      </c>
      <c r="L32" t="s">
        <v>180</v>
      </c>
      <c r="M32" t="s">
        <v>229</v>
      </c>
      <c r="N32" t="s">
        <v>230</v>
      </c>
      <c r="O32" t="s">
        <v>231</v>
      </c>
      <c r="P32" t="s">
        <v>218</v>
      </c>
      <c r="Q32" t="s">
        <v>234</v>
      </c>
    </row>
    <row r="33" spans="1:17" x14ac:dyDescent="0.25">
      <c r="A33">
        <v>32</v>
      </c>
      <c r="B33" t="s">
        <v>109</v>
      </c>
      <c r="C33" t="s">
        <v>106</v>
      </c>
      <c r="D33">
        <v>93.400877471520005</v>
      </c>
      <c r="F33" t="s">
        <v>167</v>
      </c>
      <c r="G33">
        <v>72.003827000000001</v>
      </c>
      <c r="J33">
        <f>SUM(J34:J36)</f>
        <v>14.2688947375</v>
      </c>
      <c r="K33">
        <f>SQRT(J33)</f>
        <v>3.7774190577032885</v>
      </c>
      <c r="L33" s="71">
        <f>K33/$Q$26</f>
        <v>3.7627484960896122E-2</v>
      </c>
    </row>
    <row r="34" spans="1:17" x14ac:dyDescent="0.25">
      <c r="A34">
        <v>33</v>
      </c>
      <c r="B34" t="s">
        <v>110</v>
      </c>
      <c r="C34" t="s">
        <v>101</v>
      </c>
      <c r="D34">
        <v>100.50394565867001</v>
      </c>
      <c r="F34" t="s">
        <v>98</v>
      </c>
      <c r="G34">
        <f>G29-1</f>
        <v>19</v>
      </c>
      <c r="H34">
        <v>248.53879499999999</v>
      </c>
      <c r="I34">
        <f>H34/G34</f>
        <v>13.080989210526315</v>
      </c>
      <c r="J34">
        <f>MAX(0,(I34-I35)/(G30*G31))</f>
        <v>0</v>
      </c>
      <c r="K34">
        <f t="shared" ref="K34:K36" si="13">SQRT(J34)</f>
        <v>0</v>
      </c>
      <c r="L34" s="71">
        <f t="shared" ref="L34:L36" si="14">K34/$Q$26</f>
        <v>0</v>
      </c>
      <c r="M34">
        <f>1/(1+G34)</f>
        <v>0.05</v>
      </c>
      <c r="N34">
        <f>M34*J34</f>
        <v>0</v>
      </c>
      <c r="O34">
        <f>POWER(M34*J34,2)/G34</f>
        <v>0</v>
      </c>
      <c r="P34">
        <v>20</v>
      </c>
      <c r="Q34">
        <f>(P34-1)/($G$28-3)</f>
        <v>0.24675324675324675</v>
      </c>
    </row>
    <row r="35" spans="1:17" x14ac:dyDescent="0.25">
      <c r="A35">
        <v>34</v>
      </c>
      <c r="B35" t="s">
        <v>110</v>
      </c>
      <c r="C35" t="s">
        <v>101</v>
      </c>
      <c r="D35">
        <v>99.862939218668402</v>
      </c>
      <c r="F35" t="s">
        <v>225</v>
      </c>
      <c r="G35">
        <f>(G30-1)*G29</f>
        <v>20</v>
      </c>
      <c r="H35">
        <v>370.45653700000003</v>
      </c>
      <c r="I35">
        <f t="shared" ref="I35:I36" si="15">H35/G35</f>
        <v>18.522826850000001</v>
      </c>
      <c r="J35">
        <f>(I35-I36)/G31</f>
        <v>4.2539321125000011</v>
      </c>
      <c r="K35">
        <f t="shared" si="13"/>
        <v>2.0625062696874403</v>
      </c>
      <c r="L35" s="71">
        <f t="shared" si="14"/>
        <v>2.0544960053122611E-2</v>
      </c>
      <c r="M35">
        <f t="shared" ref="M35:M36" si="16">1/(1+G35)</f>
        <v>4.7619047619047616E-2</v>
      </c>
      <c r="N35">
        <f t="shared" ref="N35:N36" si="17">M35*J35</f>
        <v>0.20256819583333338</v>
      </c>
      <c r="O35">
        <f t="shared" ref="O35:O36" si="18">POWER(M35*J35,2)/G35</f>
        <v>2.051693698158585E-3</v>
      </c>
      <c r="P35">
        <v>2</v>
      </c>
      <c r="Q35">
        <f>(P35-1)/($G$28-3)</f>
        <v>1.2987012987012988E-2</v>
      </c>
    </row>
    <row r="36" spans="1:17" x14ac:dyDescent="0.25">
      <c r="A36">
        <v>35</v>
      </c>
      <c r="B36" t="s">
        <v>110</v>
      </c>
      <c r="C36" t="s">
        <v>106</v>
      </c>
      <c r="D36">
        <v>98.9347816938037</v>
      </c>
      <c r="F36" t="s">
        <v>189</v>
      </c>
      <c r="G36">
        <f>G28-(G29*G30)</f>
        <v>40</v>
      </c>
      <c r="H36">
        <v>400.59850499999999</v>
      </c>
      <c r="I36">
        <f t="shared" si="15"/>
        <v>10.014962624999999</v>
      </c>
      <c r="J36">
        <f>I36</f>
        <v>10.014962624999999</v>
      </c>
      <c r="K36">
        <f t="shared" si="13"/>
        <v>3.1646425746045947</v>
      </c>
      <c r="L36" s="71">
        <f t="shared" si="14"/>
        <v>3.1523518853358676E-2</v>
      </c>
      <c r="M36">
        <f t="shared" si="16"/>
        <v>2.4390243902439025E-2</v>
      </c>
      <c r="N36">
        <f t="shared" si="17"/>
        <v>0.24426738109756096</v>
      </c>
      <c r="O36">
        <f t="shared" si="18"/>
        <v>1.4916638367065273E-3</v>
      </c>
      <c r="P36">
        <v>2</v>
      </c>
      <c r="Q36">
        <f>(P36-1)/($G$28-3)</f>
        <v>1.2987012987012988E-2</v>
      </c>
    </row>
    <row r="37" spans="1:17" x14ac:dyDescent="0.25">
      <c r="A37">
        <v>36</v>
      </c>
      <c r="B37" t="s">
        <v>110</v>
      </c>
      <c r="C37" t="s">
        <v>106</v>
      </c>
      <c r="D37">
        <v>102.18390876234</v>
      </c>
    </row>
    <row r="38" spans="1:17" x14ac:dyDescent="0.25">
      <c r="A38">
        <v>37</v>
      </c>
      <c r="B38" t="s">
        <v>111</v>
      </c>
      <c r="C38" t="s">
        <v>101</v>
      </c>
      <c r="D38">
        <v>95.955394569818196</v>
      </c>
      <c r="M38" t="s">
        <v>230</v>
      </c>
      <c r="N38">
        <f>POWER(SUM(N34:N36),2)</f>
        <v>0.19966203281116524</v>
      </c>
    </row>
    <row r="39" spans="1:17" x14ac:dyDescent="0.25">
      <c r="A39">
        <v>38</v>
      </c>
      <c r="B39" t="s">
        <v>111</v>
      </c>
      <c r="C39" t="s">
        <v>101</v>
      </c>
      <c r="D39">
        <v>108.471792595466</v>
      </c>
      <c r="M39" t="s">
        <v>231</v>
      </c>
      <c r="N39">
        <f>SUM(O34:O36)</f>
        <v>3.5433575348651123E-3</v>
      </c>
    </row>
    <row r="40" spans="1:17" x14ac:dyDescent="0.25">
      <c r="A40">
        <v>39</v>
      </c>
      <c r="B40" t="s">
        <v>111</v>
      </c>
      <c r="C40" t="s">
        <v>106</v>
      </c>
      <c r="D40">
        <v>99.493795247262895</v>
      </c>
      <c r="M40" t="s">
        <v>232</v>
      </c>
      <c r="N40">
        <f>N38/N39</f>
        <v>56.34826032839667</v>
      </c>
    </row>
    <row r="41" spans="1:17" x14ac:dyDescent="0.25">
      <c r="A41">
        <v>40</v>
      </c>
      <c r="B41" t="s">
        <v>111</v>
      </c>
      <c r="C41" t="s">
        <v>106</v>
      </c>
      <c r="D41">
        <v>95.755952301741203</v>
      </c>
    </row>
    <row r="42" spans="1:17" x14ac:dyDescent="0.25">
      <c r="A42">
        <v>41</v>
      </c>
      <c r="B42" t="s">
        <v>112</v>
      </c>
      <c r="C42" t="s">
        <v>101</v>
      </c>
      <c r="D42">
        <v>106.64351196067599</v>
      </c>
    </row>
    <row r="43" spans="1:17" x14ac:dyDescent="0.25">
      <c r="A43">
        <v>42</v>
      </c>
      <c r="B43" t="s">
        <v>112</v>
      </c>
      <c r="C43" t="s">
        <v>101</v>
      </c>
      <c r="D43">
        <v>98.852209551491597</v>
      </c>
    </row>
    <row r="44" spans="1:17" x14ac:dyDescent="0.25">
      <c r="A44">
        <v>43</v>
      </c>
      <c r="B44" t="s">
        <v>112</v>
      </c>
      <c r="C44" t="s">
        <v>106</v>
      </c>
      <c r="D44">
        <v>99.493433384858406</v>
      </c>
    </row>
    <row r="45" spans="1:17" x14ac:dyDescent="0.25">
      <c r="A45">
        <v>44</v>
      </c>
      <c r="B45" t="s">
        <v>112</v>
      </c>
      <c r="C45" t="s">
        <v>106</v>
      </c>
      <c r="D45">
        <v>98.634645392121001</v>
      </c>
    </row>
    <row r="46" spans="1:17" x14ac:dyDescent="0.25">
      <c r="A46">
        <v>45</v>
      </c>
      <c r="B46" t="s">
        <v>113</v>
      </c>
      <c r="C46" t="s">
        <v>101</v>
      </c>
      <c r="D46">
        <v>99.262354950237295</v>
      </c>
    </row>
    <row r="47" spans="1:17" x14ac:dyDescent="0.25">
      <c r="A47">
        <v>46</v>
      </c>
      <c r="B47" t="s">
        <v>113</v>
      </c>
      <c r="C47" t="s">
        <v>101</v>
      </c>
      <c r="D47">
        <v>99.053648233066596</v>
      </c>
    </row>
    <row r="48" spans="1:17" x14ac:dyDescent="0.25">
      <c r="A48">
        <v>47</v>
      </c>
      <c r="B48" t="s">
        <v>113</v>
      </c>
      <c r="C48" t="s">
        <v>106</v>
      </c>
      <c r="D48">
        <v>106.095248879312</v>
      </c>
    </row>
    <row r="49" spans="1:4" x14ac:dyDescent="0.25">
      <c r="A49">
        <v>48</v>
      </c>
      <c r="B49" t="s">
        <v>113</v>
      </c>
      <c r="C49" t="s">
        <v>106</v>
      </c>
      <c r="D49">
        <v>105.28232972817899</v>
      </c>
    </row>
    <row r="50" spans="1:4" x14ac:dyDescent="0.25">
      <c r="A50">
        <v>49</v>
      </c>
      <c r="B50" t="s">
        <v>114</v>
      </c>
      <c r="C50" t="s">
        <v>101</v>
      </c>
      <c r="D50">
        <v>100.65363630873</v>
      </c>
    </row>
    <row r="51" spans="1:4" x14ac:dyDescent="0.25">
      <c r="A51">
        <v>50</v>
      </c>
      <c r="B51" t="s">
        <v>114</v>
      </c>
      <c r="C51" t="s">
        <v>101</v>
      </c>
      <c r="D51">
        <v>105.12351501370399</v>
      </c>
    </row>
    <row r="52" spans="1:4" x14ac:dyDescent="0.25">
      <c r="A52">
        <v>51</v>
      </c>
      <c r="B52" t="s">
        <v>114</v>
      </c>
      <c r="C52" t="s">
        <v>106</v>
      </c>
      <c r="D52">
        <v>94.837038603240799</v>
      </c>
    </row>
    <row r="53" spans="1:4" x14ac:dyDescent="0.25">
      <c r="A53">
        <v>52</v>
      </c>
      <c r="B53" t="s">
        <v>114</v>
      </c>
      <c r="C53" t="s">
        <v>106</v>
      </c>
      <c r="D53">
        <v>97.992749210821401</v>
      </c>
    </row>
    <row r="54" spans="1:4" x14ac:dyDescent="0.25">
      <c r="A54">
        <v>53</v>
      </c>
      <c r="B54" t="s">
        <v>115</v>
      </c>
      <c r="C54" t="s">
        <v>101</v>
      </c>
      <c r="D54">
        <v>99.002807374167901</v>
      </c>
    </row>
    <row r="55" spans="1:4" x14ac:dyDescent="0.25">
      <c r="A55">
        <v>54</v>
      </c>
      <c r="B55" t="s">
        <v>115</v>
      </c>
      <c r="C55" t="s">
        <v>101</v>
      </c>
      <c r="D55">
        <v>103.745049689742</v>
      </c>
    </row>
    <row r="56" spans="1:4" x14ac:dyDescent="0.25">
      <c r="A56">
        <v>55</v>
      </c>
      <c r="B56" t="s">
        <v>115</v>
      </c>
      <c r="C56" t="s">
        <v>106</v>
      </c>
      <c r="D56">
        <v>103.08617757797801</v>
      </c>
    </row>
    <row r="57" spans="1:4" x14ac:dyDescent="0.25">
      <c r="A57">
        <v>56</v>
      </c>
      <c r="B57" t="s">
        <v>115</v>
      </c>
      <c r="C57" t="s">
        <v>106</v>
      </c>
      <c r="D57">
        <v>104.182440367005</v>
      </c>
    </row>
    <row r="58" spans="1:4" x14ac:dyDescent="0.25">
      <c r="A58">
        <v>57</v>
      </c>
      <c r="B58" t="s">
        <v>116</v>
      </c>
      <c r="C58" t="s">
        <v>101</v>
      </c>
      <c r="D58">
        <v>100.320280613403</v>
      </c>
    </row>
    <row r="59" spans="1:4" x14ac:dyDescent="0.25">
      <c r="A59">
        <v>58</v>
      </c>
      <c r="B59" t="s">
        <v>116</v>
      </c>
      <c r="C59" t="s">
        <v>101</v>
      </c>
      <c r="D59">
        <v>100.64591214593</v>
      </c>
    </row>
    <row r="60" spans="1:4" x14ac:dyDescent="0.25">
      <c r="A60">
        <v>59</v>
      </c>
      <c r="B60" t="s">
        <v>116</v>
      </c>
      <c r="C60" t="s">
        <v>106</v>
      </c>
      <c r="D60">
        <v>100.13462920147801</v>
      </c>
    </row>
    <row r="61" spans="1:4" x14ac:dyDescent="0.25">
      <c r="A61">
        <v>60</v>
      </c>
      <c r="B61" t="s">
        <v>116</v>
      </c>
      <c r="C61" t="s">
        <v>106</v>
      </c>
      <c r="D61">
        <v>93.846833066265603</v>
      </c>
    </row>
    <row r="62" spans="1:4" x14ac:dyDescent="0.25">
      <c r="A62">
        <v>61</v>
      </c>
      <c r="B62" t="s">
        <v>117</v>
      </c>
      <c r="C62" t="s">
        <v>101</v>
      </c>
      <c r="D62">
        <v>99.543655541489301</v>
      </c>
    </row>
    <row r="63" spans="1:4" x14ac:dyDescent="0.25">
      <c r="A63">
        <v>62</v>
      </c>
      <c r="B63" t="s">
        <v>117</v>
      </c>
      <c r="C63" t="s">
        <v>101</v>
      </c>
      <c r="D63">
        <v>95.551374834117695</v>
      </c>
    </row>
    <row r="64" spans="1:4" x14ac:dyDescent="0.25">
      <c r="A64">
        <v>63</v>
      </c>
      <c r="B64" t="s">
        <v>117</v>
      </c>
      <c r="C64" t="s">
        <v>106</v>
      </c>
      <c r="D64">
        <v>98.567078983067105</v>
      </c>
    </row>
    <row r="65" spans="1:4" x14ac:dyDescent="0.25">
      <c r="A65">
        <v>64</v>
      </c>
      <c r="B65" t="s">
        <v>117</v>
      </c>
      <c r="C65" t="s">
        <v>106</v>
      </c>
      <c r="D65">
        <v>94.781433284768497</v>
      </c>
    </row>
    <row r="66" spans="1:4" x14ac:dyDescent="0.25">
      <c r="A66">
        <v>65</v>
      </c>
      <c r="B66" t="s">
        <v>118</v>
      </c>
      <c r="C66" t="s">
        <v>101</v>
      </c>
      <c r="D66">
        <v>102.014383040507</v>
      </c>
    </row>
    <row r="67" spans="1:4" x14ac:dyDescent="0.25">
      <c r="A67">
        <v>66</v>
      </c>
      <c r="B67" t="s">
        <v>118</v>
      </c>
      <c r="C67" t="s">
        <v>101</v>
      </c>
      <c r="D67">
        <v>100.126420974056</v>
      </c>
    </row>
    <row r="68" spans="1:4" x14ac:dyDescent="0.25">
      <c r="A68">
        <v>67</v>
      </c>
      <c r="B68" t="s">
        <v>118</v>
      </c>
      <c r="C68" t="s">
        <v>106</v>
      </c>
      <c r="D68">
        <v>102.44322099826</v>
      </c>
    </row>
    <row r="69" spans="1:4" x14ac:dyDescent="0.25">
      <c r="A69">
        <v>68</v>
      </c>
      <c r="B69" t="s">
        <v>118</v>
      </c>
      <c r="C69" t="s">
        <v>106</v>
      </c>
      <c r="D69">
        <v>97.482457456906701</v>
      </c>
    </row>
    <row r="70" spans="1:4" x14ac:dyDescent="0.25">
      <c r="A70">
        <v>69</v>
      </c>
      <c r="B70" t="s">
        <v>119</v>
      </c>
      <c r="C70" t="s">
        <v>101</v>
      </c>
      <c r="D70">
        <v>103.330116828904</v>
      </c>
    </row>
    <row r="71" spans="1:4" x14ac:dyDescent="0.25">
      <c r="A71">
        <v>70</v>
      </c>
      <c r="B71" t="s">
        <v>119</v>
      </c>
      <c r="C71" t="s">
        <v>101</v>
      </c>
      <c r="D71">
        <v>100.166155712055</v>
      </c>
    </row>
    <row r="72" spans="1:4" x14ac:dyDescent="0.25">
      <c r="A72">
        <v>71</v>
      </c>
      <c r="B72" t="s">
        <v>119</v>
      </c>
      <c r="C72" t="s">
        <v>106</v>
      </c>
      <c r="D72">
        <v>102.301694861897</v>
      </c>
    </row>
    <row r="73" spans="1:4" x14ac:dyDescent="0.25">
      <c r="A73">
        <v>72</v>
      </c>
      <c r="B73" t="s">
        <v>119</v>
      </c>
      <c r="C73" t="s">
        <v>106</v>
      </c>
      <c r="D73">
        <v>96.319150123228596</v>
      </c>
    </row>
    <row r="74" spans="1:4" x14ac:dyDescent="0.25">
      <c r="A74">
        <v>73</v>
      </c>
      <c r="B74" t="s">
        <v>120</v>
      </c>
      <c r="C74" t="s">
        <v>101</v>
      </c>
      <c r="D74">
        <v>96.5498408573701</v>
      </c>
    </row>
    <row r="75" spans="1:4" x14ac:dyDescent="0.25">
      <c r="A75">
        <v>74</v>
      </c>
      <c r="B75" t="s">
        <v>120</v>
      </c>
      <c r="C75" t="s">
        <v>101</v>
      </c>
      <c r="D75">
        <v>99.872600728842002</v>
      </c>
    </row>
    <row r="76" spans="1:4" x14ac:dyDescent="0.25">
      <c r="A76">
        <v>75</v>
      </c>
      <c r="B76" t="s">
        <v>120</v>
      </c>
      <c r="C76" t="s">
        <v>106</v>
      </c>
      <c r="D76">
        <v>102.830345405888</v>
      </c>
    </row>
    <row r="77" spans="1:4" x14ac:dyDescent="0.25">
      <c r="A77">
        <v>76</v>
      </c>
      <c r="B77" t="s">
        <v>120</v>
      </c>
      <c r="C77" t="s">
        <v>106</v>
      </c>
      <c r="D77">
        <v>100.012136574309</v>
      </c>
    </row>
    <row r="78" spans="1:4" x14ac:dyDescent="0.25">
      <c r="A78">
        <v>77</v>
      </c>
      <c r="B78" t="s">
        <v>121</v>
      </c>
      <c r="C78" t="s">
        <v>101</v>
      </c>
      <c r="D78">
        <v>106.057124750673</v>
      </c>
    </row>
    <row r="79" spans="1:4" x14ac:dyDescent="0.25">
      <c r="A79">
        <v>78</v>
      </c>
      <c r="B79" t="s">
        <v>121</v>
      </c>
      <c r="C79" t="s">
        <v>101</v>
      </c>
      <c r="D79">
        <v>104.190012230812</v>
      </c>
    </row>
    <row r="80" spans="1:4" x14ac:dyDescent="0.25">
      <c r="A80">
        <v>79</v>
      </c>
      <c r="B80" t="s">
        <v>121</v>
      </c>
      <c r="C80" t="s">
        <v>106</v>
      </c>
      <c r="D80">
        <v>100.070114638088</v>
      </c>
    </row>
    <row r="81" spans="1:4" x14ac:dyDescent="0.25">
      <c r="A81">
        <v>80</v>
      </c>
      <c r="B81" t="s">
        <v>121</v>
      </c>
      <c r="C81" t="s">
        <v>106</v>
      </c>
      <c r="D81">
        <v>102.851092936852</v>
      </c>
    </row>
    <row r="85" spans="1:4" x14ac:dyDescent="0.25">
      <c r="A85" t="s">
        <v>224</v>
      </c>
    </row>
    <row r="87" spans="1:4" x14ac:dyDescent="0.25">
      <c r="B87" t="s">
        <v>98</v>
      </c>
      <c r="C87" t="s">
        <v>99</v>
      </c>
      <c r="D87" t="s">
        <v>192</v>
      </c>
    </row>
    <row r="88" spans="1:4" x14ac:dyDescent="0.25">
      <c r="A88">
        <v>1</v>
      </c>
      <c r="B88" t="s">
        <v>100</v>
      </c>
      <c r="C88" t="s">
        <v>101</v>
      </c>
      <c r="D88">
        <v>105.91254948744201</v>
      </c>
    </row>
    <row r="89" spans="1:4" x14ac:dyDescent="0.25">
      <c r="A89">
        <v>2</v>
      </c>
      <c r="B89" t="s">
        <v>100</v>
      </c>
      <c r="C89" t="s">
        <v>101</v>
      </c>
      <c r="D89">
        <v>103.459443897618</v>
      </c>
    </row>
    <row r="90" spans="1:4" x14ac:dyDescent="0.25">
      <c r="A90">
        <v>3</v>
      </c>
      <c r="B90" t="s">
        <v>100</v>
      </c>
      <c r="C90" t="s">
        <v>106</v>
      </c>
      <c r="D90">
        <v>100.374620448402</v>
      </c>
    </row>
    <row r="91" spans="1:4" x14ac:dyDescent="0.25">
      <c r="A91">
        <v>4</v>
      </c>
      <c r="B91" t="s">
        <v>100</v>
      </c>
      <c r="C91" t="s">
        <v>106</v>
      </c>
      <c r="D91">
        <v>103.765913942498</v>
      </c>
    </row>
    <row r="92" spans="1:4" x14ac:dyDescent="0.25">
      <c r="A92">
        <v>5</v>
      </c>
      <c r="B92" t="s">
        <v>102</v>
      </c>
      <c r="C92" t="s">
        <v>101</v>
      </c>
      <c r="D92">
        <v>101.52339031338801</v>
      </c>
    </row>
    <row r="93" spans="1:4" x14ac:dyDescent="0.25">
      <c r="A93">
        <v>6</v>
      </c>
      <c r="B93" t="s">
        <v>102</v>
      </c>
      <c r="C93" t="s">
        <v>101</v>
      </c>
      <c r="D93">
        <v>101.334799870363</v>
      </c>
    </row>
    <row r="94" spans="1:4" x14ac:dyDescent="0.25">
      <c r="A94">
        <v>7</v>
      </c>
      <c r="B94" t="s">
        <v>102</v>
      </c>
      <c r="C94" t="s">
        <v>106</v>
      </c>
    </row>
    <row r="95" spans="1:4" x14ac:dyDescent="0.25">
      <c r="A95">
        <v>8</v>
      </c>
      <c r="B95" t="s">
        <v>102</v>
      </c>
      <c r="C95" t="s">
        <v>106</v>
      </c>
    </row>
    <row r="96" spans="1:4" x14ac:dyDescent="0.25">
      <c r="A96">
        <v>9</v>
      </c>
      <c r="B96" t="s">
        <v>103</v>
      </c>
      <c r="C96" t="s">
        <v>101</v>
      </c>
      <c r="D96">
        <v>104.639388464438</v>
      </c>
    </row>
    <row r="97" spans="1:4" x14ac:dyDescent="0.25">
      <c r="A97">
        <v>10</v>
      </c>
      <c r="B97" t="s">
        <v>103</v>
      </c>
      <c r="C97" t="s">
        <v>101</v>
      </c>
      <c r="D97">
        <v>94.140946998019203</v>
      </c>
    </row>
    <row r="98" spans="1:4" x14ac:dyDescent="0.25">
      <c r="A98">
        <v>11</v>
      </c>
      <c r="B98" t="s">
        <v>103</v>
      </c>
      <c r="C98" t="s">
        <v>106</v>
      </c>
      <c r="D98">
        <v>95.331980483197896</v>
      </c>
    </row>
    <row r="99" spans="1:4" x14ac:dyDescent="0.25">
      <c r="A99">
        <v>12</v>
      </c>
      <c r="B99" t="s">
        <v>103</v>
      </c>
      <c r="C99" t="s">
        <v>106</v>
      </c>
      <c r="D99">
        <v>98.001881267459893</v>
      </c>
    </row>
    <row r="100" spans="1:4" x14ac:dyDescent="0.25">
      <c r="A100">
        <v>13</v>
      </c>
      <c r="B100" t="s">
        <v>104</v>
      </c>
      <c r="C100" t="s">
        <v>101</v>
      </c>
      <c r="D100">
        <v>104.594870621225</v>
      </c>
    </row>
    <row r="101" spans="1:4" x14ac:dyDescent="0.25">
      <c r="A101">
        <v>14</v>
      </c>
      <c r="B101" t="s">
        <v>104</v>
      </c>
      <c r="C101" t="s">
        <v>101</v>
      </c>
      <c r="D101">
        <v>98.530713798513403</v>
      </c>
    </row>
    <row r="102" spans="1:4" x14ac:dyDescent="0.25">
      <c r="A102">
        <v>15</v>
      </c>
      <c r="B102" t="s">
        <v>104</v>
      </c>
      <c r="C102" t="s">
        <v>106</v>
      </c>
      <c r="D102">
        <v>96.039491787101397</v>
      </c>
    </row>
    <row r="103" spans="1:4" x14ac:dyDescent="0.25">
      <c r="A103">
        <v>16</v>
      </c>
      <c r="B103" t="s">
        <v>104</v>
      </c>
      <c r="C103" t="s">
        <v>106</v>
      </c>
      <c r="D103">
        <v>93.734562913754502</v>
      </c>
    </row>
    <row r="104" spans="1:4" x14ac:dyDescent="0.25">
      <c r="A104">
        <v>17</v>
      </c>
      <c r="B104" t="s">
        <v>105</v>
      </c>
      <c r="C104" t="s">
        <v>101</v>
      </c>
      <c r="D104">
        <v>103.816993585125</v>
      </c>
    </row>
    <row r="105" spans="1:4" x14ac:dyDescent="0.25">
      <c r="A105">
        <v>18</v>
      </c>
      <c r="B105" t="s">
        <v>105</v>
      </c>
      <c r="C105" t="s">
        <v>101</v>
      </c>
      <c r="D105">
        <v>100.908936633932</v>
      </c>
    </row>
    <row r="106" spans="1:4" x14ac:dyDescent="0.25">
      <c r="A106">
        <v>19</v>
      </c>
      <c r="B106" t="s">
        <v>105</v>
      </c>
      <c r="C106" t="s">
        <v>106</v>
      </c>
      <c r="D106">
        <v>95.247126548386404</v>
      </c>
    </row>
    <row r="107" spans="1:4" x14ac:dyDescent="0.25">
      <c r="A107">
        <v>20</v>
      </c>
      <c r="B107" t="s">
        <v>105</v>
      </c>
      <c r="C107" t="s">
        <v>106</v>
      </c>
      <c r="D107">
        <v>103.27943303077799</v>
      </c>
    </row>
    <row r="108" spans="1:4" x14ac:dyDescent="0.25">
      <c r="A108">
        <v>21</v>
      </c>
      <c r="B108" t="s">
        <v>107</v>
      </c>
      <c r="C108" t="s">
        <v>101</v>
      </c>
      <c r="D108">
        <v>98.578804752151896</v>
      </c>
    </row>
    <row r="109" spans="1:4" x14ac:dyDescent="0.25">
      <c r="A109">
        <v>22</v>
      </c>
      <c r="B109" t="s">
        <v>107</v>
      </c>
      <c r="C109" t="s">
        <v>101</v>
      </c>
      <c r="D109">
        <v>100.657733243134</v>
      </c>
    </row>
    <row r="110" spans="1:4" x14ac:dyDescent="0.25">
      <c r="A110">
        <v>23</v>
      </c>
      <c r="B110" t="s">
        <v>107</v>
      </c>
      <c r="C110" t="s">
        <v>106</v>
      </c>
      <c r="D110">
        <v>104.575040466348</v>
      </c>
    </row>
    <row r="111" spans="1:4" x14ac:dyDescent="0.25">
      <c r="A111">
        <v>24</v>
      </c>
      <c r="B111" t="s">
        <v>107</v>
      </c>
      <c r="C111" t="s">
        <v>106</v>
      </c>
      <c r="D111">
        <v>102.107644530922</v>
      </c>
    </row>
    <row r="112" spans="1:4" x14ac:dyDescent="0.25">
      <c r="A112">
        <v>25</v>
      </c>
      <c r="B112" t="s">
        <v>108</v>
      </c>
      <c r="C112" t="s">
        <v>101</v>
      </c>
      <c r="D112">
        <v>98.114225588836803</v>
      </c>
    </row>
    <row r="113" spans="1:4" x14ac:dyDescent="0.25">
      <c r="A113">
        <v>26</v>
      </c>
      <c r="B113" t="s">
        <v>108</v>
      </c>
      <c r="C113" t="s">
        <v>101</v>
      </c>
      <c r="D113">
        <v>104.77635112279</v>
      </c>
    </row>
    <row r="114" spans="1:4" x14ac:dyDescent="0.25">
      <c r="A114">
        <v>27</v>
      </c>
      <c r="B114" t="s">
        <v>108</v>
      </c>
      <c r="C114" t="s">
        <v>106</v>
      </c>
      <c r="D114">
        <v>102.46555249469699</v>
      </c>
    </row>
    <row r="115" spans="1:4" x14ac:dyDescent="0.25">
      <c r="A115">
        <v>28</v>
      </c>
      <c r="B115" t="s">
        <v>108</v>
      </c>
      <c r="C115" t="s">
        <v>106</v>
      </c>
      <c r="D115">
        <v>99.938488746252204</v>
      </c>
    </row>
    <row r="116" spans="1:4" x14ac:dyDescent="0.25">
      <c r="A116">
        <v>29</v>
      </c>
      <c r="B116" t="s">
        <v>109</v>
      </c>
      <c r="C116" t="s">
        <v>101</v>
      </c>
      <c r="D116">
        <v>103.061864182264</v>
      </c>
    </row>
    <row r="117" spans="1:4" x14ac:dyDescent="0.25">
      <c r="A117">
        <v>30</v>
      </c>
      <c r="B117" t="s">
        <v>109</v>
      </c>
      <c r="C117" t="s">
        <v>101</v>
      </c>
      <c r="D117">
        <v>102.96684523714001</v>
      </c>
    </row>
    <row r="118" spans="1:4" x14ac:dyDescent="0.25">
      <c r="A118">
        <v>31</v>
      </c>
      <c r="B118" t="s">
        <v>109</v>
      </c>
      <c r="C118" t="s">
        <v>106</v>
      </c>
      <c r="D118">
        <v>90.750612406640599</v>
      </c>
    </row>
    <row r="119" spans="1:4" x14ac:dyDescent="0.25">
      <c r="A119">
        <v>32</v>
      </c>
      <c r="B119" t="s">
        <v>109</v>
      </c>
      <c r="C119" t="s">
        <v>106</v>
      </c>
      <c r="D119">
        <v>93.400877471520005</v>
      </c>
    </row>
    <row r="120" spans="1:4" x14ac:dyDescent="0.25">
      <c r="A120">
        <v>33</v>
      </c>
      <c r="B120" t="s">
        <v>110</v>
      </c>
      <c r="C120" t="s">
        <v>101</v>
      </c>
      <c r="D120">
        <v>100.50394565867001</v>
      </c>
    </row>
    <row r="121" spans="1:4" x14ac:dyDescent="0.25">
      <c r="A121">
        <v>34</v>
      </c>
      <c r="B121" t="s">
        <v>110</v>
      </c>
      <c r="C121" t="s">
        <v>101</v>
      </c>
      <c r="D121">
        <v>99.862939218668402</v>
      </c>
    </row>
    <row r="122" spans="1:4" x14ac:dyDescent="0.25">
      <c r="A122">
        <v>35</v>
      </c>
      <c r="B122" t="s">
        <v>110</v>
      </c>
      <c r="C122" t="s">
        <v>106</v>
      </c>
      <c r="D122">
        <v>98.9347816938037</v>
      </c>
    </row>
    <row r="123" spans="1:4" x14ac:dyDescent="0.25">
      <c r="A123">
        <v>36</v>
      </c>
      <c r="B123" t="s">
        <v>110</v>
      </c>
      <c r="C123" t="s">
        <v>106</v>
      </c>
      <c r="D123">
        <v>102.18390876234</v>
      </c>
    </row>
    <row r="124" spans="1:4" x14ac:dyDescent="0.25">
      <c r="A124">
        <v>37</v>
      </c>
      <c r="B124" t="s">
        <v>111</v>
      </c>
      <c r="C124" t="s">
        <v>101</v>
      </c>
      <c r="D124">
        <v>95.955394569818196</v>
      </c>
    </row>
    <row r="125" spans="1:4" x14ac:dyDescent="0.25">
      <c r="A125">
        <v>38</v>
      </c>
      <c r="B125" t="s">
        <v>111</v>
      </c>
      <c r="C125" t="s">
        <v>101</v>
      </c>
      <c r="D125">
        <v>108.471792595466</v>
      </c>
    </row>
    <row r="126" spans="1:4" x14ac:dyDescent="0.25">
      <c r="A126">
        <v>39</v>
      </c>
      <c r="B126" t="s">
        <v>111</v>
      </c>
      <c r="C126" t="s">
        <v>106</v>
      </c>
      <c r="D126">
        <v>99.493795247262895</v>
      </c>
    </row>
    <row r="127" spans="1:4" x14ac:dyDescent="0.25">
      <c r="A127">
        <v>40</v>
      </c>
      <c r="B127" t="s">
        <v>111</v>
      </c>
      <c r="C127" t="s">
        <v>106</v>
      </c>
    </row>
    <row r="128" spans="1:4" x14ac:dyDescent="0.25">
      <c r="A128">
        <v>41</v>
      </c>
      <c r="B128" t="s">
        <v>112</v>
      </c>
      <c r="C128" t="s">
        <v>101</v>
      </c>
      <c r="D128">
        <v>106.64351196067599</v>
      </c>
    </row>
    <row r="129" spans="1:4" x14ac:dyDescent="0.25">
      <c r="A129">
        <v>42</v>
      </c>
      <c r="B129" t="s">
        <v>112</v>
      </c>
      <c r="C129" t="s">
        <v>101</v>
      </c>
      <c r="D129">
        <v>98.852209551491597</v>
      </c>
    </row>
    <row r="130" spans="1:4" x14ac:dyDescent="0.25">
      <c r="A130">
        <v>43</v>
      </c>
      <c r="B130" t="s">
        <v>112</v>
      </c>
      <c r="C130" t="s">
        <v>106</v>
      </c>
      <c r="D130">
        <v>99.493433384858406</v>
      </c>
    </row>
    <row r="131" spans="1:4" x14ac:dyDescent="0.25">
      <c r="A131">
        <v>44</v>
      </c>
      <c r="B131" t="s">
        <v>112</v>
      </c>
      <c r="C131" t="s">
        <v>106</v>
      </c>
      <c r="D131">
        <v>98.634645392121001</v>
      </c>
    </row>
    <row r="132" spans="1:4" x14ac:dyDescent="0.25">
      <c r="A132">
        <v>45</v>
      </c>
      <c r="B132" t="s">
        <v>113</v>
      </c>
      <c r="C132" t="s">
        <v>101</v>
      </c>
      <c r="D132">
        <v>99.262354950237295</v>
      </c>
    </row>
    <row r="133" spans="1:4" x14ac:dyDescent="0.25">
      <c r="A133">
        <v>46</v>
      </c>
      <c r="B133" t="s">
        <v>113</v>
      </c>
      <c r="C133" t="s">
        <v>101</v>
      </c>
      <c r="D133">
        <v>99.053648233066596</v>
      </c>
    </row>
    <row r="134" spans="1:4" x14ac:dyDescent="0.25">
      <c r="A134">
        <v>47</v>
      </c>
      <c r="B134" t="s">
        <v>113</v>
      </c>
      <c r="C134" t="s">
        <v>106</v>
      </c>
      <c r="D134">
        <v>106.095248879312</v>
      </c>
    </row>
    <row r="135" spans="1:4" x14ac:dyDescent="0.25">
      <c r="A135">
        <v>48</v>
      </c>
      <c r="B135" t="s">
        <v>113</v>
      </c>
      <c r="C135" t="s">
        <v>106</v>
      </c>
      <c r="D135">
        <v>105.28232972817899</v>
      </c>
    </row>
    <row r="136" spans="1:4" x14ac:dyDescent="0.25">
      <c r="A136">
        <v>49</v>
      </c>
      <c r="B136" t="s">
        <v>114</v>
      </c>
      <c r="C136" t="s">
        <v>101</v>
      </c>
      <c r="D136">
        <v>100.65363630873</v>
      </c>
    </row>
    <row r="137" spans="1:4" x14ac:dyDescent="0.25">
      <c r="A137">
        <v>50</v>
      </c>
      <c r="B137" t="s">
        <v>114</v>
      </c>
      <c r="C137" t="s">
        <v>101</v>
      </c>
      <c r="D137">
        <v>105.12351501370399</v>
      </c>
    </row>
    <row r="138" spans="1:4" x14ac:dyDescent="0.25">
      <c r="A138">
        <v>51</v>
      </c>
      <c r="B138" t="s">
        <v>114</v>
      </c>
      <c r="C138" t="s">
        <v>106</v>
      </c>
      <c r="D138">
        <v>94.837038603240799</v>
      </c>
    </row>
    <row r="139" spans="1:4" x14ac:dyDescent="0.25">
      <c r="A139">
        <v>52</v>
      </c>
      <c r="B139" t="s">
        <v>114</v>
      </c>
      <c r="C139" t="s">
        <v>106</v>
      </c>
      <c r="D139">
        <v>97.992749210821401</v>
      </c>
    </row>
    <row r="140" spans="1:4" x14ac:dyDescent="0.25">
      <c r="A140">
        <v>53</v>
      </c>
      <c r="B140" t="s">
        <v>115</v>
      </c>
      <c r="C140" t="s">
        <v>101</v>
      </c>
      <c r="D140">
        <v>99.002807374167901</v>
      </c>
    </row>
    <row r="141" spans="1:4" x14ac:dyDescent="0.25">
      <c r="A141">
        <v>54</v>
      </c>
      <c r="B141" t="s">
        <v>115</v>
      </c>
      <c r="C141" t="s">
        <v>101</v>
      </c>
      <c r="D141">
        <v>103.745049689742</v>
      </c>
    </row>
    <row r="142" spans="1:4" x14ac:dyDescent="0.25">
      <c r="A142">
        <v>55</v>
      </c>
      <c r="B142" t="s">
        <v>115</v>
      </c>
      <c r="C142" t="s">
        <v>106</v>
      </c>
      <c r="D142">
        <v>103.08617757797801</v>
      </c>
    </row>
    <row r="143" spans="1:4" x14ac:dyDescent="0.25">
      <c r="A143">
        <v>56</v>
      </c>
      <c r="B143" t="s">
        <v>115</v>
      </c>
      <c r="C143" t="s">
        <v>106</v>
      </c>
      <c r="D143">
        <v>104.182440367005</v>
      </c>
    </row>
    <row r="144" spans="1:4" x14ac:dyDescent="0.25">
      <c r="A144">
        <v>57</v>
      </c>
      <c r="B144" t="s">
        <v>116</v>
      </c>
      <c r="C144" t="s">
        <v>101</v>
      </c>
      <c r="D144">
        <v>100.320280613403</v>
      </c>
    </row>
    <row r="145" spans="1:4" x14ac:dyDescent="0.25">
      <c r="A145">
        <v>58</v>
      </c>
      <c r="B145" t="s">
        <v>116</v>
      </c>
      <c r="C145" t="s">
        <v>101</v>
      </c>
      <c r="D145">
        <v>100.64591214593</v>
      </c>
    </row>
    <row r="146" spans="1:4" x14ac:dyDescent="0.25">
      <c r="A146">
        <v>59</v>
      </c>
      <c r="B146" t="s">
        <v>116</v>
      </c>
      <c r="C146" t="s">
        <v>106</v>
      </c>
      <c r="D146">
        <v>100.13462920147801</v>
      </c>
    </row>
    <row r="147" spans="1:4" x14ac:dyDescent="0.25">
      <c r="A147">
        <v>60</v>
      </c>
      <c r="B147" t="s">
        <v>116</v>
      </c>
      <c r="C147" t="s">
        <v>106</v>
      </c>
      <c r="D147">
        <v>93.846833066265603</v>
      </c>
    </row>
    <row r="148" spans="1:4" x14ac:dyDescent="0.25">
      <c r="A148">
        <v>61</v>
      </c>
      <c r="B148" t="s">
        <v>117</v>
      </c>
      <c r="C148" t="s">
        <v>101</v>
      </c>
      <c r="D148">
        <v>99.543655541489301</v>
      </c>
    </row>
    <row r="149" spans="1:4" x14ac:dyDescent="0.25">
      <c r="A149">
        <v>62</v>
      </c>
      <c r="B149" t="s">
        <v>117</v>
      </c>
      <c r="C149" t="s">
        <v>101</v>
      </c>
      <c r="D149">
        <v>95.551374834117695</v>
      </c>
    </row>
    <row r="150" spans="1:4" x14ac:dyDescent="0.25">
      <c r="A150">
        <v>63</v>
      </c>
      <c r="B150" t="s">
        <v>117</v>
      </c>
      <c r="C150" t="s">
        <v>106</v>
      </c>
      <c r="D150">
        <v>98.567078983067105</v>
      </c>
    </row>
    <row r="151" spans="1:4" x14ac:dyDescent="0.25">
      <c r="A151">
        <v>64</v>
      </c>
      <c r="B151" t="s">
        <v>117</v>
      </c>
      <c r="C151" t="s">
        <v>106</v>
      </c>
      <c r="D151">
        <v>94.781433284768497</v>
      </c>
    </row>
    <row r="152" spans="1:4" x14ac:dyDescent="0.25">
      <c r="A152">
        <v>65</v>
      </c>
      <c r="B152" t="s">
        <v>118</v>
      </c>
      <c r="C152" t="s">
        <v>101</v>
      </c>
      <c r="D152">
        <v>102.014383040507</v>
      </c>
    </row>
    <row r="153" spans="1:4" x14ac:dyDescent="0.25">
      <c r="A153">
        <v>66</v>
      </c>
      <c r="B153" t="s">
        <v>118</v>
      </c>
      <c r="C153" t="s">
        <v>101</v>
      </c>
      <c r="D153">
        <v>100.126420974056</v>
      </c>
    </row>
    <row r="154" spans="1:4" x14ac:dyDescent="0.25">
      <c r="A154">
        <v>67</v>
      </c>
      <c r="B154" t="s">
        <v>118</v>
      </c>
      <c r="C154" t="s">
        <v>106</v>
      </c>
      <c r="D154">
        <v>102.44322099826</v>
      </c>
    </row>
    <row r="155" spans="1:4" x14ac:dyDescent="0.25">
      <c r="A155">
        <v>68</v>
      </c>
      <c r="B155" t="s">
        <v>118</v>
      </c>
      <c r="C155" t="s">
        <v>106</v>
      </c>
      <c r="D155">
        <v>97.482457456906701</v>
      </c>
    </row>
    <row r="156" spans="1:4" x14ac:dyDescent="0.25">
      <c r="A156">
        <v>69</v>
      </c>
      <c r="B156" t="s">
        <v>119</v>
      </c>
      <c r="C156" t="s">
        <v>101</v>
      </c>
      <c r="D156">
        <v>103.330116828904</v>
      </c>
    </row>
    <row r="157" spans="1:4" x14ac:dyDescent="0.25">
      <c r="A157">
        <v>70</v>
      </c>
      <c r="B157" t="s">
        <v>119</v>
      </c>
      <c r="C157" t="s">
        <v>101</v>
      </c>
      <c r="D157">
        <v>100.166155712055</v>
      </c>
    </row>
    <row r="158" spans="1:4" x14ac:dyDescent="0.25">
      <c r="A158">
        <v>71</v>
      </c>
      <c r="B158" t="s">
        <v>119</v>
      </c>
      <c r="C158" t="s">
        <v>106</v>
      </c>
      <c r="D158">
        <v>102.301694861897</v>
      </c>
    </row>
    <row r="159" spans="1:4" x14ac:dyDescent="0.25">
      <c r="A159">
        <v>72</v>
      </c>
      <c r="B159" t="s">
        <v>119</v>
      </c>
      <c r="C159" t="s">
        <v>106</v>
      </c>
      <c r="D159">
        <v>96.319150123228596</v>
      </c>
    </row>
    <row r="160" spans="1:4" x14ac:dyDescent="0.25">
      <c r="A160">
        <v>73</v>
      </c>
      <c r="B160" t="s">
        <v>120</v>
      </c>
      <c r="C160" t="s">
        <v>101</v>
      </c>
      <c r="D160">
        <v>96.5498408573701</v>
      </c>
    </row>
    <row r="161" spans="1:4" x14ac:dyDescent="0.25">
      <c r="A161">
        <v>74</v>
      </c>
      <c r="B161" t="s">
        <v>120</v>
      </c>
      <c r="C161" t="s">
        <v>101</v>
      </c>
      <c r="D161">
        <v>99.872600728842002</v>
      </c>
    </row>
    <row r="162" spans="1:4" x14ac:dyDescent="0.25">
      <c r="A162">
        <v>75</v>
      </c>
      <c r="B162" t="s">
        <v>120</v>
      </c>
      <c r="C162" t="s">
        <v>106</v>
      </c>
      <c r="D162">
        <v>102.830345405888</v>
      </c>
    </row>
    <row r="163" spans="1:4" x14ac:dyDescent="0.25">
      <c r="A163">
        <v>76</v>
      </c>
      <c r="B163" t="s">
        <v>120</v>
      </c>
      <c r="C163" t="s">
        <v>106</v>
      </c>
      <c r="D163">
        <v>100.012136574309</v>
      </c>
    </row>
    <row r="164" spans="1:4" x14ac:dyDescent="0.25">
      <c r="A164">
        <v>77</v>
      </c>
      <c r="B164" t="s">
        <v>121</v>
      </c>
      <c r="C164" t="s">
        <v>101</v>
      </c>
      <c r="D164">
        <v>106.057124750673</v>
      </c>
    </row>
    <row r="165" spans="1:4" x14ac:dyDescent="0.25">
      <c r="A165">
        <v>78</v>
      </c>
      <c r="B165" t="s">
        <v>121</v>
      </c>
      <c r="C165" t="s">
        <v>101</v>
      </c>
      <c r="D165">
        <v>104.190012230812</v>
      </c>
    </row>
    <row r="166" spans="1:4" x14ac:dyDescent="0.25">
      <c r="A166">
        <v>79</v>
      </c>
      <c r="B166" t="s">
        <v>121</v>
      </c>
      <c r="C166" t="s">
        <v>106</v>
      </c>
      <c r="D166">
        <v>100.070114638088</v>
      </c>
    </row>
    <row r="167" spans="1:4" x14ac:dyDescent="0.25">
      <c r="A167">
        <v>80</v>
      </c>
      <c r="B167" t="s">
        <v>121</v>
      </c>
      <c r="C167" t="s">
        <v>106</v>
      </c>
      <c r="D167">
        <v>102.851092936852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9FF9-CF23-41B9-ADBC-FBDDD0AC7789}">
  <dimension ref="B1:J30"/>
  <sheetViews>
    <sheetView showGridLines="0" showRowColHeaders="0" zoomScaleNormal="100" workbookViewId="0">
      <selection activeCell="C12" sqref="C12:I29"/>
    </sheetView>
  </sheetViews>
  <sheetFormatPr defaultColWidth="11.140625" defaultRowHeight="12" customHeight="1" x14ac:dyDescent="0.25"/>
  <cols>
    <col min="1" max="2" width="1.140625" style="18" customWidth="1"/>
    <col min="3" max="3" width="19.28515625" style="18" customWidth="1"/>
    <col min="4" max="4" width="12.28515625" style="18" bestFit="1" customWidth="1"/>
    <col min="5" max="5" width="11.140625" style="18"/>
    <col min="6" max="6" width="12.42578125" style="18" bestFit="1" customWidth="1"/>
    <col min="7" max="7" width="11.140625" style="18" customWidth="1"/>
    <col min="8" max="8" width="11.42578125" style="18" bestFit="1" customWidth="1"/>
    <col min="9" max="9" width="11.140625" style="18"/>
    <col min="10" max="10" width="11.140625" style="18" customWidth="1"/>
    <col min="11" max="16384" width="11.140625" style="18"/>
  </cols>
  <sheetData>
    <row r="1" spans="2:10" s="21" customFormat="1" ht="5.0999999999999996" customHeight="1" x14ac:dyDescent="0.25"/>
    <row r="2" spans="2:10" s="21" customFormat="1" ht="20.100000000000001" customHeight="1" x14ac:dyDescent="0.25">
      <c r="B2" s="235" t="s">
        <v>193</v>
      </c>
      <c r="C2" s="236"/>
      <c r="D2" s="236"/>
      <c r="E2" s="236"/>
      <c r="F2" s="236"/>
      <c r="G2" s="236"/>
      <c r="H2" s="236"/>
      <c r="J2" s="22" t="s">
        <v>168</v>
      </c>
    </row>
    <row r="3" spans="2:10" s="21" customFormat="1" ht="12" hidden="1" customHeight="1" x14ac:dyDescent="0.25"/>
    <row r="4" spans="2:10" s="21" customFormat="1" ht="20.100000000000001" customHeight="1" x14ac:dyDescent="0.25">
      <c r="B4" s="237" t="s">
        <v>169</v>
      </c>
      <c r="C4" s="236"/>
      <c r="D4" s="236"/>
      <c r="E4" s="236"/>
      <c r="F4" s="236"/>
      <c r="G4" s="236"/>
      <c r="H4" s="236"/>
      <c r="I4" s="236"/>
      <c r="J4" s="236"/>
    </row>
    <row r="5" spans="2:10" s="21" customFormat="1" ht="20.100000000000001" customHeight="1" x14ac:dyDescent="0.25">
      <c r="B5" s="237" t="s">
        <v>170</v>
      </c>
      <c r="C5" s="236"/>
      <c r="D5" s="236"/>
      <c r="E5" s="236"/>
      <c r="F5" s="236"/>
      <c r="G5" s="236"/>
      <c r="H5" s="236"/>
      <c r="I5" s="236"/>
      <c r="J5" s="236"/>
    </row>
    <row r="6" spans="2:10" s="21" customFormat="1" ht="6" customHeight="1" x14ac:dyDescent="0.25"/>
    <row r="7" spans="2:10" s="21" customFormat="1" ht="14.1" customHeight="1" x14ac:dyDescent="0.25">
      <c r="B7" s="23" t="s">
        <v>194</v>
      </c>
    </row>
    <row r="8" spans="2:10" s="24" customFormat="1" ht="8.1" customHeight="1" x14ac:dyDescent="0.25"/>
    <row r="9" spans="2:10" ht="24.95" customHeight="1" x14ac:dyDescent="0.25"/>
    <row r="10" spans="2:10" s="26" customFormat="1" ht="15.95" customHeight="1" x14ac:dyDescent="0.25">
      <c r="B10" s="25" t="s">
        <v>171</v>
      </c>
    </row>
    <row r="11" spans="2:10" ht="9.9499999999999993" customHeight="1" x14ac:dyDescent="0.25"/>
    <row r="12" spans="2:10" ht="38.25" x14ac:dyDescent="0.2">
      <c r="C12" s="27" t="s">
        <v>172</v>
      </c>
      <c r="D12" s="29" t="s">
        <v>95</v>
      </c>
      <c r="E12" s="31" t="s">
        <v>173</v>
      </c>
      <c r="F12" s="31" t="s">
        <v>174</v>
      </c>
      <c r="G12" s="30" t="s">
        <v>175</v>
      </c>
      <c r="H12" s="28" t="s">
        <v>176</v>
      </c>
    </row>
    <row r="13" spans="2:10" ht="12" customHeight="1" x14ac:dyDescent="0.25">
      <c r="C13" s="33"/>
      <c r="D13" s="48">
        <v>100.38988950839854</v>
      </c>
      <c r="E13" s="34">
        <v>3.1523518872781216E-2</v>
      </c>
      <c r="F13" s="35">
        <v>3.1646425765544222</v>
      </c>
      <c r="G13" s="36">
        <v>3.7627484975622447E-2</v>
      </c>
      <c r="H13" s="37">
        <v>3.7774190591816637</v>
      </c>
    </row>
    <row r="14" spans="2:10" ht="15" customHeight="1" x14ac:dyDescent="0.25"/>
    <row r="15" spans="2:10" s="38" customFormat="1" ht="12" customHeight="1" x14ac:dyDescent="0.25">
      <c r="C15" s="39" t="s">
        <v>177</v>
      </c>
    </row>
    <row r="16" spans="2:10" ht="8.1" customHeight="1" x14ac:dyDescent="0.25"/>
    <row r="17" spans="3:9" ht="25.5" x14ac:dyDescent="0.2">
      <c r="C17" s="27" t="s">
        <v>178</v>
      </c>
      <c r="D17" s="29" t="s">
        <v>179</v>
      </c>
      <c r="E17" s="31" t="s">
        <v>180</v>
      </c>
      <c r="F17" s="31" t="s">
        <v>195</v>
      </c>
      <c r="G17" s="41"/>
      <c r="H17" s="28" t="s">
        <v>181</v>
      </c>
    </row>
    <row r="18" spans="3:9" ht="12" customHeight="1" x14ac:dyDescent="0.25">
      <c r="C18" s="44" t="s">
        <v>164</v>
      </c>
      <c r="D18" s="45">
        <v>0.70187374801929114</v>
      </c>
      <c r="E18" s="34">
        <v>3.1523518872781216E-2</v>
      </c>
      <c r="F18" s="34">
        <v>2.5881215454310803E-2</v>
      </c>
      <c r="G18" s="46">
        <v>4.0334431539147869E-2</v>
      </c>
      <c r="H18" s="37">
        <v>3.1646425765544222</v>
      </c>
    </row>
    <row r="19" spans="3:9" ht="12" customHeight="1" x14ac:dyDescent="0.25">
      <c r="C19" s="44" t="s">
        <v>196</v>
      </c>
      <c r="D19" s="45">
        <v>0.29812625198070891</v>
      </c>
      <c r="E19" s="34">
        <v>2.0544960050292133E-2</v>
      </c>
      <c r="F19" s="34">
        <v>0</v>
      </c>
      <c r="G19" s="46">
        <v>3.7748494440878202E-2</v>
      </c>
      <c r="H19" s="37">
        <v>2.0625062694032894</v>
      </c>
    </row>
    <row r="20" spans="3:9" ht="12" customHeight="1" x14ac:dyDescent="0.25">
      <c r="C20" s="44" t="s">
        <v>197</v>
      </c>
      <c r="D20" s="45">
        <v>1</v>
      </c>
      <c r="E20" s="34">
        <v>3.7627484975622447E-2</v>
      </c>
      <c r="F20" s="34">
        <v>3.1650663597920368E-2</v>
      </c>
      <c r="G20" s="46">
        <v>4.9621001719379595E-2</v>
      </c>
      <c r="H20" s="37">
        <v>3.7774190591816637</v>
      </c>
    </row>
    <row r="21" spans="3:9" ht="12" customHeight="1" x14ac:dyDescent="0.25">
      <c r="C21" s="44" t="s">
        <v>198</v>
      </c>
      <c r="D21" s="45">
        <v>0</v>
      </c>
      <c r="E21" s="34">
        <v>0</v>
      </c>
      <c r="F21" s="34">
        <v>0</v>
      </c>
      <c r="G21" s="46">
        <v>2.0190793907005913E-2</v>
      </c>
      <c r="H21" s="37">
        <v>0</v>
      </c>
    </row>
    <row r="22" spans="3:9" ht="12" customHeight="1" x14ac:dyDescent="0.25">
      <c r="C22" s="44" t="s">
        <v>182</v>
      </c>
      <c r="D22" s="45">
        <v>1</v>
      </c>
      <c r="E22" s="34">
        <v>3.7627484975622447E-2</v>
      </c>
      <c r="F22" s="34">
        <v>3.3627058708404052E-2</v>
      </c>
      <c r="G22" s="46">
        <v>4.5952437339526891E-2</v>
      </c>
      <c r="H22" s="37">
        <v>3.7774190591816637</v>
      </c>
    </row>
    <row r="23" spans="3:9" ht="15" customHeight="1" x14ac:dyDescent="0.25"/>
    <row r="24" spans="3:9" s="20" customFormat="1" ht="12" customHeight="1" x14ac:dyDescent="0.25">
      <c r="C24" s="19" t="s">
        <v>183</v>
      </c>
    </row>
    <row r="25" spans="3:9" ht="8.1" customHeight="1" x14ac:dyDescent="0.25"/>
    <row r="26" spans="3:9" ht="12" customHeight="1" x14ac:dyDescent="0.2">
      <c r="C26" s="27" t="s">
        <v>184</v>
      </c>
      <c r="D26" s="29" t="s">
        <v>185</v>
      </c>
      <c r="E26" s="31" t="s">
        <v>186</v>
      </c>
      <c r="F26" s="30" t="s">
        <v>187</v>
      </c>
      <c r="G26" s="28" t="s">
        <v>188</v>
      </c>
      <c r="H26" s="40"/>
      <c r="I26" s="40"/>
    </row>
    <row r="27" spans="3:9" ht="13.5" customHeight="1" x14ac:dyDescent="0.25">
      <c r="C27" s="44" t="s">
        <v>98</v>
      </c>
      <c r="D27" s="48">
        <v>248.53879533730492</v>
      </c>
      <c r="E27" s="49">
        <v>19</v>
      </c>
      <c r="F27" s="50">
        <v>13.080989228279206</v>
      </c>
      <c r="G27" s="238" t="s">
        <v>200</v>
      </c>
      <c r="H27" s="239"/>
      <c r="I27" s="239"/>
    </row>
    <row r="28" spans="3:9" ht="13.5" customHeight="1" x14ac:dyDescent="0.25">
      <c r="C28" s="44" t="s">
        <v>201</v>
      </c>
      <c r="D28" s="48">
        <v>370.45653719993516</v>
      </c>
      <c r="E28" s="49">
        <v>20</v>
      </c>
      <c r="F28" s="50">
        <v>18.522826859996758</v>
      </c>
      <c r="G28" s="19" t="s">
        <v>203</v>
      </c>
      <c r="H28" s="20"/>
      <c r="I28" s="20"/>
    </row>
    <row r="29" spans="3:9" ht="13.5" customHeight="1" x14ac:dyDescent="0.25">
      <c r="C29" s="44" t="s">
        <v>189</v>
      </c>
      <c r="D29" s="48">
        <v>400.59850549364046</v>
      </c>
      <c r="E29" s="49">
        <v>40</v>
      </c>
      <c r="F29" s="50">
        <v>10.014962637341011</v>
      </c>
      <c r="G29" s="19" t="s">
        <v>191</v>
      </c>
      <c r="H29" s="20"/>
      <c r="I29" s="20"/>
    </row>
    <row r="30" spans="3:9" ht="30" customHeight="1" x14ac:dyDescent="0.25"/>
  </sheetData>
  <mergeCells count="4">
    <mergeCell ref="B2:H2"/>
    <mergeCell ref="B4:J4"/>
    <mergeCell ref="B5:J5"/>
    <mergeCell ref="G27:I27"/>
  </mergeCells>
  <printOptions horizontalCentered="1"/>
  <pageMargins left="0.19685039255354139" right="0.19685039255354139" top="0.19685039255354139" bottom="0.19685039255354139" header="0.3" footer="0.3"/>
  <pageSetup paperSize="9" orientation="portrait" blackAndWhite="1" verticalDpi="0" r:id="rId1"/>
  <headerFooter scaleWithDoc="0"/>
  <customProperties>
    <customPr name="__ai3_report" r:id="rId2"/>
    <customPr name="__ai3_ribbonstate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25C1-3E53-42C3-8E45-6158677CDFFF}">
  <dimension ref="A1:C23"/>
  <sheetViews>
    <sheetView workbookViewId="0">
      <selection activeCell="A26" sqref="A26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72" bestFit="1" customWidth="1"/>
  </cols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 t="s">
        <v>86</v>
      </c>
      <c r="B2" t="b">
        <v>1</v>
      </c>
      <c r="C2" t="s">
        <v>87</v>
      </c>
    </row>
    <row r="3" spans="1:3" x14ac:dyDescent="0.25">
      <c r="A3" t="s">
        <v>40</v>
      </c>
      <c r="B3" s="1" t="s">
        <v>41</v>
      </c>
      <c r="C3" t="s">
        <v>88</v>
      </c>
    </row>
    <row r="4" spans="1:3" x14ac:dyDescent="0.25">
      <c r="A4" t="s">
        <v>42</v>
      </c>
      <c r="B4" s="1" t="s">
        <v>43</v>
      </c>
      <c r="C4" t="s">
        <v>89</v>
      </c>
    </row>
    <row r="5" spans="1:3" x14ac:dyDescent="0.25">
      <c r="A5" t="s">
        <v>44</v>
      </c>
      <c r="B5" s="1" t="s">
        <v>45</v>
      </c>
      <c r="C5" t="s">
        <v>46</v>
      </c>
    </row>
    <row r="6" spans="1:3" x14ac:dyDescent="0.25">
      <c r="A6" t="s">
        <v>47</v>
      </c>
      <c r="B6" s="1" t="s">
        <v>48</v>
      </c>
      <c r="C6" t="s">
        <v>49</v>
      </c>
    </row>
    <row r="7" spans="1:3" x14ac:dyDescent="0.25">
      <c r="A7" t="s">
        <v>50</v>
      </c>
      <c r="B7" s="1" t="s">
        <v>51</v>
      </c>
      <c r="C7" t="s">
        <v>52</v>
      </c>
    </row>
    <row r="8" spans="1:3" x14ac:dyDescent="0.25">
      <c r="A8" t="s">
        <v>53</v>
      </c>
      <c r="B8" s="1" t="s">
        <v>54</v>
      </c>
      <c r="C8" t="s">
        <v>55</v>
      </c>
    </row>
    <row r="9" spans="1:3" x14ac:dyDescent="0.25">
      <c r="A9" t="s">
        <v>56</v>
      </c>
      <c r="B9" s="1" t="s">
        <v>57</v>
      </c>
      <c r="C9" t="s">
        <v>58</v>
      </c>
    </row>
    <row r="10" spans="1:3" x14ac:dyDescent="0.25">
      <c r="A10" t="s">
        <v>59</v>
      </c>
      <c r="B10" s="1" t="b">
        <v>0</v>
      </c>
      <c r="C10" t="s">
        <v>60</v>
      </c>
    </row>
    <row r="11" spans="1:3" x14ac:dyDescent="0.25">
      <c r="A11" t="s">
        <v>61</v>
      </c>
      <c r="B11" s="2">
        <v>1</v>
      </c>
      <c r="C11" t="s">
        <v>62</v>
      </c>
    </row>
    <row r="12" spans="1:3" x14ac:dyDescent="0.25">
      <c r="A12" t="s">
        <v>63</v>
      </c>
      <c r="B12" s="1" t="s">
        <v>64</v>
      </c>
      <c r="C12" t="s">
        <v>65</v>
      </c>
    </row>
    <row r="13" spans="1:3" x14ac:dyDescent="0.25">
      <c r="A13" t="s">
        <v>66</v>
      </c>
      <c r="B13" s="1" t="s">
        <v>67</v>
      </c>
      <c r="C13" t="s">
        <v>68</v>
      </c>
    </row>
    <row r="14" spans="1:3" x14ac:dyDescent="0.25">
      <c r="A14" t="s">
        <v>69</v>
      </c>
      <c r="B14" s="1" t="b">
        <v>1</v>
      </c>
      <c r="C14" t="s">
        <v>70</v>
      </c>
    </row>
    <row r="15" spans="1:3" x14ac:dyDescent="0.25">
      <c r="A15" t="s">
        <v>71</v>
      </c>
      <c r="B15" s="1" t="s">
        <v>72</v>
      </c>
      <c r="C15" t="s">
        <v>73</v>
      </c>
    </row>
    <row r="16" spans="1:3" x14ac:dyDescent="0.25">
      <c r="A16" t="s">
        <v>74</v>
      </c>
      <c r="B16" s="1" t="s">
        <v>75</v>
      </c>
      <c r="C16" t="s">
        <v>76</v>
      </c>
    </row>
    <row r="17" spans="1:3" x14ac:dyDescent="0.25">
      <c r="A17" t="s">
        <v>77</v>
      </c>
      <c r="B17" s="1" t="s">
        <v>78</v>
      </c>
      <c r="C17" t="s">
        <v>79</v>
      </c>
    </row>
    <row r="18" spans="1:3" x14ac:dyDescent="0.25">
      <c r="A18" t="s">
        <v>80</v>
      </c>
      <c r="B18" s="1" t="s">
        <v>81</v>
      </c>
      <c r="C18" t="s">
        <v>82</v>
      </c>
    </row>
    <row r="19" spans="1:3" x14ac:dyDescent="0.25">
      <c r="A19" t="s">
        <v>83</v>
      </c>
      <c r="B19" s="1" t="s">
        <v>84</v>
      </c>
      <c r="C19" t="s">
        <v>85</v>
      </c>
    </row>
    <row r="20" spans="1:3" x14ac:dyDescent="0.25">
      <c r="A20" t="s">
        <v>248</v>
      </c>
      <c r="B20" t="s">
        <v>249</v>
      </c>
      <c r="C20" t="s">
        <v>250</v>
      </c>
    </row>
    <row r="21" spans="1:3" x14ac:dyDescent="0.25">
      <c r="A21" t="s">
        <v>251</v>
      </c>
      <c r="B21" t="s">
        <v>252</v>
      </c>
      <c r="C21" t="s">
        <v>253</v>
      </c>
    </row>
    <row r="22" spans="1:3" x14ac:dyDescent="0.25">
      <c r="A22" t="s">
        <v>254</v>
      </c>
      <c r="B22" t="s">
        <v>255</v>
      </c>
      <c r="C22" t="s">
        <v>256</v>
      </c>
    </row>
    <row r="23" spans="1:3" x14ac:dyDescent="0.25">
      <c r="A23" t="s">
        <v>257</v>
      </c>
      <c r="B23" t="s">
        <v>249</v>
      </c>
      <c r="C23" t="s">
        <v>250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204-48D9-454C-9744-8C8F9C4F181A}">
  <dimension ref="A1:D81"/>
  <sheetViews>
    <sheetView workbookViewId="0">
      <selection activeCell="D2" sqref="D2:D81"/>
    </sheetView>
  </sheetViews>
  <sheetFormatPr defaultRowHeight="15" x14ac:dyDescent="0.25"/>
  <sheetData>
    <row r="1" spans="1:4" x14ac:dyDescent="0.25">
      <c r="A1" t="s">
        <v>98</v>
      </c>
      <c r="B1" t="s">
        <v>99</v>
      </c>
      <c r="C1" t="s">
        <v>192</v>
      </c>
      <c r="D1" t="s">
        <v>233</v>
      </c>
    </row>
    <row r="2" spans="1:4" x14ac:dyDescent="0.25">
      <c r="A2" t="s">
        <v>100</v>
      </c>
      <c r="B2" t="s">
        <v>101</v>
      </c>
      <c r="C2">
        <v>105.91254948744201</v>
      </c>
      <c r="D2">
        <v>242</v>
      </c>
    </row>
    <row r="3" spans="1:4" x14ac:dyDescent="0.25">
      <c r="A3" t="s">
        <v>100</v>
      </c>
      <c r="B3" t="s">
        <v>101</v>
      </c>
      <c r="C3">
        <v>103.459443897618</v>
      </c>
      <c r="D3">
        <v>246</v>
      </c>
    </row>
    <row r="4" spans="1:4" x14ac:dyDescent="0.25">
      <c r="A4" t="s">
        <v>100</v>
      </c>
      <c r="B4" t="s">
        <v>106</v>
      </c>
      <c r="C4">
        <v>100.374620448402</v>
      </c>
      <c r="D4">
        <v>245</v>
      </c>
    </row>
    <row r="5" spans="1:4" x14ac:dyDescent="0.25">
      <c r="A5" t="s">
        <v>100</v>
      </c>
      <c r="B5" t="s">
        <v>106</v>
      </c>
      <c r="C5">
        <v>103.765913942498</v>
      </c>
      <c r="D5">
        <v>246</v>
      </c>
    </row>
    <row r="6" spans="1:4" x14ac:dyDescent="0.25">
      <c r="A6" t="s">
        <v>102</v>
      </c>
      <c r="B6" t="s">
        <v>101</v>
      </c>
      <c r="C6">
        <v>101.52339031338801</v>
      </c>
      <c r="D6">
        <v>243</v>
      </c>
    </row>
    <row r="7" spans="1:4" x14ac:dyDescent="0.25">
      <c r="A7" t="s">
        <v>102</v>
      </c>
      <c r="B7" t="s">
        <v>101</v>
      </c>
      <c r="C7">
        <v>101.334799870363</v>
      </c>
      <c r="D7">
        <v>242</v>
      </c>
    </row>
    <row r="8" spans="1:4" x14ac:dyDescent="0.25">
      <c r="A8" t="s">
        <v>102</v>
      </c>
      <c r="B8" t="s">
        <v>106</v>
      </c>
      <c r="C8">
        <v>102.72422719070801</v>
      </c>
      <c r="D8">
        <v>238</v>
      </c>
    </row>
    <row r="9" spans="1:4" x14ac:dyDescent="0.25">
      <c r="A9" t="s">
        <v>102</v>
      </c>
      <c r="B9" t="s">
        <v>106</v>
      </c>
      <c r="C9">
        <v>99.324477084567704</v>
      </c>
      <c r="D9">
        <v>238</v>
      </c>
    </row>
    <row r="10" spans="1:4" x14ac:dyDescent="0.25">
      <c r="A10" t="s">
        <v>103</v>
      </c>
      <c r="B10" t="s">
        <v>101</v>
      </c>
      <c r="C10">
        <v>104.639388464438</v>
      </c>
      <c r="D10">
        <v>247</v>
      </c>
    </row>
    <row r="11" spans="1:4" x14ac:dyDescent="0.25">
      <c r="A11" t="s">
        <v>103</v>
      </c>
      <c r="B11" t="s">
        <v>101</v>
      </c>
      <c r="C11">
        <v>94.140946998019203</v>
      </c>
      <c r="D11">
        <v>239</v>
      </c>
    </row>
    <row r="12" spans="1:4" x14ac:dyDescent="0.25">
      <c r="A12" t="s">
        <v>103</v>
      </c>
      <c r="B12" t="s">
        <v>106</v>
      </c>
      <c r="C12">
        <v>95.331980483197896</v>
      </c>
      <c r="D12">
        <v>241</v>
      </c>
    </row>
    <row r="13" spans="1:4" x14ac:dyDescent="0.25">
      <c r="A13" t="s">
        <v>103</v>
      </c>
      <c r="B13" t="s">
        <v>106</v>
      </c>
      <c r="C13">
        <v>98.001881267459893</v>
      </c>
      <c r="D13">
        <v>240</v>
      </c>
    </row>
    <row r="14" spans="1:4" x14ac:dyDescent="0.25">
      <c r="A14" t="s">
        <v>104</v>
      </c>
      <c r="B14" t="s">
        <v>101</v>
      </c>
      <c r="C14">
        <v>104.594870621225</v>
      </c>
      <c r="D14">
        <v>249</v>
      </c>
    </row>
    <row r="15" spans="1:4" x14ac:dyDescent="0.25">
      <c r="A15" t="s">
        <v>104</v>
      </c>
      <c r="B15" t="s">
        <v>101</v>
      </c>
      <c r="C15">
        <v>98.530713798513403</v>
      </c>
      <c r="D15">
        <v>241</v>
      </c>
    </row>
    <row r="16" spans="1:4" x14ac:dyDescent="0.25">
      <c r="A16" t="s">
        <v>104</v>
      </c>
      <c r="B16" t="s">
        <v>106</v>
      </c>
      <c r="C16">
        <v>96.039491787101397</v>
      </c>
      <c r="D16">
        <v>250</v>
      </c>
    </row>
    <row r="17" spans="1:4" x14ac:dyDescent="0.25">
      <c r="A17" t="s">
        <v>104</v>
      </c>
      <c r="B17" t="s">
        <v>106</v>
      </c>
      <c r="C17">
        <v>93.734562913754502</v>
      </c>
      <c r="D17">
        <v>245</v>
      </c>
    </row>
    <row r="18" spans="1:4" x14ac:dyDescent="0.25">
      <c r="A18" t="s">
        <v>105</v>
      </c>
      <c r="B18" t="s">
        <v>101</v>
      </c>
      <c r="C18">
        <v>103.816993585125</v>
      </c>
      <c r="D18">
        <v>246</v>
      </c>
    </row>
    <row r="19" spans="1:4" x14ac:dyDescent="0.25">
      <c r="A19" t="s">
        <v>105</v>
      </c>
      <c r="B19" t="s">
        <v>101</v>
      </c>
      <c r="C19">
        <v>100.908936633932</v>
      </c>
      <c r="D19">
        <v>242</v>
      </c>
    </row>
    <row r="20" spans="1:4" x14ac:dyDescent="0.25">
      <c r="A20" t="s">
        <v>105</v>
      </c>
      <c r="B20" t="s">
        <v>106</v>
      </c>
      <c r="C20">
        <v>95.247126548386404</v>
      </c>
      <c r="D20">
        <v>243</v>
      </c>
    </row>
    <row r="21" spans="1:4" x14ac:dyDescent="0.25">
      <c r="A21" t="s">
        <v>105</v>
      </c>
      <c r="B21" t="s">
        <v>106</v>
      </c>
      <c r="C21">
        <v>103.27943303077799</v>
      </c>
      <c r="D21">
        <v>240</v>
      </c>
    </row>
    <row r="22" spans="1:4" x14ac:dyDescent="0.25">
      <c r="A22" t="s">
        <v>107</v>
      </c>
      <c r="B22" t="s">
        <v>101</v>
      </c>
      <c r="C22">
        <v>98.578804752151896</v>
      </c>
      <c r="D22">
        <v>244</v>
      </c>
    </row>
    <row r="23" spans="1:4" x14ac:dyDescent="0.25">
      <c r="A23" t="s">
        <v>107</v>
      </c>
      <c r="B23" t="s">
        <v>101</v>
      </c>
      <c r="C23">
        <v>100.657733243134</v>
      </c>
      <c r="D23">
        <v>245</v>
      </c>
    </row>
    <row r="24" spans="1:4" x14ac:dyDescent="0.25">
      <c r="A24" t="s">
        <v>107</v>
      </c>
      <c r="B24" t="s">
        <v>106</v>
      </c>
      <c r="C24">
        <v>104.575040466348</v>
      </c>
      <c r="D24">
        <v>251</v>
      </c>
    </row>
    <row r="25" spans="1:4" x14ac:dyDescent="0.25">
      <c r="A25" t="s">
        <v>107</v>
      </c>
      <c r="B25" t="s">
        <v>106</v>
      </c>
      <c r="C25">
        <v>102.107644530922</v>
      </c>
      <c r="D25">
        <v>247</v>
      </c>
    </row>
    <row r="26" spans="1:4" x14ac:dyDescent="0.25">
      <c r="A26" t="s">
        <v>108</v>
      </c>
      <c r="B26" t="s">
        <v>101</v>
      </c>
      <c r="C26">
        <v>98.114225588836803</v>
      </c>
      <c r="D26">
        <v>241</v>
      </c>
    </row>
    <row r="27" spans="1:4" x14ac:dyDescent="0.25">
      <c r="A27" t="s">
        <v>108</v>
      </c>
      <c r="B27" t="s">
        <v>101</v>
      </c>
      <c r="C27">
        <v>104.77635112279</v>
      </c>
      <c r="D27">
        <v>246</v>
      </c>
    </row>
    <row r="28" spans="1:4" x14ac:dyDescent="0.25">
      <c r="A28" t="s">
        <v>108</v>
      </c>
      <c r="B28" t="s">
        <v>106</v>
      </c>
      <c r="C28">
        <v>102.46555249469699</v>
      </c>
      <c r="D28">
        <v>245</v>
      </c>
    </row>
    <row r="29" spans="1:4" x14ac:dyDescent="0.25">
      <c r="A29" t="s">
        <v>108</v>
      </c>
      <c r="B29" t="s">
        <v>106</v>
      </c>
      <c r="C29">
        <v>99.938488746252204</v>
      </c>
      <c r="D29">
        <v>247</v>
      </c>
    </row>
    <row r="30" spans="1:4" x14ac:dyDescent="0.25">
      <c r="A30" t="s">
        <v>109</v>
      </c>
      <c r="B30" t="s">
        <v>101</v>
      </c>
      <c r="C30">
        <v>103.061864182264</v>
      </c>
      <c r="D30">
        <v>245</v>
      </c>
    </row>
    <row r="31" spans="1:4" x14ac:dyDescent="0.25">
      <c r="A31" t="s">
        <v>109</v>
      </c>
      <c r="B31" t="s">
        <v>101</v>
      </c>
      <c r="C31">
        <v>102.96684523714001</v>
      </c>
      <c r="D31">
        <v>245</v>
      </c>
    </row>
    <row r="32" spans="1:4" x14ac:dyDescent="0.25">
      <c r="A32" t="s">
        <v>109</v>
      </c>
      <c r="B32" t="s">
        <v>106</v>
      </c>
      <c r="C32">
        <v>90.750612406640599</v>
      </c>
      <c r="D32">
        <v>243</v>
      </c>
    </row>
    <row r="33" spans="1:4" x14ac:dyDescent="0.25">
      <c r="A33" t="s">
        <v>109</v>
      </c>
      <c r="B33" t="s">
        <v>106</v>
      </c>
      <c r="C33">
        <v>93.400877471520005</v>
      </c>
      <c r="D33">
        <v>245</v>
      </c>
    </row>
    <row r="34" spans="1:4" x14ac:dyDescent="0.25">
      <c r="A34" t="s">
        <v>110</v>
      </c>
      <c r="B34" t="s">
        <v>101</v>
      </c>
      <c r="C34">
        <v>100.50394565867001</v>
      </c>
      <c r="D34">
        <v>243</v>
      </c>
    </row>
    <row r="35" spans="1:4" x14ac:dyDescent="0.25">
      <c r="A35" t="s">
        <v>110</v>
      </c>
      <c r="B35" t="s">
        <v>101</v>
      </c>
      <c r="C35">
        <v>99.862939218668402</v>
      </c>
      <c r="D35">
        <v>239</v>
      </c>
    </row>
    <row r="36" spans="1:4" x14ac:dyDescent="0.25">
      <c r="A36" t="s">
        <v>110</v>
      </c>
      <c r="B36" t="s">
        <v>106</v>
      </c>
      <c r="C36">
        <v>98.9347816938037</v>
      </c>
      <c r="D36">
        <v>244</v>
      </c>
    </row>
    <row r="37" spans="1:4" x14ac:dyDescent="0.25">
      <c r="A37" t="s">
        <v>110</v>
      </c>
      <c r="B37" t="s">
        <v>106</v>
      </c>
      <c r="C37">
        <v>102.18390876234</v>
      </c>
      <c r="D37">
        <v>245</v>
      </c>
    </row>
    <row r="38" spans="1:4" x14ac:dyDescent="0.25">
      <c r="A38" t="s">
        <v>111</v>
      </c>
      <c r="B38" t="s">
        <v>101</v>
      </c>
      <c r="C38">
        <v>95.955394569818196</v>
      </c>
      <c r="D38">
        <v>244</v>
      </c>
    </row>
    <row r="39" spans="1:4" x14ac:dyDescent="0.25">
      <c r="A39" t="s">
        <v>111</v>
      </c>
      <c r="B39" t="s">
        <v>101</v>
      </c>
      <c r="C39">
        <v>108.471792595466</v>
      </c>
      <c r="D39">
        <v>246</v>
      </c>
    </row>
    <row r="40" spans="1:4" x14ac:dyDescent="0.25">
      <c r="A40" t="s">
        <v>111</v>
      </c>
      <c r="B40" t="s">
        <v>106</v>
      </c>
      <c r="C40">
        <v>99.493795247262895</v>
      </c>
      <c r="D40">
        <v>247</v>
      </c>
    </row>
    <row r="41" spans="1:4" x14ac:dyDescent="0.25">
      <c r="A41" t="s">
        <v>111</v>
      </c>
      <c r="B41" t="s">
        <v>106</v>
      </c>
      <c r="C41">
        <v>95.755952301741203</v>
      </c>
      <c r="D41">
        <v>239</v>
      </c>
    </row>
    <row r="42" spans="1:4" x14ac:dyDescent="0.25">
      <c r="A42" t="s">
        <v>112</v>
      </c>
      <c r="B42" t="s">
        <v>101</v>
      </c>
      <c r="C42">
        <v>106.64351196067599</v>
      </c>
      <c r="D42">
        <v>252</v>
      </c>
    </row>
    <row r="43" spans="1:4" x14ac:dyDescent="0.25">
      <c r="A43" t="s">
        <v>112</v>
      </c>
      <c r="B43" t="s">
        <v>101</v>
      </c>
      <c r="C43">
        <v>98.852209551491597</v>
      </c>
      <c r="D43">
        <v>251</v>
      </c>
    </row>
    <row r="44" spans="1:4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4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4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4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4" x14ac:dyDescent="0.25">
      <c r="A48" t="s">
        <v>113</v>
      </c>
      <c r="B48" t="s">
        <v>106</v>
      </c>
      <c r="C48">
        <v>106.095248879312</v>
      </c>
      <c r="D48">
        <v>251</v>
      </c>
    </row>
    <row r="49" spans="1:4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4" x14ac:dyDescent="0.25">
      <c r="A50" t="s">
        <v>114</v>
      </c>
      <c r="B50" t="s">
        <v>101</v>
      </c>
      <c r="C50">
        <v>100.65363630873</v>
      </c>
      <c r="D50">
        <v>242</v>
      </c>
    </row>
    <row r="51" spans="1:4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4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4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4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4" x14ac:dyDescent="0.25">
      <c r="A55" t="s">
        <v>115</v>
      </c>
      <c r="B55" t="s">
        <v>101</v>
      </c>
      <c r="C55">
        <v>103.745049689742</v>
      </c>
      <c r="D55">
        <v>249</v>
      </c>
    </row>
    <row r="56" spans="1:4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4" x14ac:dyDescent="0.25">
      <c r="A57" t="s">
        <v>115</v>
      </c>
      <c r="B57" t="s">
        <v>106</v>
      </c>
      <c r="C57">
        <v>104.182440367005</v>
      </c>
      <c r="D57">
        <v>240</v>
      </c>
    </row>
    <row r="58" spans="1:4" x14ac:dyDescent="0.25">
      <c r="A58" t="s">
        <v>116</v>
      </c>
      <c r="B58" t="s">
        <v>101</v>
      </c>
      <c r="C58">
        <v>100.320280613403</v>
      </c>
      <c r="D58">
        <v>247</v>
      </c>
    </row>
    <row r="59" spans="1:4" x14ac:dyDescent="0.25">
      <c r="A59" t="s">
        <v>116</v>
      </c>
      <c r="B59" t="s">
        <v>101</v>
      </c>
      <c r="C59">
        <v>100.64591214593</v>
      </c>
      <c r="D59">
        <v>248</v>
      </c>
    </row>
    <row r="60" spans="1:4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4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4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4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4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81BF-6701-4925-B6EF-E2A7A0CD8970}">
  <dimension ref="A1:C6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235</v>
      </c>
      <c r="B1" t="s">
        <v>236</v>
      </c>
      <c r="C1" t="s">
        <v>192</v>
      </c>
    </row>
    <row r="2" spans="1:3" x14ac:dyDescent="0.25">
      <c r="A2" t="s">
        <v>100</v>
      </c>
      <c r="B2" t="s">
        <v>101</v>
      </c>
      <c r="C2">
        <v>242</v>
      </c>
    </row>
    <row r="3" spans="1:3" x14ac:dyDescent="0.25">
      <c r="A3" t="s">
        <v>100</v>
      </c>
      <c r="B3" t="s">
        <v>101</v>
      </c>
      <c r="C3">
        <v>246</v>
      </c>
    </row>
    <row r="4" spans="1:3" x14ac:dyDescent="0.25">
      <c r="A4" t="s">
        <v>100</v>
      </c>
      <c r="B4" t="s">
        <v>101</v>
      </c>
      <c r="C4">
        <v>245</v>
      </c>
    </row>
    <row r="5" spans="1:3" x14ac:dyDescent="0.25">
      <c r="A5" t="s">
        <v>100</v>
      </c>
      <c r="B5" t="s">
        <v>101</v>
      </c>
      <c r="C5">
        <v>246</v>
      </c>
    </row>
    <row r="6" spans="1:3" x14ac:dyDescent="0.25">
      <c r="A6" t="s">
        <v>100</v>
      </c>
      <c r="B6" t="s">
        <v>106</v>
      </c>
      <c r="C6">
        <v>243</v>
      </c>
    </row>
    <row r="7" spans="1:3" x14ac:dyDescent="0.25">
      <c r="A7" t="s">
        <v>100</v>
      </c>
      <c r="B7" t="s">
        <v>106</v>
      </c>
      <c r="C7">
        <v>242</v>
      </c>
    </row>
    <row r="8" spans="1:3" x14ac:dyDescent="0.25">
      <c r="A8" t="s">
        <v>100</v>
      </c>
      <c r="B8" t="s">
        <v>106</v>
      </c>
      <c r="C8">
        <v>238</v>
      </c>
    </row>
    <row r="9" spans="1:3" x14ac:dyDescent="0.25">
      <c r="A9" t="s">
        <v>100</v>
      </c>
      <c r="B9" t="s">
        <v>106</v>
      </c>
      <c r="C9">
        <v>238</v>
      </c>
    </row>
    <row r="10" spans="1:3" x14ac:dyDescent="0.25">
      <c r="A10" t="s">
        <v>100</v>
      </c>
      <c r="B10" t="s">
        <v>237</v>
      </c>
      <c r="C10">
        <v>247</v>
      </c>
    </row>
    <row r="11" spans="1:3" x14ac:dyDescent="0.25">
      <c r="A11" t="s">
        <v>100</v>
      </c>
      <c r="B11" t="s">
        <v>237</v>
      </c>
      <c r="C11">
        <v>239</v>
      </c>
    </row>
    <row r="12" spans="1:3" x14ac:dyDescent="0.25">
      <c r="A12" t="s">
        <v>100</v>
      </c>
      <c r="B12" t="s">
        <v>237</v>
      </c>
      <c r="C12">
        <v>241</v>
      </c>
    </row>
    <row r="13" spans="1:3" x14ac:dyDescent="0.25">
      <c r="A13" t="s">
        <v>100</v>
      </c>
      <c r="B13" t="s">
        <v>237</v>
      </c>
      <c r="C13">
        <v>240</v>
      </c>
    </row>
    <row r="14" spans="1:3" x14ac:dyDescent="0.25">
      <c r="A14" t="s">
        <v>102</v>
      </c>
      <c r="B14" t="s">
        <v>101</v>
      </c>
      <c r="C14">
        <v>249</v>
      </c>
    </row>
    <row r="15" spans="1:3" x14ac:dyDescent="0.25">
      <c r="A15" t="s">
        <v>102</v>
      </c>
      <c r="B15" t="s">
        <v>101</v>
      </c>
      <c r="C15">
        <v>241</v>
      </c>
    </row>
    <row r="16" spans="1:3" x14ac:dyDescent="0.25">
      <c r="A16" t="s">
        <v>102</v>
      </c>
      <c r="B16" t="s">
        <v>101</v>
      </c>
      <c r="C16">
        <v>250</v>
      </c>
    </row>
    <row r="17" spans="1:3" x14ac:dyDescent="0.25">
      <c r="A17" t="s">
        <v>102</v>
      </c>
      <c r="B17" t="s">
        <v>101</v>
      </c>
      <c r="C17">
        <v>245</v>
      </c>
    </row>
    <row r="18" spans="1:3" x14ac:dyDescent="0.25">
      <c r="A18" t="s">
        <v>102</v>
      </c>
      <c r="B18" t="s">
        <v>106</v>
      </c>
      <c r="C18">
        <v>246</v>
      </c>
    </row>
    <row r="19" spans="1:3" x14ac:dyDescent="0.25">
      <c r="A19" t="s">
        <v>102</v>
      </c>
      <c r="B19" t="s">
        <v>106</v>
      </c>
      <c r="C19">
        <v>242</v>
      </c>
    </row>
    <row r="20" spans="1:3" x14ac:dyDescent="0.25">
      <c r="A20" t="s">
        <v>102</v>
      </c>
      <c r="B20" t="s">
        <v>106</v>
      </c>
      <c r="C20">
        <v>243</v>
      </c>
    </row>
    <row r="21" spans="1:3" x14ac:dyDescent="0.25">
      <c r="A21" t="s">
        <v>102</v>
      </c>
      <c r="B21" t="s">
        <v>106</v>
      </c>
      <c r="C21">
        <v>240</v>
      </c>
    </row>
    <row r="22" spans="1:3" x14ac:dyDescent="0.25">
      <c r="A22" t="s">
        <v>102</v>
      </c>
      <c r="B22" t="s">
        <v>237</v>
      </c>
      <c r="C22">
        <v>244</v>
      </c>
    </row>
    <row r="23" spans="1:3" x14ac:dyDescent="0.25">
      <c r="A23" t="s">
        <v>102</v>
      </c>
      <c r="B23" t="s">
        <v>237</v>
      </c>
      <c r="C23">
        <v>245</v>
      </c>
    </row>
    <row r="24" spans="1:3" x14ac:dyDescent="0.25">
      <c r="A24" t="s">
        <v>102</v>
      </c>
      <c r="B24" t="s">
        <v>237</v>
      </c>
      <c r="C24">
        <v>251</v>
      </c>
    </row>
    <row r="25" spans="1:3" x14ac:dyDescent="0.25">
      <c r="A25" t="s">
        <v>102</v>
      </c>
      <c r="B25" t="s">
        <v>237</v>
      </c>
      <c r="C25">
        <v>247</v>
      </c>
    </row>
    <row r="26" spans="1:3" x14ac:dyDescent="0.25">
      <c r="A26" t="s">
        <v>103</v>
      </c>
      <c r="B26" t="s">
        <v>101</v>
      </c>
      <c r="C26">
        <v>241</v>
      </c>
    </row>
    <row r="27" spans="1:3" x14ac:dyDescent="0.25">
      <c r="A27" t="s">
        <v>103</v>
      </c>
      <c r="B27" t="s">
        <v>101</v>
      </c>
      <c r="C27">
        <v>246</v>
      </c>
    </row>
    <row r="28" spans="1:3" x14ac:dyDescent="0.25">
      <c r="A28" t="s">
        <v>103</v>
      </c>
      <c r="B28" t="s">
        <v>101</v>
      </c>
      <c r="C28">
        <v>245</v>
      </c>
    </row>
    <row r="29" spans="1:3" x14ac:dyDescent="0.25">
      <c r="A29" t="s">
        <v>103</v>
      </c>
      <c r="B29" t="s">
        <v>101</v>
      </c>
      <c r="C29">
        <v>247</v>
      </c>
    </row>
    <row r="30" spans="1:3" x14ac:dyDescent="0.25">
      <c r="A30" t="s">
        <v>103</v>
      </c>
      <c r="B30" t="s">
        <v>106</v>
      </c>
      <c r="C30">
        <v>245</v>
      </c>
    </row>
    <row r="31" spans="1:3" x14ac:dyDescent="0.25">
      <c r="A31" t="s">
        <v>103</v>
      </c>
      <c r="B31" t="s">
        <v>106</v>
      </c>
      <c r="C31">
        <v>245</v>
      </c>
    </row>
    <row r="32" spans="1:3" x14ac:dyDescent="0.25">
      <c r="A32" t="s">
        <v>103</v>
      </c>
      <c r="B32" t="s">
        <v>106</v>
      </c>
      <c r="C32">
        <v>243</v>
      </c>
    </row>
    <row r="33" spans="1:3" x14ac:dyDescent="0.25">
      <c r="A33" t="s">
        <v>103</v>
      </c>
      <c r="B33" t="s">
        <v>106</v>
      </c>
      <c r="C33">
        <v>245</v>
      </c>
    </row>
    <row r="34" spans="1:3" x14ac:dyDescent="0.25">
      <c r="A34" t="s">
        <v>103</v>
      </c>
      <c r="B34" t="s">
        <v>237</v>
      </c>
      <c r="C34">
        <v>243</v>
      </c>
    </row>
    <row r="35" spans="1:3" x14ac:dyDescent="0.25">
      <c r="A35" t="s">
        <v>103</v>
      </c>
      <c r="B35" t="s">
        <v>237</v>
      </c>
      <c r="C35">
        <v>239</v>
      </c>
    </row>
    <row r="36" spans="1:3" x14ac:dyDescent="0.25">
      <c r="A36" t="s">
        <v>103</v>
      </c>
      <c r="B36" t="s">
        <v>237</v>
      </c>
      <c r="C36">
        <v>244</v>
      </c>
    </row>
    <row r="37" spans="1:3" x14ac:dyDescent="0.25">
      <c r="A37" t="s">
        <v>103</v>
      </c>
      <c r="B37" t="s">
        <v>237</v>
      </c>
      <c r="C37">
        <v>245</v>
      </c>
    </row>
    <row r="38" spans="1:3" x14ac:dyDescent="0.25">
      <c r="A38" t="s">
        <v>104</v>
      </c>
      <c r="B38" t="s">
        <v>101</v>
      </c>
      <c r="C38">
        <v>244</v>
      </c>
    </row>
    <row r="39" spans="1:3" x14ac:dyDescent="0.25">
      <c r="A39" t="s">
        <v>104</v>
      </c>
      <c r="B39" t="s">
        <v>101</v>
      </c>
      <c r="C39">
        <v>246</v>
      </c>
    </row>
    <row r="40" spans="1:3" x14ac:dyDescent="0.25">
      <c r="A40" t="s">
        <v>104</v>
      </c>
      <c r="B40" t="s">
        <v>101</v>
      </c>
      <c r="C40">
        <v>247</v>
      </c>
    </row>
    <row r="41" spans="1:3" x14ac:dyDescent="0.25">
      <c r="A41" t="s">
        <v>104</v>
      </c>
      <c r="B41" t="s">
        <v>101</v>
      </c>
      <c r="C41">
        <v>239</v>
      </c>
    </row>
    <row r="42" spans="1:3" x14ac:dyDescent="0.25">
      <c r="A42" t="s">
        <v>104</v>
      </c>
      <c r="B42" t="s">
        <v>106</v>
      </c>
      <c r="C42">
        <v>252</v>
      </c>
    </row>
    <row r="43" spans="1:3" x14ac:dyDescent="0.25">
      <c r="A43" t="s">
        <v>104</v>
      </c>
      <c r="B43" t="s">
        <v>106</v>
      </c>
      <c r="C43">
        <v>251</v>
      </c>
    </row>
    <row r="44" spans="1:3" x14ac:dyDescent="0.25">
      <c r="A44" t="s">
        <v>104</v>
      </c>
      <c r="B44" t="s">
        <v>106</v>
      </c>
      <c r="C44">
        <v>247</v>
      </c>
    </row>
    <row r="45" spans="1:3" x14ac:dyDescent="0.25">
      <c r="A45" t="s">
        <v>104</v>
      </c>
      <c r="B45" t="s">
        <v>106</v>
      </c>
      <c r="C45">
        <v>241</v>
      </c>
    </row>
    <row r="46" spans="1:3" x14ac:dyDescent="0.25">
      <c r="A46" t="s">
        <v>104</v>
      </c>
      <c r="B46" t="s">
        <v>237</v>
      </c>
      <c r="C46">
        <v>249</v>
      </c>
    </row>
    <row r="47" spans="1:3" x14ac:dyDescent="0.25">
      <c r="A47" t="s">
        <v>104</v>
      </c>
      <c r="B47" t="s">
        <v>237</v>
      </c>
      <c r="C47">
        <v>248</v>
      </c>
    </row>
    <row r="48" spans="1:3" x14ac:dyDescent="0.25">
      <c r="A48" t="s">
        <v>104</v>
      </c>
      <c r="B48" t="s">
        <v>237</v>
      </c>
      <c r="C48">
        <v>251</v>
      </c>
    </row>
    <row r="49" spans="1:3" x14ac:dyDescent="0.25">
      <c r="A49" t="s">
        <v>104</v>
      </c>
      <c r="B49" t="s">
        <v>237</v>
      </c>
      <c r="C49">
        <v>246</v>
      </c>
    </row>
    <row r="50" spans="1:3" x14ac:dyDescent="0.25">
      <c r="A50" t="s">
        <v>105</v>
      </c>
      <c r="B50" t="s">
        <v>101</v>
      </c>
      <c r="C50">
        <v>242</v>
      </c>
    </row>
    <row r="51" spans="1:3" x14ac:dyDescent="0.25">
      <c r="A51" t="s">
        <v>105</v>
      </c>
      <c r="B51" t="s">
        <v>101</v>
      </c>
      <c r="C51">
        <v>240</v>
      </c>
    </row>
    <row r="52" spans="1:3" x14ac:dyDescent="0.25">
      <c r="A52" t="s">
        <v>105</v>
      </c>
      <c r="B52" t="s">
        <v>101</v>
      </c>
      <c r="C52">
        <v>251</v>
      </c>
    </row>
    <row r="53" spans="1:3" x14ac:dyDescent="0.25">
      <c r="A53" t="s">
        <v>105</v>
      </c>
      <c r="B53" t="s">
        <v>101</v>
      </c>
      <c r="C53">
        <v>245</v>
      </c>
    </row>
    <row r="54" spans="1:3" x14ac:dyDescent="0.25">
      <c r="A54" t="s">
        <v>105</v>
      </c>
      <c r="B54" t="s">
        <v>106</v>
      </c>
      <c r="C54">
        <v>246</v>
      </c>
    </row>
    <row r="55" spans="1:3" x14ac:dyDescent="0.25">
      <c r="A55" t="s">
        <v>105</v>
      </c>
      <c r="B55" t="s">
        <v>106</v>
      </c>
      <c r="C55">
        <v>249</v>
      </c>
    </row>
    <row r="56" spans="1:3" x14ac:dyDescent="0.25">
      <c r="A56" t="s">
        <v>105</v>
      </c>
      <c r="B56" t="s">
        <v>106</v>
      </c>
      <c r="C56">
        <v>248</v>
      </c>
    </row>
    <row r="57" spans="1:3" x14ac:dyDescent="0.25">
      <c r="A57" t="s">
        <v>105</v>
      </c>
      <c r="B57" t="s">
        <v>106</v>
      </c>
      <c r="C57">
        <v>240</v>
      </c>
    </row>
    <row r="58" spans="1:3" x14ac:dyDescent="0.25">
      <c r="A58" t="s">
        <v>105</v>
      </c>
      <c r="B58" t="s">
        <v>237</v>
      </c>
      <c r="C58">
        <v>247</v>
      </c>
    </row>
    <row r="59" spans="1:3" x14ac:dyDescent="0.25">
      <c r="A59" t="s">
        <v>105</v>
      </c>
      <c r="B59" t="s">
        <v>237</v>
      </c>
      <c r="C59">
        <v>248</v>
      </c>
    </row>
    <row r="60" spans="1:3" x14ac:dyDescent="0.25">
      <c r="A60" t="s">
        <v>105</v>
      </c>
      <c r="B60" t="s">
        <v>237</v>
      </c>
      <c r="C60">
        <v>245</v>
      </c>
    </row>
    <row r="61" spans="1:3" x14ac:dyDescent="0.25">
      <c r="A61" t="s">
        <v>105</v>
      </c>
      <c r="B61" t="s">
        <v>237</v>
      </c>
      <c r="C61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Comp 1</vt:lpstr>
      <vt:lpstr>Comp 2</vt:lpstr>
      <vt:lpstr>5x5</vt:lpstr>
      <vt:lpstr>20x2x2</vt:lpstr>
      <vt:lpstr>anova</vt:lpstr>
      <vt:lpstr>Level1</vt:lpstr>
      <vt:lpstr>Layout</vt:lpstr>
      <vt:lpstr>Raw</vt:lpstr>
      <vt:lpstr>10x3x2</vt:lpstr>
      <vt:lpstr>Quant</vt:lpstr>
      <vt:lpstr>Qual</vt:lpstr>
      <vt:lpstr>Level1!Print_Area</vt:lpstr>
      <vt:lpstr>Level1!Print_Titles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Chesher</dc:creator>
  <cp:lastModifiedBy>Doug Chesher</cp:lastModifiedBy>
  <dcterms:created xsi:type="dcterms:W3CDTF">2015-06-05T18:17:20Z</dcterms:created>
  <dcterms:modified xsi:type="dcterms:W3CDTF">2025-10-14T01:57:03Z</dcterms:modified>
</cp:coreProperties>
</file>