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chowd\Desktop\FA Project\"/>
    </mc:Choice>
  </mc:AlternateContent>
  <xr:revisionPtr revIDLastSave="0" documentId="13_ncr:1_{AC8323F3-3E71-4CDA-A32B-CCB600D7CF3D}" xr6:coauthVersionLast="47" xr6:coauthVersionMax="47" xr10:uidLastSave="{00000000-0000-0000-0000-000000000000}"/>
  <bookViews>
    <workbookView xWindow="-108" yWindow="-108" windowWidth="23256" windowHeight="12456" activeTab="3" xr2:uid="{962A5145-2923-47D5-A8BF-64F692555584}"/>
  </bookViews>
  <sheets>
    <sheet name="BEL Financial Model" sheetId="6" r:id="rId1"/>
    <sheet name="BEL Analysis" sheetId="8" r:id="rId2"/>
    <sheet name="Industry Fundamental Analysis" sheetId="7" r:id="rId3"/>
    <sheet name="Cashflow Interpretation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4" i="7" l="1"/>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3"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3" i="7"/>
  <c r="I4" i="7" l="1"/>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3" i="7"/>
  <c r="N60" i="6"/>
  <c r="E60" i="8" s="1"/>
  <c r="H69" i="8"/>
  <c r="R90" i="6"/>
  <c r="O89" i="6"/>
  <c r="P88" i="6"/>
  <c r="Q88" i="6"/>
  <c r="H88" i="8" s="1"/>
  <c r="R88" i="6"/>
  <c r="O88" i="6"/>
  <c r="F88" i="8"/>
  <c r="I29" i="8"/>
  <c r="I96" i="8"/>
  <c r="H96" i="8"/>
  <c r="G96" i="8"/>
  <c r="F96" i="8"/>
  <c r="E96" i="8"/>
  <c r="I95" i="8"/>
  <c r="H95" i="8"/>
  <c r="G95" i="8"/>
  <c r="F95" i="8"/>
  <c r="E95" i="8"/>
  <c r="I94" i="8"/>
  <c r="H94" i="8"/>
  <c r="G94" i="8"/>
  <c r="F94" i="8"/>
  <c r="E94" i="8"/>
  <c r="I93" i="8"/>
  <c r="H93" i="8"/>
  <c r="G93" i="8"/>
  <c r="F93" i="8"/>
  <c r="E93" i="8"/>
  <c r="I92" i="8"/>
  <c r="H92" i="8"/>
  <c r="G92" i="8"/>
  <c r="F92" i="8"/>
  <c r="E92" i="8"/>
  <c r="I90" i="8"/>
  <c r="I89" i="8"/>
  <c r="H89" i="8"/>
  <c r="G89" i="8"/>
  <c r="F89" i="8"/>
  <c r="I88" i="8"/>
  <c r="G88" i="8"/>
  <c r="I87" i="8"/>
  <c r="I86" i="8"/>
  <c r="H86" i="8"/>
  <c r="G86" i="8"/>
  <c r="F86" i="8"/>
  <c r="E86" i="8"/>
  <c r="I85" i="8"/>
  <c r="I84" i="8"/>
  <c r="I83" i="8"/>
  <c r="I82" i="8"/>
  <c r="I81" i="8"/>
  <c r="H81" i="8"/>
  <c r="G81" i="8"/>
  <c r="F81" i="8"/>
  <c r="E81" i="8"/>
  <c r="I79" i="8"/>
  <c r="H79" i="8"/>
  <c r="G79" i="8"/>
  <c r="F79" i="8"/>
  <c r="E79" i="8"/>
  <c r="I78" i="8"/>
  <c r="H78" i="8"/>
  <c r="G78" i="8"/>
  <c r="F78" i="8"/>
  <c r="E78" i="8"/>
  <c r="I76" i="8"/>
  <c r="I75" i="8"/>
  <c r="I74" i="8"/>
  <c r="I73" i="8"/>
  <c r="I72" i="8"/>
  <c r="I71" i="8"/>
  <c r="I69" i="8"/>
  <c r="G69" i="8"/>
  <c r="F69" i="8"/>
  <c r="E69" i="8"/>
  <c r="I68" i="8"/>
  <c r="H68" i="8"/>
  <c r="G68" i="8"/>
  <c r="F68" i="8"/>
  <c r="E68" i="8"/>
  <c r="I67" i="8"/>
  <c r="H67" i="8"/>
  <c r="G67" i="8"/>
  <c r="F67" i="8"/>
  <c r="E67" i="8"/>
  <c r="I66" i="8"/>
  <c r="H66" i="8"/>
  <c r="G66" i="8"/>
  <c r="F66" i="8"/>
  <c r="E66" i="8"/>
  <c r="I65" i="8"/>
  <c r="H65" i="8"/>
  <c r="G65" i="8"/>
  <c r="F65" i="8"/>
  <c r="E65" i="8"/>
  <c r="I64" i="8"/>
  <c r="H64" i="8"/>
  <c r="G64" i="8"/>
  <c r="F64" i="8"/>
  <c r="E64" i="8"/>
  <c r="I62" i="8"/>
  <c r="H62" i="8"/>
  <c r="G62" i="8"/>
  <c r="F62" i="8"/>
  <c r="I61" i="8"/>
  <c r="H61" i="8"/>
  <c r="G61" i="8"/>
  <c r="F61" i="8"/>
  <c r="I60" i="8"/>
  <c r="H60" i="8"/>
  <c r="G60" i="8"/>
  <c r="F60" i="8"/>
  <c r="I59" i="8"/>
  <c r="H59" i="8"/>
  <c r="G59" i="8"/>
  <c r="F59" i="8"/>
  <c r="E59" i="8"/>
  <c r="I58" i="8"/>
  <c r="H58" i="8"/>
  <c r="G58" i="8"/>
  <c r="F58" i="8"/>
  <c r="E58" i="8"/>
  <c r="I57" i="8"/>
  <c r="H57" i="8"/>
  <c r="G57" i="8"/>
  <c r="F57" i="8"/>
  <c r="E57" i="8"/>
  <c r="I56" i="8"/>
  <c r="H56" i="8"/>
  <c r="G56" i="8"/>
  <c r="F56" i="8"/>
  <c r="E56" i="8"/>
  <c r="I55" i="8"/>
  <c r="H55" i="8"/>
  <c r="G55" i="8"/>
  <c r="F55" i="8"/>
  <c r="E55" i="8"/>
  <c r="I53" i="8"/>
  <c r="H53" i="8"/>
  <c r="G53" i="8"/>
  <c r="F53" i="8"/>
  <c r="E53" i="8"/>
  <c r="I52" i="8"/>
  <c r="H52" i="8"/>
  <c r="G52" i="8"/>
  <c r="F52" i="8"/>
  <c r="E52" i="8"/>
  <c r="I51" i="8"/>
  <c r="H51" i="8"/>
  <c r="G51" i="8"/>
  <c r="F51" i="8"/>
  <c r="E51" i="8"/>
  <c r="I50" i="8"/>
  <c r="H50" i="8"/>
  <c r="G50" i="8"/>
  <c r="F50" i="8"/>
  <c r="E50" i="8"/>
  <c r="I48" i="8"/>
  <c r="H48" i="8"/>
  <c r="G48" i="8"/>
  <c r="F48" i="8"/>
  <c r="E48" i="8"/>
  <c r="I47" i="8"/>
  <c r="H47" i="8"/>
  <c r="G47" i="8"/>
  <c r="F47" i="8"/>
  <c r="E47" i="8"/>
  <c r="I46" i="8"/>
  <c r="H46" i="8"/>
  <c r="G46" i="8"/>
  <c r="F46" i="8"/>
  <c r="E46" i="8"/>
  <c r="I45" i="8"/>
  <c r="H45" i="8"/>
  <c r="G45" i="8"/>
  <c r="F45" i="8"/>
  <c r="E45" i="8"/>
  <c r="I44" i="8"/>
  <c r="H44" i="8"/>
  <c r="G44" i="8"/>
  <c r="F44" i="8"/>
  <c r="E44" i="8"/>
  <c r="I43" i="8"/>
  <c r="H43" i="8"/>
  <c r="G43" i="8"/>
  <c r="F43" i="8"/>
  <c r="E43" i="8"/>
  <c r="I41" i="8"/>
  <c r="H41" i="8"/>
  <c r="G41" i="8"/>
  <c r="F41" i="8"/>
  <c r="E41" i="8"/>
  <c r="I40" i="8"/>
  <c r="H40" i="8"/>
  <c r="G40" i="8"/>
  <c r="F40" i="8"/>
  <c r="E40" i="8"/>
  <c r="I39" i="8"/>
  <c r="H39" i="8"/>
  <c r="G39" i="8"/>
  <c r="F39" i="8"/>
  <c r="E39" i="8"/>
  <c r="I38" i="8"/>
  <c r="H38" i="8"/>
  <c r="G38" i="8"/>
  <c r="F38" i="8"/>
  <c r="E38" i="8"/>
  <c r="I36" i="8"/>
  <c r="H36" i="8"/>
  <c r="G36" i="8"/>
  <c r="F36" i="8"/>
  <c r="E36" i="8"/>
  <c r="I33" i="8"/>
  <c r="H33" i="8"/>
  <c r="G33" i="8"/>
  <c r="F33" i="8"/>
  <c r="E33" i="8"/>
  <c r="I32" i="8"/>
  <c r="H32" i="8"/>
  <c r="G32" i="8"/>
  <c r="F32" i="8"/>
  <c r="E32" i="8"/>
  <c r="I31" i="8"/>
  <c r="H31" i="8"/>
  <c r="G31" i="8"/>
  <c r="F31" i="8"/>
  <c r="E31" i="8"/>
  <c r="I30" i="8"/>
  <c r="H30" i="8"/>
  <c r="G30" i="8"/>
  <c r="F30" i="8"/>
  <c r="E30" i="8"/>
  <c r="H29" i="8"/>
  <c r="G29" i="8"/>
  <c r="F29" i="8"/>
  <c r="E29" i="8"/>
  <c r="I27" i="8"/>
  <c r="H27" i="8"/>
  <c r="G27" i="8"/>
  <c r="F27" i="8"/>
  <c r="E27" i="8"/>
  <c r="I26" i="8"/>
  <c r="H26" i="8"/>
  <c r="G26" i="8"/>
  <c r="F26" i="8"/>
  <c r="E26" i="8"/>
  <c r="I25" i="8"/>
  <c r="H25" i="8"/>
  <c r="G25" i="8"/>
  <c r="F25" i="8"/>
  <c r="E25" i="8"/>
  <c r="I24" i="8"/>
  <c r="H24" i="8"/>
  <c r="G24" i="8"/>
  <c r="F24" i="8"/>
  <c r="E24" i="8"/>
  <c r="I23" i="8"/>
  <c r="H23" i="8"/>
  <c r="G23" i="8"/>
  <c r="F23" i="8"/>
  <c r="E23" i="8"/>
  <c r="I21" i="8"/>
  <c r="H21" i="8"/>
  <c r="G21" i="8"/>
  <c r="F21" i="8"/>
  <c r="E21" i="8"/>
  <c r="I20" i="8"/>
  <c r="H20" i="8"/>
  <c r="G20" i="8"/>
  <c r="F20" i="8"/>
  <c r="E20" i="8"/>
  <c r="I18" i="8"/>
  <c r="H18" i="8"/>
  <c r="G18" i="8"/>
  <c r="F18" i="8"/>
  <c r="E18" i="8"/>
  <c r="I17" i="8"/>
  <c r="H17" i="8"/>
  <c r="G17" i="8"/>
  <c r="F17" i="8"/>
  <c r="E17" i="8"/>
  <c r="I16" i="8"/>
  <c r="H16" i="8"/>
  <c r="G16" i="8"/>
  <c r="F16" i="8"/>
  <c r="E16" i="8"/>
  <c r="I15" i="8"/>
  <c r="H15" i="8"/>
  <c r="G15" i="8"/>
  <c r="F15" i="8"/>
  <c r="E15" i="8"/>
  <c r="I14" i="8"/>
  <c r="H14" i="8"/>
  <c r="G14" i="8"/>
  <c r="F14" i="8"/>
  <c r="E14" i="8"/>
  <c r="I13" i="8"/>
  <c r="H13" i="8"/>
  <c r="G13" i="8"/>
  <c r="F13" i="8"/>
  <c r="E13" i="8"/>
  <c r="I12" i="8"/>
  <c r="H12" i="8"/>
  <c r="G12" i="8"/>
  <c r="F12" i="8"/>
  <c r="E12" i="8"/>
  <c r="I11" i="8"/>
  <c r="H11" i="8"/>
  <c r="G11" i="8"/>
  <c r="F11" i="8"/>
  <c r="E11" i="8"/>
  <c r="I10" i="8"/>
  <c r="H10" i="8"/>
  <c r="G10" i="8"/>
  <c r="F10" i="8"/>
  <c r="E10" i="8"/>
  <c r="I9" i="8"/>
  <c r="H9" i="8"/>
  <c r="G9" i="8"/>
  <c r="F9" i="8"/>
  <c r="E9" i="8"/>
  <c r="I8" i="8"/>
  <c r="H8" i="8"/>
  <c r="G8" i="8"/>
  <c r="F8" i="8"/>
  <c r="E8" i="8"/>
  <c r="I6" i="8"/>
  <c r="H6" i="8"/>
  <c r="G6" i="8"/>
  <c r="F6" i="8"/>
  <c r="E6" i="8"/>
  <c r="I5" i="8"/>
  <c r="H5" i="8"/>
  <c r="G5" i="8"/>
  <c r="F5" i="8"/>
  <c r="E5" i="8"/>
  <c r="F4" i="8"/>
  <c r="G4" i="8"/>
  <c r="H4" i="8"/>
  <c r="I4" i="8"/>
  <c r="E4" i="8"/>
  <c r="O95" i="6"/>
  <c r="P95" i="6"/>
  <c r="Q95" i="6"/>
  <c r="R95" i="6"/>
  <c r="O96" i="6"/>
  <c r="P96" i="6"/>
  <c r="Q96" i="6"/>
  <c r="R96" i="6"/>
  <c r="N96" i="6"/>
  <c r="N95" i="6"/>
  <c r="O92" i="6"/>
  <c r="P92" i="6"/>
  <c r="Q92" i="6"/>
  <c r="R92" i="6"/>
  <c r="O93" i="6"/>
  <c r="P93" i="6"/>
  <c r="Q93" i="6"/>
  <c r="R93" i="6"/>
  <c r="O94" i="6"/>
  <c r="P94" i="6"/>
  <c r="Q94" i="6"/>
  <c r="R94" i="6"/>
  <c r="N94" i="6"/>
  <c r="N93" i="6"/>
  <c r="N92" i="6"/>
  <c r="N86" i="6" l="1"/>
  <c r="O86" i="6"/>
  <c r="P86" i="6"/>
  <c r="P81" i="6" s="1"/>
  <c r="Q86" i="6"/>
  <c r="R86" i="6"/>
  <c r="R81" i="6" s="1"/>
  <c r="R85" i="6" s="1"/>
  <c r="R82" i="6"/>
  <c r="X25" i="6"/>
  <c r="Y25" i="6"/>
  <c r="Z25" i="6"/>
  <c r="AA25" i="6"/>
  <c r="X26" i="6"/>
  <c r="Y26" i="6"/>
  <c r="Z26" i="6"/>
  <c r="AA26" i="6"/>
  <c r="X27" i="6"/>
  <c r="Y27" i="6"/>
  <c r="Z27" i="6"/>
  <c r="AA27" i="6"/>
  <c r="X28" i="6"/>
  <c r="Y28" i="6"/>
  <c r="Z28" i="6"/>
  <c r="AA28" i="6"/>
  <c r="X29" i="6"/>
  <c r="Y29" i="6"/>
  <c r="Z29" i="6"/>
  <c r="AA29" i="6"/>
  <c r="X30" i="6"/>
  <c r="Y30" i="6"/>
  <c r="Z30" i="6"/>
  <c r="AA30" i="6"/>
  <c r="X31" i="6"/>
  <c r="Y31" i="6"/>
  <c r="Z31" i="6"/>
  <c r="AA31" i="6"/>
  <c r="X32" i="6"/>
  <c r="Y32" i="6"/>
  <c r="Z32" i="6"/>
  <c r="AA32" i="6"/>
  <c r="X33" i="6"/>
  <c r="Y33" i="6"/>
  <c r="Z33" i="6"/>
  <c r="AA33" i="6"/>
  <c r="X34" i="6"/>
  <c r="Y34" i="6"/>
  <c r="Z34" i="6"/>
  <c r="AA34" i="6"/>
  <c r="X35" i="6"/>
  <c r="Y35" i="6"/>
  <c r="Z35" i="6"/>
  <c r="AA35" i="6"/>
  <c r="X36" i="6"/>
  <c r="Y36" i="6"/>
  <c r="Z36" i="6"/>
  <c r="AA36" i="6"/>
  <c r="X37" i="6"/>
  <c r="Y37" i="6"/>
  <c r="Z37" i="6"/>
  <c r="AA37" i="6"/>
  <c r="X38" i="6"/>
  <c r="Y38" i="6"/>
  <c r="Z38" i="6"/>
  <c r="AA38" i="6"/>
  <c r="X39" i="6"/>
  <c r="Y39" i="6"/>
  <c r="Z39" i="6"/>
  <c r="AA39" i="6"/>
  <c r="X42" i="6"/>
  <c r="Y42" i="6"/>
  <c r="Z42" i="6"/>
  <c r="AA42" i="6"/>
  <c r="X43" i="6"/>
  <c r="Y43" i="6"/>
  <c r="Z43" i="6"/>
  <c r="AA43" i="6"/>
  <c r="X44" i="6"/>
  <c r="Y44" i="6"/>
  <c r="Z44" i="6"/>
  <c r="AA44" i="6"/>
  <c r="X45" i="6"/>
  <c r="Y45" i="6"/>
  <c r="Z45" i="6"/>
  <c r="AA45" i="6"/>
  <c r="X46" i="6"/>
  <c r="Y46" i="6"/>
  <c r="Z46" i="6"/>
  <c r="AA46" i="6"/>
  <c r="X47" i="6"/>
  <c r="Y47" i="6"/>
  <c r="Z47" i="6"/>
  <c r="AA47" i="6"/>
  <c r="X48" i="6"/>
  <c r="Y48" i="6"/>
  <c r="Z48" i="6"/>
  <c r="AA48" i="6"/>
  <c r="X49" i="6"/>
  <c r="Y49" i="6"/>
  <c r="Z49" i="6"/>
  <c r="AA49" i="6"/>
  <c r="X50" i="6"/>
  <c r="Y50" i="6"/>
  <c r="Z50" i="6"/>
  <c r="AA50" i="6"/>
  <c r="X51" i="6"/>
  <c r="Y51" i="6"/>
  <c r="Z51" i="6"/>
  <c r="AA51" i="6"/>
  <c r="X52" i="6"/>
  <c r="Y52" i="6"/>
  <c r="Z52" i="6"/>
  <c r="AA52" i="6"/>
  <c r="X57" i="6"/>
  <c r="Y57" i="6"/>
  <c r="Z57" i="6"/>
  <c r="AA57" i="6"/>
  <c r="X58" i="6"/>
  <c r="Y58" i="6"/>
  <c r="Z58" i="6"/>
  <c r="AA58" i="6"/>
  <c r="X59" i="6"/>
  <c r="Y59" i="6"/>
  <c r="Z59" i="6"/>
  <c r="AA59" i="6"/>
  <c r="X60" i="6"/>
  <c r="Y60" i="6"/>
  <c r="Z60" i="6"/>
  <c r="AA60" i="6"/>
  <c r="X61" i="6"/>
  <c r="Y61" i="6"/>
  <c r="Z61" i="6"/>
  <c r="AA61" i="6"/>
  <c r="X64" i="6"/>
  <c r="Y64" i="6"/>
  <c r="Z64" i="6"/>
  <c r="AA64" i="6"/>
  <c r="X65" i="6"/>
  <c r="Y65" i="6"/>
  <c r="Z65" i="6"/>
  <c r="AA65" i="6"/>
  <c r="X66" i="6"/>
  <c r="Y66" i="6"/>
  <c r="Z66" i="6"/>
  <c r="AA66" i="6"/>
  <c r="X67" i="6"/>
  <c r="Y67" i="6"/>
  <c r="Z67" i="6"/>
  <c r="AA67" i="6"/>
  <c r="X68" i="6"/>
  <c r="Y68" i="6"/>
  <c r="Z68" i="6"/>
  <c r="AA68" i="6"/>
  <c r="X69" i="6"/>
  <c r="Y69" i="6"/>
  <c r="Z69" i="6"/>
  <c r="AA69" i="6"/>
  <c r="X70" i="6"/>
  <c r="Y70" i="6"/>
  <c r="Z70" i="6"/>
  <c r="AA70" i="6"/>
  <c r="X71" i="6"/>
  <c r="Y71" i="6"/>
  <c r="Z71" i="6"/>
  <c r="AA71" i="6"/>
  <c r="X72" i="6"/>
  <c r="Y72" i="6"/>
  <c r="Z72" i="6"/>
  <c r="AA72" i="6"/>
  <c r="X73" i="6"/>
  <c r="Y73" i="6"/>
  <c r="Z73" i="6"/>
  <c r="AA73" i="6"/>
  <c r="X74" i="6"/>
  <c r="Y74" i="6"/>
  <c r="Z74" i="6"/>
  <c r="AA74" i="6"/>
  <c r="X75" i="6"/>
  <c r="Y75" i="6"/>
  <c r="Z75" i="6"/>
  <c r="AA75" i="6"/>
  <c r="X77" i="6"/>
  <c r="Y77" i="6"/>
  <c r="Z77" i="6"/>
  <c r="AA77" i="6"/>
  <c r="X78" i="6"/>
  <c r="Y78" i="6"/>
  <c r="Z78" i="6"/>
  <c r="AA78" i="6"/>
  <c r="X79" i="6"/>
  <c r="Y79" i="6"/>
  <c r="Z79" i="6"/>
  <c r="AA79" i="6"/>
  <c r="X80" i="6"/>
  <c r="Y80" i="6"/>
  <c r="Z80" i="6"/>
  <c r="AA80" i="6"/>
  <c r="X81" i="6"/>
  <c r="Y81" i="6"/>
  <c r="Z81" i="6"/>
  <c r="AA81" i="6"/>
  <c r="X82" i="6"/>
  <c r="Y82" i="6"/>
  <c r="Z82" i="6"/>
  <c r="AA82" i="6"/>
  <c r="X83" i="6"/>
  <c r="Y83" i="6"/>
  <c r="Z83" i="6"/>
  <c r="AA83" i="6"/>
  <c r="X84" i="6"/>
  <c r="Y84" i="6"/>
  <c r="Z84" i="6"/>
  <c r="AA84" i="6"/>
  <c r="X85" i="6"/>
  <c r="Y85" i="6"/>
  <c r="Z85" i="6"/>
  <c r="AA85" i="6"/>
  <c r="X86" i="6"/>
  <c r="Y86" i="6"/>
  <c r="Z86" i="6"/>
  <c r="AA86" i="6"/>
  <c r="X87" i="6"/>
  <c r="Y87" i="6"/>
  <c r="Z87" i="6"/>
  <c r="AA87" i="6"/>
  <c r="X88" i="6"/>
  <c r="Y88" i="6"/>
  <c r="Z88" i="6"/>
  <c r="AA88" i="6"/>
  <c r="X89" i="6"/>
  <c r="Y89" i="6"/>
  <c r="Z89" i="6"/>
  <c r="AA89" i="6"/>
  <c r="W58" i="6"/>
  <c r="W59" i="6"/>
  <c r="W60" i="6"/>
  <c r="W61" i="6"/>
  <c r="W64" i="6"/>
  <c r="W65" i="6"/>
  <c r="W66" i="6"/>
  <c r="W67" i="6"/>
  <c r="W68" i="6"/>
  <c r="W69" i="6"/>
  <c r="W70" i="6"/>
  <c r="W71" i="6"/>
  <c r="W72" i="6"/>
  <c r="W73" i="6"/>
  <c r="W74" i="6"/>
  <c r="W75" i="6"/>
  <c r="W77" i="6"/>
  <c r="W78" i="6"/>
  <c r="W79" i="6"/>
  <c r="W80" i="6"/>
  <c r="W81" i="6"/>
  <c r="W82" i="6"/>
  <c r="W83" i="6"/>
  <c r="W84" i="6"/>
  <c r="W85" i="6"/>
  <c r="W86" i="6"/>
  <c r="W87" i="6"/>
  <c r="W88" i="6"/>
  <c r="W89" i="6"/>
  <c r="W57" i="6"/>
  <c r="W26" i="6"/>
  <c r="W27" i="6"/>
  <c r="W28" i="6"/>
  <c r="W29" i="6"/>
  <c r="W30" i="6"/>
  <c r="W31" i="6"/>
  <c r="W32" i="6"/>
  <c r="W33" i="6"/>
  <c r="W34" i="6"/>
  <c r="W35" i="6"/>
  <c r="W36" i="6"/>
  <c r="W37" i="6"/>
  <c r="W38" i="6"/>
  <c r="W39" i="6"/>
  <c r="W42" i="6"/>
  <c r="W43" i="6"/>
  <c r="W44" i="6"/>
  <c r="W45" i="6"/>
  <c r="W46" i="6"/>
  <c r="W47" i="6"/>
  <c r="W48" i="6"/>
  <c r="W49" i="6"/>
  <c r="W50" i="6"/>
  <c r="W51" i="6"/>
  <c r="W52" i="6"/>
  <c r="W25" i="6"/>
  <c r="AA5" i="6"/>
  <c r="AA6" i="6"/>
  <c r="AA8" i="6"/>
  <c r="AA9" i="6"/>
  <c r="AA10" i="6"/>
  <c r="AA11" i="6"/>
  <c r="AA12" i="6"/>
  <c r="AA13" i="6"/>
  <c r="AA14" i="6"/>
  <c r="AA15" i="6"/>
  <c r="AA16" i="6"/>
  <c r="AA17" i="6"/>
  <c r="AA18" i="6"/>
  <c r="AA20" i="6"/>
  <c r="AA21" i="6"/>
  <c r="AA4" i="6"/>
  <c r="X4" i="6"/>
  <c r="Y4" i="6"/>
  <c r="Z4" i="6"/>
  <c r="X5" i="6"/>
  <c r="Y5" i="6"/>
  <c r="Z5" i="6"/>
  <c r="X6" i="6"/>
  <c r="Y6" i="6"/>
  <c r="Z6" i="6"/>
  <c r="X8" i="6"/>
  <c r="Y8" i="6"/>
  <c r="Z8" i="6"/>
  <c r="X9" i="6"/>
  <c r="Y9" i="6"/>
  <c r="Z9" i="6"/>
  <c r="X10" i="6"/>
  <c r="Y10" i="6"/>
  <c r="Z10" i="6"/>
  <c r="X11" i="6"/>
  <c r="Y11" i="6"/>
  <c r="Z11" i="6"/>
  <c r="X12" i="6"/>
  <c r="Y12" i="6"/>
  <c r="Z12" i="6"/>
  <c r="X13" i="6"/>
  <c r="Y13" i="6"/>
  <c r="Z13" i="6"/>
  <c r="X14" i="6"/>
  <c r="Y14" i="6"/>
  <c r="Z14" i="6"/>
  <c r="X15" i="6"/>
  <c r="Y15" i="6"/>
  <c r="Z15" i="6"/>
  <c r="X16" i="6"/>
  <c r="Y16" i="6"/>
  <c r="Z16" i="6"/>
  <c r="X17" i="6"/>
  <c r="Y17" i="6"/>
  <c r="Z17" i="6"/>
  <c r="X18" i="6"/>
  <c r="Y18" i="6"/>
  <c r="Z18" i="6"/>
  <c r="X20" i="6"/>
  <c r="Y20" i="6"/>
  <c r="Z20" i="6"/>
  <c r="X21" i="6"/>
  <c r="Y21" i="6"/>
  <c r="Z21" i="6"/>
  <c r="W5" i="6"/>
  <c r="W6" i="6"/>
  <c r="W8" i="6"/>
  <c r="W9" i="6"/>
  <c r="W10" i="6"/>
  <c r="W11" i="6"/>
  <c r="W12" i="6"/>
  <c r="W13" i="6"/>
  <c r="W14" i="6"/>
  <c r="W15" i="6"/>
  <c r="W16" i="6"/>
  <c r="W17" i="6"/>
  <c r="W18" i="6"/>
  <c r="W20" i="6"/>
  <c r="W21" i="6"/>
  <c r="W4" i="6"/>
  <c r="O4" i="6"/>
  <c r="P4" i="6"/>
  <c r="Q4" i="6"/>
  <c r="R4" i="6"/>
  <c r="O5" i="6"/>
  <c r="O6" i="6" s="1"/>
  <c r="P5" i="6"/>
  <c r="Q5" i="6"/>
  <c r="R5" i="6"/>
  <c r="R6" i="6" s="1"/>
  <c r="P6" i="6"/>
  <c r="Q6" i="6"/>
  <c r="O8" i="6"/>
  <c r="O20" i="6" s="1"/>
  <c r="O21" i="6" s="1"/>
  <c r="P8" i="6"/>
  <c r="Q8" i="6"/>
  <c r="R8" i="6"/>
  <c r="O9" i="6"/>
  <c r="P9" i="6"/>
  <c r="Q9" i="6"/>
  <c r="R9" i="6"/>
  <c r="O10" i="6"/>
  <c r="P10" i="6"/>
  <c r="Q10" i="6"/>
  <c r="R10" i="6"/>
  <c r="P11" i="6"/>
  <c r="P29" i="6" s="1"/>
  <c r="Q11" i="6"/>
  <c r="O12" i="6"/>
  <c r="P12" i="6"/>
  <c r="Q12" i="6"/>
  <c r="R12" i="6"/>
  <c r="P13" i="6"/>
  <c r="P24" i="6" s="1"/>
  <c r="Q13" i="6"/>
  <c r="O14" i="6"/>
  <c r="P14" i="6"/>
  <c r="Q14" i="6"/>
  <c r="R14" i="6"/>
  <c r="P15" i="6"/>
  <c r="P16" i="6" s="1"/>
  <c r="P17" i="6" s="1"/>
  <c r="Q15" i="6"/>
  <c r="O18" i="6"/>
  <c r="P18" i="6"/>
  <c r="Q18" i="6"/>
  <c r="Q16" i="6" s="1"/>
  <c r="Q17" i="6" s="1"/>
  <c r="R18" i="6"/>
  <c r="P20" i="6"/>
  <c r="P21" i="6" s="1"/>
  <c r="Q20" i="6"/>
  <c r="R20" i="6"/>
  <c r="Q21" i="6"/>
  <c r="R21" i="6"/>
  <c r="P23" i="6"/>
  <c r="Q23" i="6"/>
  <c r="Q24" i="6"/>
  <c r="Q26" i="6"/>
  <c r="P27" i="6"/>
  <c r="Q27" i="6"/>
  <c r="Q29" i="6"/>
  <c r="P30" i="6"/>
  <c r="Q30" i="6"/>
  <c r="Q31" i="6"/>
  <c r="P33" i="6"/>
  <c r="Q33" i="6"/>
  <c r="Q36" i="6" s="1"/>
  <c r="P36" i="6"/>
  <c r="P39" i="6"/>
  <c r="Q39" i="6"/>
  <c r="O40" i="6"/>
  <c r="O47" i="6" s="1"/>
  <c r="P40" i="6"/>
  <c r="Q40" i="6"/>
  <c r="R40" i="6"/>
  <c r="O43" i="6"/>
  <c r="P43" i="6"/>
  <c r="Q43" i="6"/>
  <c r="R43" i="6"/>
  <c r="P44" i="6"/>
  <c r="Q44" i="6"/>
  <c r="P45" i="6"/>
  <c r="Q45" i="6"/>
  <c r="P46" i="6"/>
  <c r="Q46" i="6"/>
  <c r="P47" i="6"/>
  <c r="Q47" i="6"/>
  <c r="R47" i="6"/>
  <c r="P48" i="6"/>
  <c r="Q48" i="6"/>
  <c r="P50" i="6"/>
  <c r="Q50" i="6"/>
  <c r="O51" i="6"/>
  <c r="P51" i="6"/>
  <c r="Q51" i="6"/>
  <c r="R51" i="6"/>
  <c r="P52" i="6"/>
  <c r="Q52" i="6"/>
  <c r="P53" i="6"/>
  <c r="Q53" i="6"/>
  <c r="P55" i="6"/>
  <c r="Q55" i="6"/>
  <c r="O56" i="6"/>
  <c r="P56" i="6"/>
  <c r="P57" i="6" s="1"/>
  <c r="P62" i="6" s="1"/>
  <c r="Q56" i="6"/>
  <c r="Q57" i="6" s="1"/>
  <c r="R56" i="6"/>
  <c r="O57" i="6"/>
  <c r="R57" i="6"/>
  <c r="R62" i="6" s="1"/>
  <c r="O58" i="6"/>
  <c r="P58" i="6"/>
  <c r="P59" i="6" s="1"/>
  <c r="Q58" i="6"/>
  <c r="Q59" i="6" s="1"/>
  <c r="R58" i="6"/>
  <c r="O59" i="6"/>
  <c r="R59" i="6"/>
  <c r="O60" i="6"/>
  <c r="P60" i="6"/>
  <c r="P61" i="6" s="1"/>
  <c r="Q60" i="6"/>
  <c r="Q61" i="6" s="1"/>
  <c r="R60" i="6"/>
  <c r="O61" i="6"/>
  <c r="R61" i="6"/>
  <c r="O62" i="6"/>
  <c r="O64" i="6"/>
  <c r="O66" i="6" s="1"/>
  <c r="P64" i="6"/>
  <c r="Q64" i="6"/>
  <c r="R64" i="6"/>
  <c r="R65" i="6" s="1"/>
  <c r="P65" i="6"/>
  <c r="Q65" i="6"/>
  <c r="P66" i="6"/>
  <c r="Q66" i="6"/>
  <c r="R66" i="6"/>
  <c r="P67" i="6"/>
  <c r="Q67" i="6"/>
  <c r="P68" i="6"/>
  <c r="Q68" i="6"/>
  <c r="P69" i="6"/>
  <c r="Q69" i="6"/>
  <c r="N81" i="6"/>
  <c r="Q81" i="6"/>
  <c r="O81" i="6"/>
  <c r="R84" i="6"/>
  <c r="R83" i="6"/>
  <c r="N78" i="6"/>
  <c r="O78" i="6"/>
  <c r="P78" i="6"/>
  <c r="Q78" i="6"/>
  <c r="N79" i="6"/>
  <c r="O79" i="6"/>
  <c r="P79" i="6"/>
  <c r="Q79" i="6"/>
  <c r="R78" i="6"/>
  <c r="R79" i="6"/>
  <c r="R72" i="6"/>
  <c r="R76" i="6"/>
  <c r="R75" i="6" s="1"/>
  <c r="R74" i="6"/>
  <c r="N69" i="6"/>
  <c r="N68" i="6"/>
  <c r="N67" i="6"/>
  <c r="N66" i="6"/>
  <c r="N65" i="6"/>
  <c r="N64" i="6"/>
  <c r="N61" i="6"/>
  <c r="E61" i="8" s="1"/>
  <c r="N51" i="6"/>
  <c r="N20" i="6"/>
  <c r="N14" i="6"/>
  <c r="N12" i="6"/>
  <c r="N10" i="6"/>
  <c r="N9" i="6"/>
  <c r="N8" i="6"/>
  <c r="N5" i="6"/>
  <c r="N4" i="6"/>
  <c r="N6" i="6" s="1"/>
  <c r="V5" i="6"/>
  <c r="V6" i="6"/>
  <c r="V7" i="6"/>
  <c r="V8" i="6"/>
  <c r="V9" i="6"/>
  <c r="V10" i="6"/>
  <c r="V11" i="6"/>
  <c r="V12" i="6"/>
  <c r="V13" i="6"/>
  <c r="V14" i="6"/>
  <c r="V15" i="6"/>
  <c r="V16" i="6"/>
  <c r="V17" i="6"/>
  <c r="V18" i="6"/>
  <c r="V20" i="6"/>
  <c r="V21" i="6"/>
  <c r="N62" i="6" l="1"/>
  <c r="E62" i="8" s="1"/>
  <c r="R11" i="6"/>
  <c r="R39" i="6"/>
  <c r="R46" i="6" s="1"/>
  <c r="R53" i="6"/>
  <c r="R33" i="6"/>
  <c r="R50" i="6"/>
  <c r="R52" i="6"/>
  <c r="R55" i="6"/>
  <c r="Q25" i="6"/>
  <c r="Q32" i="6"/>
  <c r="Q38" i="6"/>
  <c r="Q41" i="6" s="1"/>
  <c r="Q89" i="6"/>
  <c r="Q62" i="6"/>
  <c r="O11" i="6"/>
  <c r="O39" i="6"/>
  <c r="O46" i="6" s="1"/>
  <c r="O33" i="6"/>
  <c r="O52" i="6"/>
  <c r="O50" i="6"/>
  <c r="O55" i="6"/>
  <c r="O53" i="6"/>
  <c r="P25" i="6"/>
  <c r="P32" i="6"/>
  <c r="P38" i="6"/>
  <c r="P41" i="6" s="1"/>
  <c r="O67" i="6"/>
  <c r="O65" i="6"/>
  <c r="P31" i="6"/>
  <c r="P26" i="6"/>
  <c r="R67" i="6"/>
  <c r="N11" i="6"/>
  <c r="N56" i="6"/>
  <c r="N57" i="6" s="1"/>
  <c r="N58" i="6"/>
  <c r="N59" i="6" s="1"/>
  <c r="O13" i="6" l="1"/>
  <c r="O29" i="6"/>
  <c r="R13" i="6"/>
  <c r="R29" i="6"/>
  <c r="N29" i="6"/>
  <c r="N13" i="6"/>
  <c r="R15" i="6" l="1"/>
  <c r="R23" i="6"/>
  <c r="R27" i="6"/>
  <c r="R30" i="6"/>
  <c r="R36" i="6" s="1"/>
  <c r="R69" i="6"/>
  <c r="R24" i="6"/>
  <c r="R26" i="6"/>
  <c r="R45" i="6"/>
  <c r="R68" i="6"/>
  <c r="O23" i="6"/>
  <c r="O27" i="6"/>
  <c r="O30" i="6"/>
  <c r="O36" i="6" s="1"/>
  <c r="O24" i="6"/>
  <c r="O26" i="6"/>
  <c r="O45" i="6"/>
  <c r="O68" i="6"/>
  <c r="O15" i="6"/>
  <c r="O69" i="6"/>
  <c r="N15" i="6"/>
  <c r="N45" i="6"/>
  <c r="N30" i="6"/>
  <c r="O31" i="6" l="1"/>
  <c r="O16" i="6"/>
  <c r="O17" i="6" s="1"/>
  <c r="O44" i="6"/>
  <c r="O48" i="6" s="1"/>
  <c r="R44" i="6"/>
  <c r="R48" i="6" s="1"/>
  <c r="R16" i="6"/>
  <c r="R17" i="6" s="1"/>
  <c r="R31" i="6"/>
  <c r="N44" i="6"/>
  <c r="N31" i="6"/>
  <c r="R25" i="6" l="1"/>
  <c r="R32" i="6"/>
  <c r="R38" i="6"/>
  <c r="R41" i="6" s="1"/>
  <c r="R89" i="6"/>
  <c r="O25" i="6"/>
  <c r="O32" i="6"/>
  <c r="O38" i="6"/>
  <c r="O41" i="6" s="1"/>
  <c r="P89" i="6"/>
  <c r="V4" i="6" l="1"/>
  <c r="V3" i="6"/>
  <c r="Y3" i="6"/>
  <c r="X3" i="6"/>
  <c r="C166" i="6"/>
  <c r="C171" i="6" s="1"/>
  <c r="D166" i="6"/>
  <c r="E166" i="6"/>
  <c r="E171" i="6" s="1"/>
  <c r="F166" i="6"/>
  <c r="F171" i="6" s="1"/>
  <c r="G166" i="6"/>
  <c r="G171" i="6" s="1"/>
  <c r="C181" i="6"/>
  <c r="D181" i="6"/>
  <c r="E181" i="6"/>
  <c r="F181" i="6"/>
  <c r="G181" i="6"/>
  <c r="D171" i="6"/>
  <c r="C144" i="6"/>
  <c r="C156" i="6" s="1"/>
  <c r="C159" i="6" s="1"/>
  <c r="D144" i="6"/>
  <c r="D156" i="6" s="1"/>
  <c r="E144" i="6"/>
  <c r="E156" i="6" s="1"/>
  <c r="F144" i="6"/>
  <c r="F156" i="6" s="1"/>
  <c r="G144" i="6"/>
  <c r="G156" i="6" s="1"/>
  <c r="G159" i="6" s="1"/>
  <c r="C121" i="6"/>
  <c r="D121" i="6"/>
  <c r="E121" i="6"/>
  <c r="F121" i="6"/>
  <c r="G121" i="6"/>
  <c r="C108" i="6"/>
  <c r="D108" i="6"/>
  <c r="E108" i="6"/>
  <c r="F108" i="6"/>
  <c r="G108" i="6"/>
  <c r="C92" i="6"/>
  <c r="C94" i="6" s="1"/>
  <c r="N53" i="6" s="1"/>
  <c r="D92" i="6"/>
  <c r="D94" i="6" s="1"/>
  <c r="E92" i="6"/>
  <c r="E94" i="6" s="1"/>
  <c r="F92" i="6"/>
  <c r="F94" i="6" s="1"/>
  <c r="G92" i="6"/>
  <c r="G94" i="6" s="1"/>
  <c r="C84" i="6"/>
  <c r="D84" i="6"/>
  <c r="E84" i="6"/>
  <c r="F84" i="6"/>
  <c r="G84" i="6"/>
  <c r="C72" i="6"/>
  <c r="N50" i="6" s="1"/>
  <c r="D72" i="6"/>
  <c r="E72" i="6"/>
  <c r="F72" i="6"/>
  <c r="G72" i="6"/>
  <c r="C36" i="6"/>
  <c r="D36" i="6"/>
  <c r="E36" i="6"/>
  <c r="F36" i="6"/>
  <c r="G36" i="6"/>
  <c r="C25" i="6"/>
  <c r="D25" i="6"/>
  <c r="E25" i="6"/>
  <c r="F25" i="6"/>
  <c r="G25" i="6"/>
  <c r="D17" i="6"/>
  <c r="E17" i="6"/>
  <c r="F17" i="6"/>
  <c r="G17" i="6"/>
  <c r="C17" i="6"/>
  <c r="D6" i="6"/>
  <c r="E6" i="6"/>
  <c r="F6" i="6"/>
  <c r="G6" i="6"/>
  <c r="C6" i="6"/>
  <c r="N55" i="6" l="1"/>
  <c r="N52" i="6"/>
  <c r="C161" i="6"/>
  <c r="F159" i="6"/>
  <c r="F161" i="6" s="1"/>
  <c r="E159" i="6"/>
  <c r="E161" i="6" s="1"/>
  <c r="G161" i="6"/>
  <c r="D159" i="6"/>
  <c r="D161" i="6" s="1"/>
  <c r="D85" i="6"/>
  <c r="G122" i="6"/>
  <c r="C18" i="6"/>
  <c r="C20" i="6" s="1"/>
  <c r="C85" i="6"/>
  <c r="G18" i="6"/>
  <c r="G20" i="6" s="1"/>
  <c r="G26" i="6" s="1"/>
  <c r="G28" i="6" s="1"/>
  <c r="G37" i="6" s="1"/>
  <c r="F18" i="6"/>
  <c r="F20" i="6" s="1"/>
  <c r="F26" i="6" s="1"/>
  <c r="F28" i="6" s="1"/>
  <c r="F37" i="6" s="1"/>
  <c r="C122" i="6"/>
  <c r="F122" i="6"/>
  <c r="D18" i="6"/>
  <c r="D20" i="6" s="1"/>
  <c r="D26" i="6" s="1"/>
  <c r="D28" i="6" s="1"/>
  <c r="D37" i="6" s="1"/>
  <c r="E18" i="6"/>
  <c r="E20" i="6" s="1"/>
  <c r="E26" i="6" s="1"/>
  <c r="E28" i="6" s="1"/>
  <c r="E37" i="6" s="1"/>
  <c r="D122" i="6"/>
  <c r="E122" i="6"/>
  <c r="G85" i="6"/>
  <c r="F85" i="6"/>
  <c r="E85" i="6"/>
  <c r="N40" i="6" l="1"/>
  <c r="N47" i="6" s="1"/>
  <c r="N33" i="6"/>
  <c r="N36" i="6" s="1"/>
  <c r="N39" i="6"/>
  <c r="N46" i="6" s="1"/>
  <c r="N26" i="6"/>
  <c r="N23" i="6"/>
  <c r="C26" i="6"/>
  <c r="N18" i="6"/>
  <c r="D182" i="6"/>
  <c r="G182" i="6"/>
  <c r="E182" i="6"/>
  <c r="F182" i="6"/>
  <c r="C182" i="6"/>
  <c r="C184" i="6" s="1"/>
  <c r="D183" i="6" s="1"/>
  <c r="J5" i="3"/>
  <c r="J6" i="3"/>
  <c r="J7" i="3"/>
  <c r="J8" i="3"/>
  <c r="J4" i="3"/>
  <c r="N16" i="6" l="1"/>
  <c r="N17" i="6" s="1"/>
  <c r="N21" i="6"/>
  <c r="N24" i="6"/>
  <c r="N27" i="6"/>
  <c r="C28" i="6"/>
  <c r="C37" i="6" s="1"/>
  <c r="N43" i="6"/>
  <c r="N48" i="6" s="1"/>
  <c r="D184" i="6"/>
  <c r="E183" i="6" s="1"/>
  <c r="E184" i="6" s="1"/>
  <c r="F183" i="6" s="1"/>
  <c r="F184" i="6" s="1"/>
  <c r="G183" i="6" s="1"/>
  <c r="G184" i="6" s="1"/>
  <c r="N38" i="6" l="1"/>
  <c r="N41" i="6" s="1"/>
  <c r="N25" i="6"/>
  <c r="N32" i="6"/>
</calcChain>
</file>

<file path=xl/sharedStrings.xml><?xml version="1.0" encoding="utf-8"?>
<sst xmlns="http://schemas.openxmlformats.org/spreadsheetml/2006/main" count="685" uniqueCount="377">
  <si>
    <t>Income Statement</t>
  </si>
  <si>
    <t>Common Size Income Statement</t>
  </si>
  <si>
    <t>Revenue from Operations (Sales/Turnover)</t>
  </si>
  <si>
    <t>Other Income</t>
  </si>
  <si>
    <t>Total Revenue</t>
  </si>
  <si>
    <t>Operating Expenses:</t>
  </si>
  <si>
    <t>Cost of Material Consumed</t>
  </si>
  <si>
    <t>EBITDA (Earning before interest, tax, depreciation and amortisation)</t>
  </si>
  <si>
    <t>Less: D&amp;A</t>
  </si>
  <si>
    <t>EBIT (Earning before interest and Tax)</t>
  </si>
  <si>
    <t>Less: Finance Cost (interest)</t>
  </si>
  <si>
    <t>EBT (Earning before tax/Profit before tax)</t>
  </si>
  <si>
    <t>NI/PAT (Net Income/Profit after tax)</t>
  </si>
  <si>
    <t>Effective Tax Rate (Current Tax/PBT)</t>
  </si>
  <si>
    <t>EBIT (Operating Income)/Core earning</t>
  </si>
  <si>
    <t>NOPAT (Net Operating profit after tax)(EBIT*(1-t))</t>
  </si>
  <si>
    <t>Overall Performance Ratio</t>
  </si>
  <si>
    <t>Common Size Balance Sheet</t>
  </si>
  <si>
    <t>ROA/ROTA (Before Tax)</t>
  </si>
  <si>
    <t>EBIT/TA</t>
  </si>
  <si>
    <t>ROA/ROTA (After Tax)</t>
  </si>
  <si>
    <t>EBIT*(1-t)/TA</t>
  </si>
  <si>
    <t>ROE</t>
  </si>
  <si>
    <t>NI/Equity</t>
  </si>
  <si>
    <t>ROCE (Before Tax)</t>
  </si>
  <si>
    <t>EBIT/TA-CL</t>
  </si>
  <si>
    <t>ROCE (After Tax)</t>
  </si>
  <si>
    <t>EBIT(1-t)/TA-CL</t>
  </si>
  <si>
    <t>Profit Margin Ratios</t>
  </si>
  <si>
    <t>EBITDA Margin</t>
  </si>
  <si>
    <t>EBITDA/Sales</t>
  </si>
  <si>
    <t>EBIT Margin/OPM</t>
  </si>
  <si>
    <t>EBIT/Sales</t>
  </si>
  <si>
    <t>EBT Margin</t>
  </si>
  <si>
    <t>EBT/Sales</t>
  </si>
  <si>
    <t>Net Profit Margin</t>
  </si>
  <si>
    <t>NI/Sales</t>
  </si>
  <si>
    <t>Asset Turnover Ratio</t>
  </si>
  <si>
    <t>Sales/Total Assets</t>
  </si>
  <si>
    <t>Two Factor Dupont Analysis</t>
  </si>
  <si>
    <t>ROA</t>
  </si>
  <si>
    <t>EBIT margin * Asset Turnover</t>
  </si>
  <si>
    <t>Three Factor DuPont</t>
  </si>
  <si>
    <t>NPM</t>
  </si>
  <si>
    <t>NP/Sales</t>
  </si>
  <si>
    <t>ATR</t>
  </si>
  <si>
    <t>Total Leverage</t>
  </si>
  <si>
    <t>Total Assets/Equity</t>
  </si>
  <si>
    <t>NPM*ATR*TL</t>
  </si>
  <si>
    <t>Five Factor Dupont</t>
  </si>
  <si>
    <t>Tax Factor</t>
  </si>
  <si>
    <t>NI/EBT</t>
  </si>
  <si>
    <t>Interest Factor</t>
  </si>
  <si>
    <t>EBT/EBIT</t>
  </si>
  <si>
    <t>EBIT Margin</t>
  </si>
  <si>
    <t>Sales/TA</t>
  </si>
  <si>
    <t>TL</t>
  </si>
  <si>
    <t>TA/Equity</t>
  </si>
  <si>
    <t>TF*IF*EM*ATR*TL</t>
  </si>
  <si>
    <t>Turnover or Efficiency Ratios</t>
  </si>
  <si>
    <t>Non-Current Asset Turnover Ratio</t>
  </si>
  <si>
    <t>Sales/NCA</t>
  </si>
  <si>
    <t>PPE Utilisation Ratio/ Capital Intensity Ratio</t>
  </si>
  <si>
    <t>Sales/PPE</t>
  </si>
  <si>
    <t>Current Asset Turnover Ratio</t>
  </si>
  <si>
    <t>Sales/CA</t>
  </si>
  <si>
    <t>Equity Turnover Ratio</t>
  </si>
  <si>
    <t>Sales/Equity</t>
  </si>
  <si>
    <t>Working Capital Turnover Ratio</t>
  </si>
  <si>
    <t>Sales/Working Capital (CA-CL)</t>
  </si>
  <si>
    <t>Inventory Turnover Ratio (ITR)</t>
  </si>
  <si>
    <t>Sales/Inventory</t>
  </si>
  <si>
    <t xml:space="preserve">Day's Inventory </t>
  </si>
  <si>
    <t>365/ITR</t>
  </si>
  <si>
    <t>Debtors Turnover Ratio (DTR)</t>
  </si>
  <si>
    <t>Sales/Debtors</t>
  </si>
  <si>
    <t>Day's receivable or Average Collection Period</t>
  </si>
  <si>
    <t>365/DTR</t>
  </si>
  <si>
    <t>Creditor Turnover Ratio (CTR)</t>
  </si>
  <si>
    <t>Mateiral Consumed/Creditors</t>
  </si>
  <si>
    <t>Day's Creditors/Average Payment Period</t>
  </si>
  <si>
    <t>365/CTR</t>
  </si>
  <si>
    <t>Cash Cycle (Days)</t>
  </si>
  <si>
    <t>Days inventory + Days debtors  - Days Payable</t>
  </si>
  <si>
    <t>Insolvency Ratio</t>
  </si>
  <si>
    <t>Debt</t>
  </si>
  <si>
    <t>All interest bearing liabilites are debt</t>
  </si>
  <si>
    <t>Debt/Equity Ratio</t>
  </si>
  <si>
    <t>Total Debt/ Equity</t>
  </si>
  <si>
    <t>Debt Ratio /Debt Capitalisation Ratio</t>
  </si>
  <si>
    <t>Debt/ (Debt + Equity)</t>
  </si>
  <si>
    <t>Equity Ratio/ Equity Capitalisation Ratio</t>
  </si>
  <si>
    <t>Equity/(Debt + Equity)</t>
  </si>
  <si>
    <t>Interest Coverage Ratio</t>
  </si>
  <si>
    <t>EBIT/ Interest</t>
  </si>
  <si>
    <t>Total Debt Service Ratio</t>
  </si>
  <si>
    <t>EBIT/ (Interest + Debt)</t>
  </si>
  <si>
    <t>Test of Dividend Policy</t>
  </si>
  <si>
    <t>Dividend Per Share</t>
  </si>
  <si>
    <t>Dividend Declared/ No. of share outstanding</t>
  </si>
  <si>
    <t>Earning Per Share</t>
  </si>
  <si>
    <t>NI/ No of share outstanding</t>
  </si>
  <si>
    <t>Current Market Price</t>
  </si>
  <si>
    <t>Dividend Yeild Ratio</t>
  </si>
  <si>
    <t>Divident/ Current Market Price</t>
  </si>
  <si>
    <t>Retension Ratio</t>
  </si>
  <si>
    <t>1- D/P Ratio</t>
  </si>
  <si>
    <t>Dividend Payout Ratio (D/P Ratio)</t>
  </si>
  <si>
    <t>DPS/EPS</t>
  </si>
  <si>
    <t>Liquidity Ratios</t>
  </si>
  <si>
    <t>Current Ratio</t>
  </si>
  <si>
    <t>Current Assets/ Current Liabilities</t>
  </si>
  <si>
    <t>Quick Ratio/ Acid Test Ratio</t>
  </si>
  <si>
    <t>(CA-Inventory)/ CL</t>
  </si>
  <si>
    <t>Valuation Ratios</t>
  </si>
  <si>
    <t>Book Value per Share</t>
  </si>
  <si>
    <t>Total Equity/ No. of Share Outstanding</t>
  </si>
  <si>
    <t>market value of share</t>
  </si>
  <si>
    <t>Earning Per share</t>
  </si>
  <si>
    <t>Price Earning Ratio (P/E)</t>
  </si>
  <si>
    <t>MPS/EPS</t>
  </si>
  <si>
    <t>Price to Book Value Ratio (P/B)</t>
  </si>
  <si>
    <t>MPS/BVPS</t>
  </si>
  <si>
    <t>No. of share outstanding</t>
  </si>
  <si>
    <t>Equity/Face Value</t>
  </si>
  <si>
    <t>Face Value Per Share</t>
  </si>
  <si>
    <t>Top Line Growth (YoY)</t>
  </si>
  <si>
    <t xml:space="preserve">CY/PY -1 </t>
  </si>
  <si>
    <t>Bottome Line Growth</t>
  </si>
  <si>
    <t>Compound Annual Growth Rate (CAGR)</t>
  </si>
  <si>
    <t>nth root of current year/base year -1</t>
  </si>
  <si>
    <t>if fundamentals are strong and my valuation ratios are less than industry</t>
  </si>
  <si>
    <t>Undervalued Co.</t>
  </si>
  <si>
    <t>if fundamentals are weak and still valuation ratios are high than industry</t>
  </si>
  <si>
    <t>Overvalued Co.</t>
  </si>
  <si>
    <t>if fundamentals are strong and my valuation ratios are high than industry</t>
  </si>
  <si>
    <t>Growth Co.</t>
  </si>
  <si>
    <t>If fundamentals are weak and my valuation ratios are also low</t>
  </si>
  <si>
    <t>Poor Co.</t>
  </si>
  <si>
    <t xml:space="preserve">                   CONSOLIDATED CASH FLOW STATEMENT </t>
  </si>
  <si>
    <t xml:space="preserve">CASH FLOW FROM OPERATING ACTIVITIES </t>
  </si>
  <si>
    <t xml:space="preserve">CASH FLOW FROM INVESTING ACTIVITIES </t>
  </si>
  <si>
    <t xml:space="preserve">CASH FLOW FROM FINANCIAL  ACTIVITIES </t>
  </si>
  <si>
    <t>Net cash flow from operating activities</t>
  </si>
  <si>
    <t>Net cash inflow or (outflow) from investment activities</t>
  </si>
  <si>
    <t>Net cash inflow or (outflow) from financing activities</t>
  </si>
  <si>
    <t xml:space="preserve">Operating Activities </t>
  </si>
  <si>
    <t xml:space="preserve">Investing Activities </t>
  </si>
  <si>
    <t xml:space="preserve">Financing Activities </t>
  </si>
  <si>
    <t xml:space="preserve">Type of Company </t>
  </si>
  <si>
    <t xml:space="preserve">Nature of the Company </t>
  </si>
  <si>
    <t>Signs</t>
  </si>
  <si>
    <t>+--</t>
  </si>
  <si>
    <t xml:space="preserve">CASH RICH COMPANY </t>
  </si>
  <si>
    <t>+-+</t>
  </si>
  <si>
    <t>PROFITABLE COMPANY GROWING</t>
  </si>
  <si>
    <t>+++</t>
  </si>
  <si>
    <t>++-</t>
  </si>
  <si>
    <t>PAYING FINANCIAL LIABILITY BY SELLING ASSETS AND INVESTMENTS AND FROM PROFIT</t>
  </si>
  <si>
    <t>---</t>
  </si>
  <si>
    <t>MOVING TOWARDS SICKNESS</t>
  </si>
  <si>
    <t>--+</t>
  </si>
  <si>
    <t xml:space="preserve">START-UP COMPANY </t>
  </si>
  <si>
    <t>-+-</t>
  </si>
  <si>
    <t xml:space="preserve">FINANCIALLY UNSTABLE COMPANY </t>
  </si>
  <si>
    <t>-++</t>
  </si>
  <si>
    <t>UNSOUND COMPANY AND MEETING LOSSES BY SELLING ASSETS AND RAISING FUNDS</t>
  </si>
  <si>
    <t>Inventories</t>
  </si>
  <si>
    <t>Operating Income</t>
  </si>
  <si>
    <t>PARTICULARS</t>
  </si>
  <si>
    <t>ASSETS</t>
  </si>
  <si>
    <t>Other current assets</t>
  </si>
  <si>
    <t>ASSETS:</t>
  </si>
  <si>
    <t>Other current liabilities</t>
  </si>
  <si>
    <t>Other non-current liabilities</t>
  </si>
  <si>
    <t>Financial liabilities:</t>
  </si>
  <si>
    <t>Equity share capital</t>
  </si>
  <si>
    <t>Equity:</t>
  </si>
  <si>
    <t>CONSOLIDATED BALANCE SHEETS</t>
  </si>
  <si>
    <t>CONSOLIDATES STATEMENT OF PROFIT/LOSS</t>
  </si>
  <si>
    <t>TBD</t>
  </si>
  <si>
    <t>/</t>
  </si>
  <si>
    <t>Working Capital Ratios</t>
  </si>
  <si>
    <t>Revenue from operations</t>
  </si>
  <si>
    <t>(₹ in lakhs)</t>
  </si>
  <si>
    <t>Other income</t>
  </si>
  <si>
    <t>EXPENSES</t>
  </si>
  <si>
    <t>For the
year ended
31 March 2022</t>
  </si>
  <si>
    <t>For the
year ended
31 March 2018</t>
  </si>
  <si>
    <t>For the
year ended
31 March 2019</t>
  </si>
  <si>
    <t>For the
year ended
31 March 2020</t>
  </si>
  <si>
    <t>For the
year ended
31 March 2021</t>
  </si>
  <si>
    <t>Cost of material consumed</t>
  </si>
  <si>
    <t>Cost of stores &amp; spares consumed</t>
  </si>
  <si>
    <t>Consumption of stock in trade</t>
  </si>
  <si>
    <t xml:space="preserve">Changes in inventories of finished goods, work in progress &amp; scrap </t>
  </si>
  <si>
    <t>Employee benefits expense</t>
  </si>
  <si>
    <t>Finance costs</t>
  </si>
  <si>
    <t>Depreciation and amortisation expense</t>
  </si>
  <si>
    <t>Other expenses</t>
  </si>
  <si>
    <t>TOTAL EXPENSES</t>
  </si>
  <si>
    <t>TOTAL INCOME</t>
  </si>
  <si>
    <t>Exceptional items</t>
  </si>
  <si>
    <t>Profit before share of net profit of associate accounted under equity method &amp; tax</t>
  </si>
  <si>
    <t>Tax Expense</t>
  </si>
  <si>
    <t>Current tax</t>
  </si>
  <si>
    <t>Earlier years tax</t>
  </si>
  <si>
    <t>Deferred tax</t>
  </si>
  <si>
    <t>Total provision for taxation</t>
  </si>
  <si>
    <t>Profit before share of net profit of associate accounted under equity method</t>
  </si>
  <si>
    <t>Share of net profit of associate accounted under equity method</t>
  </si>
  <si>
    <t>Profit for the year</t>
  </si>
  <si>
    <t>Other comprehensive income / (loss)</t>
  </si>
  <si>
    <t>Items that will not be reclassified subsequently to profit or loss</t>
  </si>
  <si>
    <t>Remeasurement of the net defined benefit liability/asset</t>
  </si>
  <si>
    <t>Equity instruments through other comprehensive income</t>
  </si>
  <si>
    <t>Income tax relating to these items</t>
  </si>
  <si>
    <t>Share of other comprehensive income of associate accounted under equity method (net of tax)</t>
  </si>
  <si>
    <t>Total other comprehensive income / (loss) (net of tax)</t>
  </si>
  <si>
    <t>Total comprehensive income for the year [comprising profit and other comprehensive income for the year]</t>
  </si>
  <si>
    <t>Net profit / (loss) attributable to</t>
  </si>
  <si>
    <t>Owners of the company</t>
  </si>
  <si>
    <t>Non controlling interest</t>
  </si>
  <si>
    <t>Other comprehensive income attributable to</t>
  </si>
  <si>
    <t>Total comprehensive income attributable to</t>
  </si>
  <si>
    <t>Earnings per equity share (face value of INR 1/- each) :</t>
  </si>
  <si>
    <t>Basic [in INR]</t>
  </si>
  <si>
    <t>Diluted [in INR]</t>
  </si>
  <si>
    <t>Non-current assets</t>
  </si>
  <si>
    <t>Property, plant and equipment</t>
  </si>
  <si>
    <t>Capital work-in-progress</t>
  </si>
  <si>
    <t>Investment property</t>
  </si>
  <si>
    <t>Other intangible assets</t>
  </si>
  <si>
    <t>Intangible assets under development</t>
  </si>
  <si>
    <t>Investment in associate</t>
  </si>
  <si>
    <t>Financial assets</t>
  </si>
  <si>
    <t>Investments</t>
  </si>
  <si>
    <t>Trade receivables</t>
  </si>
  <si>
    <t>Loans</t>
  </si>
  <si>
    <t>Other financial assets</t>
  </si>
  <si>
    <t>Deferred tax assets (net)</t>
  </si>
  <si>
    <t>Other non current assets</t>
  </si>
  <si>
    <t>Total Non-Current assets</t>
  </si>
  <si>
    <t>Current assets:</t>
  </si>
  <si>
    <t>Cash &amp; cash equivalents</t>
  </si>
  <si>
    <t>Bank balances [other than above]</t>
  </si>
  <si>
    <t>Current tax assets (net)</t>
  </si>
  <si>
    <t>Total Current assets</t>
  </si>
  <si>
    <t>TOTAL ASSETS</t>
  </si>
  <si>
    <t>EQUITY AND LIABILITIES</t>
  </si>
  <si>
    <t>EQUITY</t>
  </si>
  <si>
    <t>Other equity</t>
  </si>
  <si>
    <t>Total equity attributable to the owners of the company</t>
  </si>
  <si>
    <t>Total equity</t>
  </si>
  <si>
    <t>LIABILITIES</t>
  </si>
  <si>
    <t>Non-current liabilities</t>
  </si>
  <si>
    <t>Deferred income</t>
  </si>
  <si>
    <t>Borrowings</t>
  </si>
  <si>
    <t>Lease liabilities</t>
  </si>
  <si>
    <t>Trade payables</t>
  </si>
  <si>
    <t>- total outstanding dues of micro enterprises &amp; small enterprises; and</t>
  </si>
  <si>
    <t>-  total outstanding dues of creditors other than micro enterprises &amp; small
enterprises</t>
  </si>
  <si>
    <t>Other financial liabilities</t>
  </si>
  <si>
    <t>Provisions</t>
  </si>
  <si>
    <t>Deferred tax liabilities (net)</t>
  </si>
  <si>
    <t>Total Non - Current liabilities</t>
  </si>
  <si>
    <t>Current liabilities</t>
  </si>
  <si>
    <t>Financial liabilities</t>
  </si>
  <si>
    <t>Current tax liabilities (net)</t>
  </si>
  <si>
    <t>Total Current liabilities</t>
  </si>
  <si>
    <t>TOTAL EQUITY AND LIABILITIES</t>
  </si>
  <si>
    <t>Profit after share of associate but before exceptional items and tax</t>
  </si>
  <si>
    <t>Adjustments for:</t>
  </si>
  <si>
    <t>Provision for intangible assets under development</t>
  </si>
  <si>
    <t>Intangible assets under development charged off</t>
  </si>
  <si>
    <t>Capital WIP charged off</t>
  </si>
  <si>
    <t>Corporate social responsibility</t>
  </si>
  <si>
    <t>Transfer from government grants</t>
  </si>
  <si>
    <t>Interest income</t>
  </si>
  <si>
    <t>Interest on lease liability</t>
  </si>
  <si>
    <t>Profit on sale of property, plant &amp; equipment</t>
  </si>
  <si>
    <t>Operating Profit Before Working Capital Changes</t>
  </si>
  <si>
    <t>Increase / (Decrease) due to:</t>
  </si>
  <si>
    <t>Other assets</t>
  </si>
  <si>
    <t>Other liabilities</t>
  </si>
  <si>
    <t>Current tax assets</t>
  </si>
  <si>
    <t>Cash Generated from Operations</t>
  </si>
  <si>
    <t>Income taxes paid (net)</t>
  </si>
  <si>
    <t>Cash Flow Before Exceptional Items</t>
  </si>
  <si>
    <t>Net Cash from / (used in) Operating Activities</t>
  </si>
  <si>
    <t>Purchase of property, plant &amp; equipments and other intangible assets</t>
  </si>
  <si>
    <t>Less: Receipt of grant</t>
  </si>
  <si>
    <t>Purchase of property, plant &amp; equipment and other intangible assets (net)</t>
  </si>
  <si>
    <t>Proceeds from sale of property, plant &amp; equipment</t>
  </si>
  <si>
    <t>Increase / (Decrease) in term deposits &amp; other bank balances</t>
  </si>
  <si>
    <t>Other investments</t>
  </si>
  <si>
    <t>Interest received</t>
  </si>
  <si>
    <t>Net Cash from / (used in) Investing Activities</t>
  </si>
  <si>
    <t>Proceeds / Repayment from borrowings (net)</t>
  </si>
  <si>
    <t>Corporate Social Responsibility (CSR) expenditure</t>
  </si>
  <si>
    <t>Dividend paid (including tax on dividend)</t>
  </si>
  <si>
    <t>Repayment of lease liabilities</t>
  </si>
  <si>
    <t>Net Cash from / (used in) Financing Activities</t>
  </si>
  <si>
    <t>Net Increase / (Decrease) in Cash and Cash Equivalents</t>
  </si>
  <si>
    <t>Cash and Cash Equivalents at the beginning of the year</t>
  </si>
  <si>
    <t>Cash and Cash Equivalents at the end of the year</t>
  </si>
  <si>
    <t>Contract costs charged of</t>
  </si>
  <si>
    <t>Provision for impairment of capital work in progress</t>
  </si>
  <si>
    <t>Excise Duty</t>
  </si>
  <si>
    <t>Receipt of grants</t>
  </si>
  <si>
    <t>Purchase of Shares under Buyback Scheme</t>
  </si>
  <si>
    <t>Particulars (₹ in lakhs)</t>
  </si>
  <si>
    <t>COMPANY - WILL BE HAVING LOT OF CASH</t>
  </si>
  <si>
    <t>Employees Benefit expenses</t>
  </si>
  <si>
    <t>Other Expenses</t>
  </si>
  <si>
    <t>Profit before exceptional items, share of net profit of associate accounted under equity method &amp; tax</t>
  </si>
  <si>
    <t>Less: Tax</t>
  </si>
  <si>
    <t>(As per)</t>
  </si>
  <si>
    <t>(on balance sheet date, 21.09.2022)</t>
  </si>
  <si>
    <t>Market Value Per Share (as on 21.09.2022)</t>
  </si>
  <si>
    <t>CASHFLOW INTERPRETATIONS</t>
  </si>
  <si>
    <t>Company in the year 2022</t>
  </si>
  <si>
    <t>Bharat Electronuc Limited</t>
  </si>
  <si>
    <t>Centrum Electronics</t>
  </si>
  <si>
    <t>One Point One</t>
  </si>
  <si>
    <t>Sterlite Technologies</t>
  </si>
  <si>
    <t>Whirlpool</t>
  </si>
  <si>
    <t>Cashflow Ratios</t>
  </si>
  <si>
    <t>Cashflow from Operations</t>
  </si>
  <si>
    <t>Cashflow from Investment Activities</t>
  </si>
  <si>
    <t>Cashflow from Financing Activities</t>
  </si>
  <si>
    <t>Investment as % of Operations</t>
  </si>
  <si>
    <t>Financing as % of Operations</t>
  </si>
  <si>
    <t>Company Name</t>
  </si>
  <si>
    <t>Industry Analysis for the year ended on 2022</t>
  </si>
  <si>
    <t>Bharat Electronics Limited</t>
  </si>
  <si>
    <t>Analysis</t>
  </si>
  <si>
    <t>We can see a steady increase in the Revenue (from Operations) or Sales from 2018 - 2022</t>
  </si>
  <si>
    <t>As the D&amp;A is increasing subsequently over the years, we can conclude that it has an unhealthy effect on the margins.</t>
  </si>
  <si>
    <t>Even though we see an increase in Sales, the ROA reduces from the previous year due to increase in D&amp;A</t>
  </si>
  <si>
    <t>The Net Income for the year ended in 2022 is greater than the previous year, however, we find a decrease in the ROE. This infers that there was an increase the Equite this year.</t>
  </si>
  <si>
    <t>Decrease in ROCE infers that the company could utilize its resources better</t>
  </si>
  <si>
    <t>The ATR when compared from 2018 to 2022, we can notice a steady fall. This means that the company is not able to utilize it's resources efficiently.</t>
  </si>
  <si>
    <t>The Total Leverage acts as a Maginifier, and helps us understand that the company is using more of liabilities. With an investor point of view, it seems that the company is getting riskier, when companred to the previous years</t>
  </si>
  <si>
    <t>Under Interest factor, it showcases that the higher the ratio, the better position a company has to repay its interest obligations while lower ratios point to financial instability. Hence, the company is in a very good position to repay the interests</t>
  </si>
  <si>
    <t xml:space="preserve">The Tax factor helps us understand the part which remains after the tax payment. This gives an overview of the tax payment over the years, </t>
  </si>
  <si>
    <t>The five-step, or extended, DuPont equation breaks down net profit margin further. From the three-step equation we saw that, in general, rises in the net profit margin, asset turnover and leverage will increase ROE. The five-step equation shows that increases in leverage don't always indicate an increase in ROE.</t>
  </si>
  <si>
    <t>When a firm's ROA rises over time, it indicates that the company is squeezing more profits out of each dollar it owns in assets. Conversely, a declining ROA suggests a company has made bad investments, is spending too much money and may be headed for trouble.</t>
  </si>
  <si>
    <t>A rising ROE suggests that a company is increasing its profit generation without needing as much capital. It also indicates how well a company's management deploys shareholder capital. A higher ROE is usually better while a falling ROE may indicate a less efficient usage of equity capital.</t>
  </si>
  <si>
    <t>This ratio helps us understand how much of Sales Revenue is generated per unti of Non-Current Assets. Compartitively the ratio has diminishly increased from 2018 but however decreased from the previous year.</t>
  </si>
  <si>
    <t>PPE is the most Quality Asset of any company. The increase in this ratio helps us understand that the company is utilizing its PPE very efficiently</t>
  </si>
  <si>
    <t>This ratio helps us understand how much of Sales Revenue is generated per unit of Non-Current Assets. Compartitively the ratio has diminishly increased from 2018 but however decreased from the previous year.</t>
  </si>
  <si>
    <t>This ratio helps us understand how much of Sales Revenue is generated per unit of Current Assets. Compartitively the ratio has decreased from 2018,. Which means that there is decrease in utilization of current assets for generation of sales revenue</t>
  </si>
  <si>
    <t>Working Capital Turnover Ration helps us understand how much surplus liquidity the company has for day to day operations. We can notice a certain decrease in the ration from 2018 to 2022</t>
  </si>
  <si>
    <t>Inventory Turnover Ratio (ITR) helps us understand how much Inventory is utilized for generating the sales revenue. We can notice a certain increase in the ratio from 2018 to 2022. Which means that the company is able to utilize more of its inventory to generate its revenue from operations</t>
  </si>
  <si>
    <t>The Number of Days to convert the Inventory in the Cash Cycle has drastically reduced from 159.41 in 2018 to 132.81 days in 2022. This portrays a positive sign in the working of the company.</t>
  </si>
  <si>
    <t>This indicates the number of times average debtors have been converted into cash during a year. This is also referred to as the efficiency ratio that measures the company's ability to collect revenue. As the ratio has made a significant increase from 2018 to 2022, it showcases a positive sign for the company.</t>
  </si>
  <si>
    <t>The Number of Days to convert the Debtors in the Cash Cycle has drastically reduced from 174.55 in 2018 to 145.07 days in 2022. This portrays a positive sign in the working of the company.</t>
  </si>
  <si>
    <t>Accounts payable turnover ratio is a measure of your business's liquidity, or ability to pay its debts. The higher the accounts payable turnover ratio, the quicker your business pays its debts. Hence, it seems a negative view for the company as they are taking quite longer to clear their accounts payable</t>
  </si>
  <si>
    <t xml:space="preserve">Since the number of days have drastically increased from 90.48 in 2018 to 138.22 in 2022, the company portrays a negative outlook in making the payments to the Creditors. </t>
  </si>
  <si>
    <t>This shows How long it takes for the cash cycle to complete. The number of days for completion have decresaed by more than 100 days from 2018 to 2022, which shows a very good sign for the company</t>
  </si>
  <si>
    <t>The Debt Equity Ratio is very less for the company, which showcases that the company is safe and not risky</t>
  </si>
  <si>
    <t>The company's Interest Coverage Ration has drasticcally decreased from 2018 to 2022, but the number is still huge. This portrays that the company is safe and the investors will be paid</t>
  </si>
  <si>
    <t>The Total Debt Service Ratio has been highly varied for the company over the years as they had no dbt for a couple of years in this period. However, still the company has a good Total Debt Service Ratio, which portrays that the company is safe.</t>
  </si>
  <si>
    <t>BEL has very good Retention Ratio. Which shows that it is Growth Oriented and we can expect a higher growth of the company.</t>
  </si>
  <si>
    <t>The Current Ratio helps us understand the liquidity position of the company.Relatively the ratio has diminishingly reduced from 2018 to 2022, which is quite a negative sign</t>
  </si>
  <si>
    <t>On the contrary, the Quick Ratio has increased from 2018 and remained the same when compared to the previous year. This portrays a positive sign for the business,</t>
  </si>
  <si>
    <t>This ratio helps us understand that an investor needs to invest ₹ 10.95 to earn ₹ 1. In general, a high P/E suggests that investors are expecting higher earnings growth in the future compared to companies with a lower P/E. A low P/E can indicate either that a company may currently be undervalued or that the company is doing exceptionally well relative to its past trends.</t>
  </si>
  <si>
    <t>Traditionally, any value under 1.0 is considered a good P/B for value investors, indicating a potentially undervalued stock. However, value investors may often consider stocks with a P/B value under 3.0 as their benchmark. Hence, the ratio indicates that to hold ₹1 worth asset in the company he needs to pay ₹ 2.14</t>
  </si>
  <si>
    <t>When a company has "top-line growth," the company is experiencing an increase in gross sales or revenues. The bottom line is a company's net income, or the "bottom" figure on a company's income statement. Hence, we see a drastic decrease in the Top-Line and Bottom Line Growth of the Company. This should be considered as a concerning factor for BEL.</t>
  </si>
  <si>
    <t xml:space="preserve"> 8% to 12% can be considered as a good cagr for sales of a company with more than 10 years of experience into same business. Hence, BEL's CAGR should be considered good for the business</t>
  </si>
  <si>
    <t>Sales/Creditors</t>
  </si>
  <si>
    <t>Retention Ratio</t>
  </si>
  <si>
    <t>Bottom Line Growth</t>
  </si>
  <si>
    <t>Centum Electronics</t>
  </si>
  <si>
    <t>Max Performer in the Industry</t>
  </si>
  <si>
    <t>Min Performer in the 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</si>
</sst>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quot;₹&quot;\ * #,##0_ ;_ &quot;₹&quot;\ * \-#,##0_ ;_ &quot;₹&quot;\ * &quot;-&quot;_ ;_ @_ "/>
    <numFmt numFmtId="164" formatCode="_-[$$-409]* #,##0_ ;_-[$$-409]* \-#,##0\ ;_-[$$-409]* &quot;-&quot;_ ;_-@_ "/>
    <numFmt numFmtId="165" formatCode="_ &quot;₹&quot;\ * #,##0.00_ ;_ &quot;₹&quot;\ * \-#,##0.00_ ;_ &quot;₹&quot;\ * &quot;-&quot;_ ;_ @_ "/>
    <numFmt numFmtId="166" formatCode="0.000"/>
  </numFmts>
  <fonts count="25" x14ac:knownFonts="1">
    <font>
      <sz val="11"/>
      <color theme="1"/>
      <name val="Calibri"/>
      <family val="2"/>
      <scheme val="minor"/>
    </font>
    <font>
      <sz val="11"/>
      <color theme="1"/>
      <name val="Calibri"/>
      <family val="2"/>
      <scheme val="minor"/>
    </font>
    <font>
      <b/>
      <sz val="12"/>
      <name val="Times New Roman"/>
      <family val="1"/>
    </font>
    <font>
      <sz val="12"/>
      <name val="Times New Roman"/>
      <family val="1"/>
    </font>
    <font>
      <b/>
      <sz val="12"/>
      <color rgb="FF000000"/>
      <name val="Times New Roman"/>
      <family val="1"/>
    </font>
    <font>
      <sz val="12"/>
      <color rgb="FF000000"/>
      <name val="Times New Roman"/>
      <family val="1"/>
    </font>
    <font>
      <b/>
      <sz val="12"/>
      <color theme="1"/>
      <name val="Times New Roman"/>
      <family val="1"/>
    </font>
    <font>
      <sz val="12"/>
      <color theme="1"/>
      <name val="Times New Roman"/>
      <family val="1"/>
    </font>
    <font>
      <i/>
      <sz val="11"/>
      <name val="Times New Roman"/>
      <family val="1"/>
    </font>
    <font>
      <b/>
      <sz val="14"/>
      <color theme="1"/>
      <name val="Times New Roman"/>
      <family val="1"/>
    </font>
    <font>
      <b/>
      <sz val="14"/>
      <name val="Times New Roman"/>
      <family val="1"/>
    </font>
    <font>
      <b/>
      <sz val="12"/>
      <color theme="0"/>
      <name val="Times New Roman"/>
      <family val="1"/>
    </font>
    <font>
      <b/>
      <sz val="12"/>
      <color rgb="FF002060"/>
      <name val="Times New Roman"/>
      <family val="1"/>
    </font>
    <font>
      <sz val="12"/>
      <color rgb="FF002060"/>
      <name val="Times New Roman"/>
      <family val="1"/>
    </font>
    <font>
      <sz val="10"/>
      <color theme="1"/>
      <name val="Times New Roman"/>
      <family val="1"/>
    </font>
    <font>
      <b/>
      <sz val="22"/>
      <color theme="0"/>
      <name val="Times New Roman"/>
      <family val="1"/>
    </font>
    <font>
      <b/>
      <sz val="15"/>
      <color theme="1"/>
      <name val="Times New Roman"/>
      <family val="1"/>
    </font>
    <font>
      <b/>
      <sz val="15"/>
      <color theme="0"/>
      <name val="Times New Roman"/>
      <family val="1"/>
    </font>
    <font>
      <sz val="8"/>
      <name val="Calibri"/>
      <family val="2"/>
      <scheme val="minor"/>
    </font>
    <font>
      <u/>
      <sz val="11"/>
      <color theme="10"/>
      <name val="Calibri"/>
      <family val="2"/>
      <scheme val="minor"/>
    </font>
    <font>
      <sz val="12"/>
      <color theme="0"/>
      <name val="Times New Roman"/>
      <family val="1"/>
    </font>
    <font>
      <u/>
      <sz val="12"/>
      <color theme="10"/>
      <name val="Times New Roman"/>
      <family val="1"/>
    </font>
    <font>
      <b/>
      <sz val="11"/>
      <color theme="1"/>
      <name val="Calibri"/>
      <family val="2"/>
      <scheme val="minor"/>
    </font>
    <font>
      <b/>
      <sz val="28"/>
      <color theme="0"/>
      <name val="Abadi"/>
      <family val="2"/>
    </font>
    <font>
      <b/>
      <sz val="20"/>
      <color theme="1"/>
      <name val="Times New Roman"/>
      <family val="1"/>
    </font>
  </fonts>
  <fills count="23">
    <fill>
      <patternFill patternType="none"/>
    </fill>
    <fill>
      <patternFill patternType="gray125"/>
    </fill>
    <fill>
      <patternFill patternType="solid">
        <fgColor theme="6" tint="0.59999389629810485"/>
        <bgColor indexed="64"/>
      </patternFill>
    </fill>
    <fill>
      <patternFill patternType="solid">
        <fgColor theme="9"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1"/>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theme="5" tint="0.79998168889431442"/>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0"/>
        <bgColor theme="5" tint="0.79998168889431442"/>
      </patternFill>
    </fill>
  </fills>
  <borders count="3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theme="5" tint="0.39997558519241921"/>
      </top>
      <bottom style="thin">
        <color theme="5" tint="0.39997558519241921"/>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theme="5" tint="0.39997558519241921"/>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theme="5" tint="0.39997558519241921"/>
      </bottom>
      <diagonal/>
    </border>
    <border>
      <left style="medium">
        <color indexed="64"/>
      </left>
      <right style="medium">
        <color indexed="64"/>
      </right>
      <top style="thin">
        <color indexed="64"/>
      </top>
      <bottom style="thin">
        <color theme="5"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19" fillId="0" borderId="0" applyNumberFormat="0" applyFill="0" applyBorder="0" applyAlignment="0" applyProtection="0"/>
  </cellStyleXfs>
  <cellXfs count="352">
    <xf numFmtId="0" fontId="0" fillId="0" borderId="0" xfId="0"/>
    <xf numFmtId="0" fontId="3" fillId="2" borderId="0" xfId="0" applyFont="1" applyFill="1" applyAlignment="1">
      <alignment horizontal="left" vertical="top"/>
    </xf>
    <xf numFmtId="0" fontId="3" fillId="2" borderId="1" xfId="0" applyFont="1" applyFill="1" applyBorder="1" applyAlignment="1">
      <alignment horizontal="left" vertical="top"/>
    </xf>
    <xf numFmtId="0" fontId="3" fillId="2" borderId="6" xfId="0" applyFont="1" applyFill="1" applyBorder="1" applyAlignment="1">
      <alignment horizontal="left" vertical="top"/>
    </xf>
    <xf numFmtId="0" fontId="2" fillId="4" borderId="0" xfId="0" applyFont="1" applyFill="1" applyAlignment="1">
      <alignment horizontal="left" vertical="top"/>
    </xf>
    <xf numFmtId="0" fontId="2" fillId="4" borderId="0" xfId="0" applyFont="1" applyFill="1" applyAlignment="1">
      <alignment horizontal="center" vertical="top"/>
    </xf>
    <xf numFmtId="0" fontId="3" fillId="4" borderId="0" xfId="0" applyFont="1" applyFill="1" applyAlignment="1">
      <alignment horizontal="left" vertical="top"/>
    </xf>
    <xf numFmtId="10" fontId="3" fillId="4" borderId="0" xfId="1" applyNumberFormat="1" applyFont="1" applyFill="1" applyBorder="1" applyAlignment="1">
      <alignment horizontal="center" vertical="top"/>
    </xf>
    <xf numFmtId="0" fontId="2" fillId="5" borderId="0" xfId="0" applyFont="1" applyFill="1" applyAlignment="1">
      <alignment horizontal="left" vertical="top"/>
    </xf>
    <xf numFmtId="0" fontId="3" fillId="5" borderId="0" xfId="0" applyFont="1" applyFill="1" applyAlignment="1">
      <alignment horizontal="left" vertical="top"/>
    </xf>
    <xf numFmtId="0" fontId="3" fillId="5" borderId="0" xfId="0" applyFont="1" applyFill="1" applyAlignment="1">
      <alignment horizontal="center" vertical="top"/>
    </xf>
    <xf numFmtId="10" fontId="3" fillId="5" borderId="0" xfId="1" applyNumberFormat="1" applyFont="1" applyFill="1" applyBorder="1" applyAlignment="1">
      <alignment horizontal="center" vertical="top"/>
    </xf>
    <xf numFmtId="2" fontId="3" fillId="5" borderId="0" xfId="0" applyNumberFormat="1" applyFont="1" applyFill="1" applyAlignment="1">
      <alignment horizontal="center" vertical="top"/>
    </xf>
    <xf numFmtId="0" fontId="3" fillId="6" borderId="0" xfId="0" applyFont="1" applyFill="1" applyAlignment="1">
      <alignment horizontal="left" vertical="top"/>
    </xf>
    <xf numFmtId="0" fontId="3" fillId="6" borderId="0" xfId="0" applyFont="1" applyFill="1" applyAlignment="1">
      <alignment horizontal="center" vertical="top"/>
    </xf>
    <xf numFmtId="0" fontId="2" fillId="6" borderId="0" xfId="0" applyFont="1" applyFill="1" applyAlignment="1">
      <alignment horizontal="left" vertical="top"/>
    </xf>
    <xf numFmtId="10" fontId="3" fillId="6" borderId="0" xfId="1" applyNumberFormat="1" applyFont="1" applyFill="1" applyBorder="1" applyAlignment="1">
      <alignment horizontal="center" vertical="top"/>
    </xf>
    <xf numFmtId="0" fontId="2" fillId="7" borderId="0" xfId="0" applyFont="1" applyFill="1" applyAlignment="1">
      <alignment horizontal="left" vertical="top"/>
    </xf>
    <xf numFmtId="0" fontId="3" fillId="7" borderId="0" xfId="0" applyFont="1" applyFill="1" applyAlignment="1">
      <alignment horizontal="left" vertical="top"/>
    </xf>
    <xf numFmtId="0" fontId="3" fillId="7" borderId="0" xfId="0" applyFont="1" applyFill="1" applyAlignment="1">
      <alignment horizontal="center" vertical="top"/>
    </xf>
    <xf numFmtId="10" fontId="3" fillId="7" borderId="0" xfId="0" applyNumberFormat="1" applyFont="1" applyFill="1" applyAlignment="1">
      <alignment horizontal="center" vertical="top"/>
    </xf>
    <xf numFmtId="2" fontId="3" fillId="7" borderId="0" xfId="0" applyNumberFormat="1" applyFont="1" applyFill="1" applyAlignment="1">
      <alignment horizontal="center" vertical="top"/>
    </xf>
    <xf numFmtId="10" fontId="3" fillId="7" borderId="0" xfId="1" applyNumberFormat="1" applyFont="1" applyFill="1" applyBorder="1" applyAlignment="1">
      <alignment horizontal="center" vertical="top"/>
    </xf>
    <xf numFmtId="0" fontId="2" fillId="8" borderId="0" xfId="0" applyFont="1" applyFill="1" applyAlignment="1">
      <alignment horizontal="left" vertical="top"/>
    </xf>
    <xf numFmtId="0" fontId="3" fillId="8" borderId="0" xfId="0" applyFont="1" applyFill="1" applyAlignment="1">
      <alignment horizontal="left" vertical="top"/>
    </xf>
    <xf numFmtId="9" fontId="3" fillId="8" borderId="0" xfId="1" applyFont="1" applyFill="1" applyBorder="1" applyAlignment="1">
      <alignment horizontal="center" vertical="top"/>
    </xf>
    <xf numFmtId="10" fontId="3" fillId="8" borderId="0" xfId="1" applyNumberFormat="1" applyFont="1" applyFill="1" applyBorder="1" applyAlignment="1">
      <alignment horizontal="center" vertical="top"/>
    </xf>
    <xf numFmtId="2" fontId="3" fillId="8" borderId="0" xfId="0" applyNumberFormat="1" applyFont="1" applyFill="1" applyAlignment="1">
      <alignment horizontal="center" vertical="top"/>
    </xf>
    <xf numFmtId="0" fontId="2" fillId="9" borderId="0" xfId="0" applyFont="1" applyFill="1" applyAlignment="1">
      <alignment horizontal="left" vertical="top"/>
    </xf>
    <xf numFmtId="0" fontId="3" fillId="9" borderId="0" xfId="0" applyFont="1" applyFill="1" applyAlignment="1">
      <alignment horizontal="left" vertical="top"/>
    </xf>
    <xf numFmtId="0" fontId="3" fillId="9" borderId="0" xfId="0" applyFont="1" applyFill="1" applyAlignment="1">
      <alignment horizontal="center" vertical="top"/>
    </xf>
    <xf numFmtId="2" fontId="3" fillId="9" borderId="0" xfId="0" applyNumberFormat="1" applyFont="1" applyFill="1" applyAlignment="1">
      <alignment horizontal="center" vertical="top"/>
    </xf>
    <xf numFmtId="0" fontId="2" fillId="10" borderId="0" xfId="0" applyFont="1" applyFill="1" applyAlignment="1">
      <alignment horizontal="left" vertical="top"/>
    </xf>
    <xf numFmtId="0" fontId="3" fillId="10" borderId="0" xfId="0" applyFont="1" applyFill="1" applyAlignment="1">
      <alignment horizontal="left" vertical="top"/>
    </xf>
    <xf numFmtId="0" fontId="3" fillId="10" borderId="0" xfId="0" applyFont="1" applyFill="1" applyAlignment="1">
      <alignment horizontal="center" vertical="top"/>
    </xf>
    <xf numFmtId="4" fontId="3" fillId="10" borderId="0" xfId="0" applyNumberFormat="1" applyFont="1" applyFill="1" applyAlignment="1">
      <alignment horizontal="center" vertical="top"/>
    </xf>
    <xf numFmtId="2" fontId="3" fillId="10" borderId="0" xfId="0" applyNumberFormat="1" applyFont="1" applyFill="1" applyAlignment="1">
      <alignment horizontal="center" vertical="top"/>
    </xf>
    <xf numFmtId="0" fontId="2" fillId="11" borderId="0" xfId="0" applyFont="1" applyFill="1" applyAlignment="1">
      <alignment horizontal="left" vertical="top"/>
    </xf>
    <xf numFmtId="0" fontId="3" fillId="11" borderId="0" xfId="0" applyFont="1" applyFill="1" applyAlignment="1">
      <alignment horizontal="left" vertical="top"/>
    </xf>
    <xf numFmtId="0" fontId="3" fillId="11" borderId="0" xfId="0" applyFont="1" applyFill="1" applyAlignment="1">
      <alignment horizontal="center" vertical="top"/>
    </xf>
    <xf numFmtId="2" fontId="3" fillId="11" borderId="0" xfId="0" applyNumberFormat="1" applyFont="1" applyFill="1" applyAlignment="1">
      <alignment horizontal="center" vertical="top"/>
    </xf>
    <xf numFmtId="10" fontId="3" fillId="11" borderId="0" xfId="1" applyNumberFormat="1" applyFont="1" applyFill="1" applyBorder="1" applyAlignment="1">
      <alignment horizontal="center" vertical="top"/>
    </xf>
    <xf numFmtId="10" fontId="3" fillId="11" borderId="0" xfId="0" applyNumberFormat="1" applyFont="1" applyFill="1" applyAlignment="1">
      <alignment horizontal="center" vertical="top"/>
    </xf>
    <xf numFmtId="0" fontId="2" fillId="12" borderId="0" xfId="0" applyFont="1" applyFill="1" applyAlignment="1">
      <alignment horizontal="left" vertical="top"/>
    </xf>
    <xf numFmtId="0" fontId="3" fillId="12" borderId="0" xfId="0" applyFont="1" applyFill="1" applyAlignment="1">
      <alignment horizontal="left" vertical="top"/>
    </xf>
    <xf numFmtId="0" fontId="3" fillId="12" borderId="0" xfId="0" applyFont="1" applyFill="1" applyAlignment="1">
      <alignment horizontal="center" vertical="top"/>
    </xf>
    <xf numFmtId="2" fontId="3" fillId="12" borderId="0" xfId="0" applyNumberFormat="1" applyFont="1" applyFill="1" applyAlignment="1">
      <alignment horizontal="center" vertical="top"/>
    </xf>
    <xf numFmtId="0" fontId="2" fillId="13" borderId="0" xfId="0" applyFont="1" applyFill="1" applyAlignment="1">
      <alignment horizontal="left" vertical="top"/>
    </xf>
    <xf numFmtId="0" fontId="3" fillId="13" borderId="0" xfId="0" applyFont="1" applyFill="1" applyAlignment="1">
      <alignment horizontal="left" vertical="top"/>
    </xf>
    <xf numFmtId="0" fontId="3" fillId="13" borderId="0" xfId="0" applyFont="1" applyFill="1" applyAlignment="1">
      <alignment horizontal="center" vertical="top"/>
    </xf>
    <xf numFmtId="2" fontId="3" fillId="13" borderId="0" xfId="0" applyNumberFormat="1" applyFont="1" applyFill="1" applyAlignment="1">
      <alignment horizontal="center" vertical="top"/>
    </xf>
    <xf numFmtId="0" fontId="3" fillId="2" borderId="0" xfId="0" applyFont="1" applyFill="1" applyAlignment="1">
      <alignment vertical="top"/>
    </xf>
    <xf numFmtId="0" fontId="3" fillId="2" borderId="1" xfId="0" applyFont="1" applyFill="1" applyBorder="1" applyAlignment="1">
      <alignment vertical="top"/>
    </xf>
    <xf numFmtId="0" fontId="3" fillId="14" borderId="0" xfId="0" applyFont="1" applyFill="1" applyAlignment="1">
      <alignment horizontal="left" vertical="top"/>
    </xf>
    <xf numFmtId="0" fontId="3" fillId="14" borderId="0" xfId="0" applyFont="1" applyFill="1" applyAlignment="1">
      <alignment horizontal="center" vertical="top"/>
    </xf>
    <xf numFmtId="10" fontId="3" fillId="14" borderId="0" xfId="1" applyNumberFormat="1" applyFont="1" applyFill="1" applyAlignment="1">
      <alignment horizontal="center" vertical="top"/>
    </xf>
    <xf numFmtId="9" fontId="3" fillId="14" borderId="0" xfId="1" applyFont="1" applyFill="1" applyAlignment="1">
      <alignment horizontal="center" vertical="top"/>
    </xf>
    <xf numFmtId="0" fontId="2" fillId="19" borderId="0" xfId="0" applyFont="1" applyFill="1" applyAlignment="1">
      <alignment vertical="top"/>
    </xf>
    <xf numFmtId="0" fontId="2" fillId="20" borderId="2" xfId="0" applyFont="1" applyFill="1" applyBorder="1" applyAlignment="1">
      <alignment horizontal="center" vertical="center" wrapText="1"/>
    </xf>
    <xf numFmtId="0" fontId="2" fillId="20" borderId="2" xfId="0" applyFont="1" applyFill="1" applyBorder="1" applyAlignment="1">
      <alignment vertical="top" wrapText="1"/>
    </xf>
    <xf numFmtId="0" fontId="6" fillId="20" borderId="2" xfId="0" applyFont="1" applyFill="1" applyBorder="1" applyAlignment="1">
      <alignment horizontal="left" vertical="top"/>
    </xf>
    <xf numFmtId="0" fontId="7" fillId="20" borderId="2" xfId="0" applyFont="1" applyFill="1" applyBorder="1" applyAlignment="1">
      <alignment horizontal="left" vertical="top"/>
    </xf>
    <xf numFmtId="0" fontId="7" fillId="20" borderId="0" xfId="0" applyFont="1" applyFill="1"/>
    <xf numFmtId="0" fontId="7" fillId="20" borderId="2" xfId="0" applyFont="1" applyFill="1" applyBorder="1"/>
    <xf numFmtId="0" fontId="7" fillId="20" borderId="2" xfId="0" applyFont="1" applyFill="1" applyBorder="1" applyAlignment="1"/>
    <xf numFmtId="0" fontId="7" fillId="20" borderId="0" xfId="0" applyFont="1" applyFill="1" applyBorder="1"/>
    <xf numFmtId="0" fontId="2" fillId="20" borderId="0" xfId="0" applyFont="1" applyFill="1" applyBorder="1" applyAlignment="1">
      <alignment horizontal="center" vertical="top" wrapText="1"/>
    </xf>
    <xf numFmtId="0" fontId="7" fillId="20" borderId="2" xfId="0" applyFont="1" applyFill="1" applyBorder="1" applyAlignment="1">
      <alignment horizontal="left" indent="2"/>
    </xf>
    <xf numFmtId="0" fontId="7" fillId="20" borderId="2" xfId="0" applyFont="1" applyFill="1" applyBorder="1" applyAlignment="1">
      <alignment horizontal="left"/>
    </xf>
    <xf numFmtId="0" fontId="6" fillId="20" borderId="2" xfId="0" applyFont="1" applyFill="1" applyBorder="1" applyAlignment="1">
      <alignment horizontal="right"/>
    </xf>
    <xf numFmtId="0" fontId="6" fillId="20" borderId="2" xfId="0" applyFont="1" applyFill="1" applyBorder="1"/>
    <xf numFmtId="0" fontId="3" fillId="20" borderId="2" xfId="0" applyFont="1" applyFill="1" applyBorder="1" applyAlignment="1">
      <alignment horizontal="left" vertical="top" wrapText="1" indent="1"/>
    </xf>
    <xf numFmtId="0" fontId="3" fillId="20" borderId="2" xfId="0" applyFont="1" applyFill="1" applyBorder="1" applyAlignment="1">
      <alignment horizontal="left" vertical="top" wrapText="1" indent="3"/>
    </xf>
    <xf numFmtId="0" fontId="2" fillId="20" borderId="2" xfId="0" applyFont="1" applyFill="1" applyBorder="1" applyAlignment="1">
      <alignment horizontal="right" vertical="top" wrapText="1"/>
    </xf>
    <xf numFmtId="0" fontId="7" fillId="20" borderId="2" xfId="0" applyFont="1" applyFill="1" applyBorder="1" applyAlignment="1">
      <alignment horizontal="left" vertical="top" indent="1"/>
    </xf>
    <xf numFmtId="0" fontId="7" fillId="20" borderId="2" xfId="0" applyFont="1" applyFill="1" applyBorder="1" applyAlignment="1">
      <alignment horizontal="left" vertical="top" wrapText="1" indent="1"/>
    </xf>
    <xf numFmtId="0" fontId="7" fillId="20" borderId="2" xfId="0" applyFont="1" applyFill="1" applyBorder="1" applyAlignment="1">
      <alignment horizontal="left" vertical="top" indent="3"/>
    </xf>
    <xf numFmtId="0" fontId="6" fillId="20" borderId="2" xfId="0" applyFont="1" applyFill="1" applyBorder="1" applyAlignment="1">
      <alignment horizontal="right" vertical="top"/>
    </xf>
    <xf numFmtId="0" fontId="5" fillId="20" borderId="2" xfId="0" applyFont="1" applyFill="1" applyBorder="1" applyAlignment="1">
      <alignment horizontal="left" vertical="top" indent="1"/>
    </xf>
    <xf numFmtId="0" fontId="3" fillId="0" borderId="0" xfId="0" applyFont="1" applyAlignment="1">
      <alignment vertical="top"/>
    </xf>
    <xf numFmtId="0" fontId="7" fillId="0" borderId="0" xfId="0" applyFont="1" applyAlignment="1">
      <alignment horizontal="right" vertical="center" wrapText="1"/>
    </xf>
    <xf numFmtId="0" fontId="11" fillId="0" borderId="0" xfId="0" applyFont="1" applyAlignment="1">
      <alignment horizontal="center" vertical="center" wrapText="1"/>
    </xf>
    <xf numFmtId="0" fontId="12" fillId="17" borderId="7" xfId="0" applyFont="1" applyFill="1" applyBorder="1" applyAlignment="1">
      <alignment horizontal="center" vertical="center" wrapText="1"/>
    </xf>
    <xf numFmtId="0" fontId="12" fillId="17" borderId="8" xfId="0" applyFont="1" applyFill="1" applyBorder="1" applyAlignment="1">
      <alignment horizontal="center" vertical="center" wrapText="1"/>
    </xf>
    <xf numFmtId="0" fontId="7" fillId="0" borderId="0" xfId="0" applyFont="1" applyAlignment="1">
      <alignment horizontal="center" vertical="center" wrapText="1"/>
    </xf>
    <xf numFmtId="0" fontId="13" fillId="17" borderId="11" xfId="0" quotePrefix="1" applyFont="1" applyFill="1" applyBorder="1" applyAlignment="1">
      <alignment horizontal="center" vertical="center" wrapText="1"/>
    </xf>
    <xf numFmtId="0" fontId="13" fillId="17" borderId="12" xfId="0" applyFont="1" applyFill="1" applyBorder="1" applyAlignment="1">
      <alignment horizontal="center" vertical="center" wrapText="1"/>
    </xf>
    <xf numFmtId="0" fontId="7" fillId="0" borderId="9" xfId="0" applyFont="1" applyBorder="1" applyAlignment="1">
      <alignment horizontal="left" vertical="center" wrapText="1"/>
    </xf>
    <xf numFmtId="0" fontId="13" fillId="17" borderId="14" xfId="0" quotePrefix="1" applyFont="1" applyFill="1" applyBorder="1" applyAlignment="1">
      <alignment horizontal="center" vertical="center" wrapText="1"/>
    </xf>
    <xf numFmtId="0" fontId="13" fillId="17" borderId="15" xfId="0" applyFont="1" applyFill="1" applyBorder="1" applyAlignment="1">
      <alignment horizontal="center" vertical="center" wrapText="1"/>
    </xf>
    <xf numFmtId="0" fontId="13" fillId="17" borderId="16" xfId="0" quotePrefix="1" applyFont="1" applyFill="1" applyBorder="1" applyAlignment="1">
      <alignment horizontal="center" vertical="center" wrapText="1"/>
    </xf>
    <xf numFmtId="0" fontId="13" fillId="17" borderId="17" xfId="0" applyFont="1" applyFill="1" applyBorder="1" applyAlignment="1">
      <alignment horizontal="center" vertical="center" wrapText="1"/>
    </xf>
    <xf numFmtId="0" fontId="7" fillId="0" borderId="18" xfId="0" applyFont="1" applyBorder="1" applyAlignment="1">
      <alignment horizontal="left" vertical="center" wrapText="1"/>
    </xf>
    <xf numFmtId="0" fontId="7" fillId="0" borderId="0" xfId="0" applyFont="1" applyAlignment="1">
      <alignment horizontal="left" vertical="center" wrapText="1"/>
    </xf>
    <xf numFmtId="0" fontId="14" fillId="0" borderId="0" xfId="0" applyFont="1" applyAlignment="1">
      <alignment horizontal="right" vertical="center" wrapText="1"/>
    </xf>
    <xf numFmtId="0" fontId="7" fillId="0" borderId="29" xfId="0" applyFont="1" applyBorder="1" applyAlignment="1">
      <alignment horizontal="left" vertical="center" wrapText="1"/>
    </xf>
    <xf numFmtId="0" fontId="14" fillId="18" borderId="32" xfId="0" applyFont="1" applyFill="1" applyBorder="1" applyAlignment="1">
      <alignment horizontal="center" vertical="center" wrapText="1"/>
    </xf>
    <xf numFmtId="0" fontId="14" fillId="18" borderId="28" xfId="0" applyFont="1" applyFill="1" applyBorder="1" applyAlignment="1">
      <alignment horizontal="center" vertical="center" wrapText="1"/>
    </xf>
    <xf numFmtId="164" fontId="7" fillId="0" borderId="0" xfId="0" applyNumberFormat="1" applyFont="1" applyAlignment="1">
      <alignment horizontal="right" vertical="center" wrapText="1"/>
    </xf>
    <xf numFmtId="0" fontId="16" fillId="16" borderId="29" xfId="0" applyFont="1" applyFill="1" applyBorder="1" applyAlignment="1">
      <alignment horizontal="center" vertical="center" wrapText="1"/>
    </xf>
    <xf numFmtId="164" fontId="16" fillId="16" borderId="6" xfId="0" applyNumberFormat="1" applyFont="1" applyFill="1" applyBorder="1" applyAlignment="1">
      <alignment horizontal="center" vertical="center" wrapText="1"/>
    </xf>
    <xf numFmtId="0" fontId="17" fillId="16" borderId="29" xfId="0" applyFont="1" applyFill="1" applyBorder="1" applyAlignment="1">
      <alignment horizontal="center" vertical="center" wrapText="1"/>
    </xf>
    <xf numFmtId="0" fontId="17" fillId="16" borderId="6" xfId="0" applyFont="1" applyFill="1" applyBorder="1" applyAlignment="1">
      <alignment horizontal="center" vertical="center" wrapText="1"/>
    </xf>
    <xf numFmtId="0" fontId="17" fillId="16" borderId="30" xfId="0" applyFont="1" applyFill="1" applyBorder="1" applyAlignment="1">
      <alignment horizontal="center" vertical="center" wrapText="1"/>
    </xf>
    <xf numFmtId="164" fontId="3" fillId="2" borderId="1" xfId="0" applyNumberFormat="1" applyFont="1" applyFill="1" applyBorder="1" applyAlignment="1">
      <alignment horizontal="center" vertical="top"/>
    </xf>
    <xf numFmtId="10" fontId="3" fillId="2" borderId="0" xfId="1" applyNumberFormat="1" applyFont="1" applyFill="1" applyBorder="1" applyAlignment="1">
      <alignment horizontal="right" vertical="top"/>
    </xf>
    <xf numFmtId="10" fontId="3" fillId="0" borderId="0" xfId="1" applyNumberFormat="1" applyFont="1" applyAlignment="1">
      <alignment vertical="top"/>
    </xf>
    <xf numFmtId="10" fontId="3" fillId="0" borderId="0" xfId="1" applyNumberFormat="1" applyFont="1" applyAlignment="1">
      <alignment horizontal="center" vertical="top"/>
    </xf>
    <xf numFmtId="10" fontId="3" fillId="2" borderId="0" xfId="1" applyNumberFormat="1" applyFont="1" applyFill="1" applyAlignment="1">
      <alignment vertical="top"/>
    </xf>
    <xf numFmtId="10" fontId="3" fillId="2" borderId="1" xfId="1" applyNumberFormat="1" applyFont="1" applyFill="1" applyBorder="1" applyAlignment="1">
      <alignment vertical="top"/>
    </xf>
    <xf numFmtId="0" fontId="3" fillId="20" borderId="0" xfId="0" applyFont="1" applyFill="1" applyAlignment="1">
      <alignment vertical="top"/>
    </xf>
    <xf numFmtId="10" fontId="3" fillId="20" borderId="0" xfId="1" applyNumberFormat="1" applyFont="1" applyFill="1" applyAlignment="1">
      <alignment vertical="top"/>
    </xf>
    <xf numFmtId="10" fontId="3" fillId="20" borderId="0" xfId="1" applyNumberFormat="1" applyFont="1" applyFill="1" applyAlignment="1">
      <alignment horizontal="center" vertical="top"/>
    </xf>
    <xf numFmtId="10" fontId="3" fillId="20" borderId="0" xfId="1" applyNumberFormat="1" applyFont="1" applyFill="1" applyAlignment="1">
      <alignment horizontal="left" vertical="top"/>
    </xf>
    <xf numFmtId="0" fontId="7" fillId="20" borderId="2" xfId="0" applyFont="1" applyFill="1" applyBorder="1" applyAlignment="1">
      <alignment horizontal="left" indent="1"/>
    </xf>
    <xf numFmtId="0" fontId="7" fillId="20" borderId="2" xfId="0" applyFont="1" applyFill="1" applyBorder="1" applyAlignment="1">
      <alignment horizontal="left" indent="4"/>
    </xf>
    <xf numFmtId="0" fontId="7" fillId="20" borderId="2" xfId="0" applyFont="1" applyFill="1" applyBorder="1" applyAlignment="1">
      <alignment horizontal="left" wrapText="1" indent="2"/>
    </xf>
    <xf numFmtId="0" fontId="6" fillId="20" borderId="2" xfId="0" applyFont="1" applyFill="1" applyBorder="1" applyAlignment="1">
      <alignment horizontal="right" wrapText="1"/>
    </xf>
    <xf numFmtId="0" fontId="6" fillId="20" borderId="2" xfId="0" applyFont="1" applyFill="1" applyBorder="1" applyAlignment="1">
      <alignment horizontal="left"/>
    </xf>
    <xf numFmtId="0" fontId="6" fillId="20" borderId="2" xfId="0" applyFont="1" applyFill="1" applyBorder="1" applyAlignment="1">
      <alignment horizontal="left" wrapText="1" indent="8"/>
    </xf>
    <xf numFmtId="0" fontId="7" fillId="20" borderId="2" xfId="0" applyFont="1" applyFill="1" applyBorder="1" applyAlignment="1">
      <alignment horizontal="left" wrapText="1" indent="4"/>
    </xf>
    <xf numFmtId="0" fontId="6" fillId="20" borderId="2" xfId="0" applyFont="1" applyFill="1" applyBorder="1" applyAlignment="1">
      <alignment horizontal="left" indent="2"/>
    </xf>
    <xf numFmtId="0" fontId="3" fillId="20" borderId="2" xfId="0" applyFont="1" applyFill="1" applyBorder="1" applyAlignment="1">
      <alignment horizontal="left" vertical="top" wrapText="1" indent="2"/>
    </xf>
    <xf numFmtId="0" fontId="2" fillId="20" borderId="2" xfId="0" applyFont="1" applyFill="1" applyBorder="1" applyAlignment="1">
      <alignment horizontal="left" vertical="top" wrapText="1" indent="1"/>
    </xf>
    <xf numFmtId="0" fontId="3" fillId="20" borderId="2" xfId="0" applyFont="1" applyFill="1" applyBorder="1" applyAlignment="1">
      <alignment horizontal="left" vertical="top" wrapText="1" indent="4"/>
    </xf>
    <xf numFmtId="0" fontId="3" fillId="20" borderId="2" xfId="0" quotePrefix="1" applyFont="1" applyFill="1" applyBorder="1" applyAlignment="1">
      <alignment horizontal="left" vertical="top" wrapText="1" indent="4"/>
    </xf>
    <xf numFmtId="0" fontId="3" fillId="20" borderId="2" xfId="0" quotePrefix="1" applyFont="1" applyFill="1" applyBorder="1" applyAlignment="1">
      <alignment horizontal="left" vertical="top" wrapText="1" indent="2"/>
    </xf>
    <xf numFmtId="42" fontId="4" fillId="20" borderId="2" xfId="0" applyNumberFormat="1" applyFont="1" applyFill="1" applyBorder="1" applyAlignment="1">
      <alignment horizontal="center" vertical="center" wrapText="1"/>
    </xf>
    <xf numFmtId="42" fontId="7" fillId="20" borderId="2" xfId="0" applyNumberFormat="1" applyFont="1" applyFill="1" applyBorder="1" applyAlignment="1"/>
    <xf numFmtId="42" fontId="6" fillId="20" borderId="25" xfId="0" applyNumberFormat="1" applyFont="1" applyFill="1" applyBorder="1" applyAlignment="1"/>
    <xf numFmtId="42" fontId="7" fillId="20" borderId="24" xfId="0" applyNumberFormat="1" applyFont="1" applyFill="1" applyBorder="1" applyAlignment="1"/>
    <xf numFmtId="42" fontId="7" fillId="20" borderId="23" xfId="0" applyNumberFormat="1" applyFont="1" applyFill="1" applyBorder="1" applyAlignment="1"/>
    <xf numFmtId="42" fontId="6" fillId="20" borderId="23" xfId="0" applyNumberFormat="1" applyFont="1" applyFill="1" applyBorder="1" applyAlignment="1"/>
    <xf numFmtId="42" fontId="6" fillId="20" borderId="2" xfId="0" applyNumberFormat="1" applyFont="1" applyFill="1" applyBorder="1" applyAlignment="1"/>
    <xf numFmtId="42" fontId="7" fillId="20" borderId="0" xfId="0" applyNumberFormat="1" applyFont="1" applyFill="1" applyBorder="1" applyAlignment="1"/>
    <xf numFmtId="42" fontId="3" fillId="0" borderId="2" xfId="0" applyNumberFormat="1" applyFont="1" applyBorder="1" applyAlignment="1">
      <alignment vertical="top"/>
    </xf>
    <xf numFmtId="42" fontId="5" fillId="0" borderId="2" xfId="0" applyNumberFormat="1" applyFont="1" applyBorder="1" applyAlignment="1">
      <alignment vertical="top"/>
    </xf>
    <xf numFmtId="42" fontId="6" fillId="20" borderId="26" xfId="0" applyNumberFormat="1" applyFont="1" applyFill="1" applyBorder="1" applyAlignment="1"/>
    <xf numFmtId="42" fontId="3" fillId="20" borderId="2" xfId="0" applyNumberFormat="1" applyFont="1" applyFill="1" applyBorder="1" applyAlignment="1">
      <alignment vertical="top" wrapText="1"/>
    </xf>
    <xf numFmtId="42" fontId="3" fillId="20" borderId="2" xfId="0" applyNumberFormat="1" applyFont="1" applyFill="1" applyBorder="1" applyAlignment="1">
      <alignment wrapText="1"/>
    </xf>
    <xf numFmtId="42" fontId="3" fillId="20" borderId="2" xfId="0" applyNumberFormat="1" applyFont="1" applyFill="1" applyBorder="1" applyAlignment="1">
      <alignment vertical="top"/>
    </xf>
    <xf numFmtId="42" fontId="5" fillId="20" borderId="2" xfId="0" applyNumberFormat="1" applyFont="1" applyFill="1" applyBorder="1" applyAlignment="1">
      <alignment vertical="top"/>
    </xf>
    <xf numFmtId="42" fontId="3" fillId="20" borderId="2" xfId="0" applyNumberFormat="1" applyFont="1" applyFill="1" applyBorder="1" applyAlignment="1">
      <alignment vertical="top" shrinkToFit="1"/>
    </xf>
    <xf numFmtId="42" fontId="4" fillId="20" borderId="25" xfId="0" applyNumberFormat="1" applyFont="1" applyFill="1" applyBorder="1" applyAlignment="1">
      <alignment vertical="top"/>
    </xf>
    <xf numFmtId="42" fontId="3" fillId="20" borderId="24" xfId="0" applyNumberFormat="1" applyFont="1" applyFill="1" applyBorder="1" applyAlignment="1">
      <alignment vertical="top" wrapText="1"/>
    </xf>
    <xf numFmtId="42" fontId="3" fillId="20" borderId="24" xfId="0" applyNumberFormat="1" applyFont="1" applyFill="1" applyBorder="1" applyAlignment="1">
      <alignment vertical="top" shrinkToFit="1"/>
    </xf>
    <xf numFmtId="42" fontId="3" fillId="20" borderId="24" xfId="0" applyNumberFormat="1" applyFont="1" applyFill="1" applyBorder="1" applyAlignment="1">
      <alignment vertical="top"/>
    </xf>
    <xf numFmtId="42" fontId="5" fillId="20" borderId="24" xfId="0" applyNumberFormat="1" applyFont="1" applyFill="1" applyBorder="1" applyAlignment="1">
      <alignment vertical="top"/>
    </xf>
    <xf numFmtId="42" fontId="4" fillId="20" borderId="24" xfId="0" applyNumberFormat="1" applyFont="1" applyFill="1" applyBorder="1" applyAlignment="1">
      <alignment vertical="top"/>
    </xf>
    <xf numFmtId="42" fontId="2" fillId="20" borderId="2" xfId="0" applyNumberFormat="1" applyFont="1" applyFill="1" applyBorder="1" applyAlignment="1">
      <alignment vertical="top" wrapText="1"/>
    </xf>
    <xf numFmtId="42" fontId="3" fillId="20" borderId="23" xfId="0" applyNumberFormat="1" applyFont="1" applyFill="1" applyBorder="1" applyAlignment="1">
      <alignment vertical="top" wrapText="1"/>
    </xf>
    <xf numFmtId="42" fontId="3" fillId="20" borderId="23" xfId="0" applyNumberFormat="1" applyFont="1" applyFill="1" applyBorder="1" applyAlignment="1">
      <alignment vertical="top" shrinkToFit="1"/>
    </xf>
    <xf numFmtId="42" fontId="3" fillId="20" borderId="23" xfId="0" applyNumberFormat="1" applyFont="1" applyFill="1" applyBorder="1" applyAlignment="1">
      <alignment vertical="top"/>
    </xf>
    <xf numFmtId="42" fontId="5" fillId="20" borderId="23" xfId="0" applyNumberFormat="1" applyFont="1" applyFill="1" applyBorder="1" applyAlignment="1">
      <alignment vertical="top"/>
    </xf>
    <xf numFmtId="42" fontId="2" fillId="20" borderId="26" xfId="0" applyNumberFormat="1" applyFont="1" applyFill="1" applyBorder="1" applyAlignment="1">
      <alignment vertical="top" wrapText="1"/>
    </xf>
    <xf numFmtId="42" fontId="2" fillId="20" borderId="0" xfId="0" applyNumberFormat="1" applyFont="1" applyFill="1" applyBorder="1" applyAlignment="1">
      <alignment vertical="top" wrapText="1"/>
    </xf>
    <xf numFmtId="42" fontId="6" fillId="20" borderId="2" xfId="0" applyNumberFormat="1" applyFont="1" applyFill="1" applyBorder="1" applyAlignment="1">
      <alignment vertical="top"/>
    </xf>
    <xf numFmtId="42" fontId="7" fillId="20" borderId="2" xfId="0" applyNumberFormat="1" applyFont="1" applyFill="1" applyBorder="1" applyAlignment="1">
      <alignment vertical="top"/>
    </xf>
    <xf numFmtId="42" fontId="6" fillId="20" borderId="25" xfId="0" applyNumberFormat="1" applyFont="1" applyFill="1" applyBorder="1" applyAlignment="1">
      <alignment vertical="top"/>
    </xf>
    <xf numFmtId="42" fontId="7" fillId="20" borderId="24" xfId="0" applyNumberFormat="1" applyFont="1" applyFill="1" applyBorder="1" applyAlignment="1">
      <alignment vertical="top"/>
    </xf>
    <xf numFmtId="42" fontId="7" fillId="20" borderId="0" xfId="0" applyNumberFormat="1" applyFont="1" applyFill="1" applyAlignment="1"/>
    <xf numFmtId="0" fontId="6" fillId="20" borderId="2" xfId="0" applyFont="1" applyFill="1" applyBorder="1" applyAlignment="1">
      <alignment horizontal="left" vertical="top" indent="1"/>
    </xf>
    <xf numFmtId="0" fontId="6" fillId="20" borderId="2" xfId="0" applyFont="1" applyFill="1" applyBorder="1" applyAlignment="1">
      <alignment horizontal="right" vertical="top" indent="3"/>
    </xf>
    <xf numFmtId="42" fontId="7" fillId="20" borderId="25" xfId="0" applyNumberFormat="1" applyFont="1" applyFill="1" applyBorder="1" applyAlignment="1">
      <alignment vertical="top"/>
    </xf>
    <xf numFmtId="165" fontId="7" fillId="20" borderId="2" xfId="0" applyNumberFormat="1" applyFont="1" applyFill="1" applyBorder="1" applyAlignment="1"/>
    <xf numFmtId="42" fontId="6" fillId="20" borderId="24" xfId="0" applyNumberFormat="1" applyFont="1" applyFill="1" applyBorder="1" applyAlignment="1">
      <alignment vertical="top"/>
    </xf>
    <xf numFmtId="42" fontId="2" fillId="20" borderId="2" xfId="0" applyNumberFormat="1" applyFont="1" applyFill="1" applyBorder="1" applyAlignment="1">
      <alignment vertical="top"/>
    </xf>
    <xf numFmtId="42" fontId="6" fillId="20" borderId="22" xfId="0" applyNumberFormat="1" applyFont="1" applyFill="1" applyBorder="1" applyAlignment="1">
      <alignment vertical="top"/>
    </xf>
    <xf numFmtId="42" fontId="4" fillId="21" borderId="2" xfId="0" applyNumberFormat="1" applyFont="1" applyFill="1" applyBorder="1" applyAlignment="1">
      <alignment horizontal="center" vertical="center" wrapText="1"/>
    </xf>
    <xf numFmtId="42" fontId="7" fillId="21" borderId="2" xfId="0" applyNumberFormat="1" applyFont="1" applyFill="1" applyBorder="1" applyAlignment="1"/>
    <xf numFmtId="42" fontId="6" fillId="21" borderId="25" xfId="0" applyNumberFormat="1" applyFont="1" applyFill="1" applyBorder="1" applyAlignment="1"/>
    <xf numFmtId="42" fontId="7" fillId="21" borderId="24" xfId="0" applyNumberFormat="1" applyFont="1" applyFill="1" applyBorder="1" applyAlignment="1"/>
    <xf numFmtId="42" fontId="7" fillId="21" borderId="23" xfId="0" applyNumberFormat="1" applyFont="1" applyFill="1" applyBorder="1" applyAlignment="1"/>
    <xf numFmtId="42" fontId="6" fillId="21" borderId="26" xfId="0" applyNumberFormat="1" applyFont="1" applyFill="1" applyBorder="1" applyAlignment="1"/>
    <xf numFmtId="42" fontId="6" fillId="21" borderId="23" xfId="0" applyNumberFormat="1" applyFont="1" applyFill="1" applyBorder="1" applyAlignment="1"/>
    <xf numFmtId="42" fontId="6" fillId="21" borderId="2" xfId="0" applyNumberFormat="1" applyFont="1" applyFill="1" applyBorder="1" applyAlignment="1"/>
    <xf numFmtId="165" fontId="7" fillId="21" borderId="2" xfId="0" applyNumberFormat="1" applyFont="1" applyFill="1" applyBorder="1" applyAlignment="1"/>
    <xf numFmtId="42" fontId="5" fillId="21" borderId="2" xfId="0" applyNumberFormat="1" applyFont="1" applyFill="1" applyBorder="1" applyAlignment="1">
      <alignment vertical="top"/>
    </xf>
    <xf numFmtId="42" fontId="4" fillId="21" borderId="25" xfId="0" applyNumberFormat="1" applyFont="1" applyFill="1" applyBorder="1" applyAlignment="1">
      <alignment vertical="top"/>
    </xf>
    <xf numFmtId="42" fontId="5" fillId="21" borderId="24" xfId="0" applyNumberFormat="1" applyFont="1" applyFill="1" applyBorder="1" applyAlignment="1">
      <alignment vertical="top"/>
    </xf>
    <xf numFmtId="42" fontId="4" fillId="21" borderId="24" xfId="0" applyNumberFormat="1" applyFont="1" applyFill="1" applyBorder="1" applyAlignment="1">
      <alignment vertical="top"/>
    </xf>
    <xf numFmtId="42" fontId="5" fillId="21" borderId="23" xfId="0" applyNumberFormat="1" applyFont="1" applyFill="1" applyBorder="1" applyAlignment="1">
      <alignment vertical="top"/>
    </xf>
    <xf numFmtId="42" fontId="2" fillId="21" borderId="26" xfId="0" applyNumberFormat="1" applyFont="1" applyFill="1" applyBorder="1" applyAlignment="1">
      <alignment vertical="top" wrapText="1"/>
    </xf>
    <xf numFmtId="42" fontId="6" fillId="21" borderId="2" xfId="0" applyNumberFormat="1" applyFont="1" applyFill="1" applyBorder="1" applyAlignment="1">
      <alignment vertical="top"/>
    </xf>
    <xf numFmtId="42" fontId="7" fillId="21" borderId="2" xfId="0" applyNumberFormat="1" applyFont="1" applyFill="1" applyBorder="1" applyAlignment="1">
      <alignment vertical="top"/>
    </xf>
    <xf numFmtId="42" fontId="6" fillId="21" borderId="25" xfId="0" applyNumberFormat="1" applyFont="1" applyFill="1" applyBorder="1" applyAlignment="1">
      <alignment vertical="top"/>
    </xf>
    <xf numFmtId="42" fontId="7" fillId="21" borderId="24" xfId="0" applyNumberFormat="1" applyFont="1" applyFill="1" applyBorder="1" applyAlignment="1">
      <alignment vertical="top"/>
    </xf>
    <xf numFmtId="42" fontId="7" fillId="21" borderId="25" xfId="0" applyNumberFormat="1" applyFont="1" applyFill="1" applyBorder="1" applyAlignment="1">
      <alignment vertical="top"/>
    </xf>
    <xf numFmtId="42" fontId="6" fillId="21" borderId="24" xfId="0" applyNumberFormat="1" applyFont="1" applyFill="1" applyBorder="1" applyAlignment="1">
      <alignment vertical="top"/>
    </xf>
    <xf numFmtId="42" fontId="6" fillId="21" borderId="22" xfId="0" applyNumberFormat="1" applyFont="1" applyFill="1" applyBorder="1" applyAlignment="1">
      <alignment vertical="top"/>
    </xf>
    <xf numFmtId="42" fontId="3" fillId="2" borderId="0" xfId="0" applyNumberFormat="1" applyFont="1" applyFill="1" applyAlignment="1">
      <alignment horizontal="center" vertical="top"/>
    </xf>
    <xf numFmtId="42" fontId="3" fillId="2" borderId="1" xfId="0" applyNumberFormat="1" applyFont="1" applyFill="1" applyBorder="1" applyAlignment="1">
      <alignment horizontal="center" vertical="top"/>
    </xf>
    <xf numFmtId="42" fontId="3" fillId="2" borderId="6" xfId="0" applyNumberFormat="1" applyFont="1" applyFill="1" applyBorder="1" applyAlignment="1">
      <alignment horizontal="center" vertical="top"/>
    </xf>
    <xf numFmtId="0" fontId="3" fillId="2" borderId="6" xfId="0" applyFont="1" applyFill="1" applyBorder="1" applyAlignment="1">
      <alignment vertical="top"/>
    </xf>
    <xf numFmtId="10" fontId="3" fillId="2" borderId="27" xfId="1" applyNumberFormat="1" applyFont="1" applyFill="1" applyBorder="1" applyAlignment="1">
      <alignment vertical="top"/>
    </xf>
    <xf numFmtId="10" fontId="7" fillId="20" borderId="2" xfId="0" applyNumberFormat="1" applyFont="1" applyFill="1" applyBorder="1" applyAlignment="1"/>
    <xf numFmtId="10" fontId="7" fillId="21" borderId="2" xfId="0" applyNumberFormat="1" applyFont="1" applyFill="1" applyBorder="1" applyAlignment="1"/>
    <xf numFmtId="10" fontId="7" fillId="20" borderId="24" xfId="0" applyNumberFormat="1" applyFont="1" applyFill="1" applyBorder="1" applyAlignment="1"/>
    <xf numFmtId="10" fontId="7" fillId="21" borderId="24" xfId="0" applyNumberFormat="1" applyFont="1" applyFill="1" applyBorder="1" applyAlignment="1"/>
    <xf numFmtId="9" fontId="3" fillId="20" borderId="2" xfId="1" applyFont="1" applyFill="1" applyBorder="1" applyAlignment="1">
      <alignment vertical="top" wrapText="1"/>
    </xf>
    <xf numFmtId="9" fontId="3" fillId="20" borderId="2" xfId="1" applyFont="1" applyFill="1" applyBorder="1" applyAlignment="1">
      <alignment wrapText="1"/>
    </xf>
    <xf numFmtId="9" fontId="3" fillId="20" borderId="2" xfId="1" applyFont="1" applyFill="1" applyBorder="1" applyAlignment="1">
      <alignment vertical="top"/>
    </xf>
    <xf numFmtId="9" fontId="5" fillId="20" borderId="2" xfId="1" applyFont="1" applyFill="1" applyBorder="1" applyAlignment="1">
      <alignment vertical="top"/>
    </xf>
    <xf numFmtId="9" fontId="5" fillId="21" borderId="2" xfId="1" applyFont="1" applyFill="1" applyBorder="1" applyAlignment="1">
      <alignment vertical="top"/>
    </xf>
    <xf numFmtId="10" fontId="7" fillId="20" borderId="25" xfId="0" applyNumberFormat="1" applyFont="1" applyFill="1" applyBorder="1" applyAlignment="1"/>
    <xf numFmtId="10" fontId="7" fillId="20" borderId="26" xfId="0" applyNumberFormat="1" applyFont="1" applyFill="1" applyBorder="1" applyAlignment="1"/>
    <xf numFmtId="10" fontId="7" fillId="20" borderId="23" xfId="0" applyNumberFormat="1" applyFont="1" applyFill="1" applyBorder="1" applyAlignment="1"/>
    <xf numFmtId="10" fontId="7" fillId="21" borderId="25" xfId="0" applyNumberFormat="1" applyFont="1" applyFill="1" applyBorder="1" applyAlignment="1"/>
    <xf numFmtId="10" fontId="7" fillId="21" borderId="23" xfId="0" applyNumberFormat="1" applyFont="1" applyFill="1" applyBorder="1" applyAlignment="1"/>
    <xf numFmtId="10" fontId="7" fillId="21" borderId="26" xfId="0" applyNumberFormat="1" applyFont="1" applyFill="1" applyBorder="1" applyAlignment="1"/>
    <xf numFmtId="10" fontId="20" fillId="3" borderId="2" xfId="1" applyNumberFormat="1" applyFont="1" applyFill="1" applyBorder="1" applyAlignment="1">
      <alignment horizontal="center" vertical="top"/>
    </xf>
    <xf numFmtId="1" fontId="2" fillId="2" borderId="0" xfId="1" applyNumberFormat="1" applyFont="1" applyFill="1" applyAlignment="1">
      <alignment horizontal="center" vertical="top"/>
    </xf>
    <xf numFmtId="1" fontId="11" fillId="3" borderId="2" xfId="1" applyNumberFormat="1" applyFont="1" applyFill="1" applyBorder="1" applyAlignment="1">
      <alignment horizontal="center" vertical="top"/>
    </xf>
    <xf numFmtId="1" fontId="3" fillId="13" borderId="0" xfId="0" applyNumberFormat="1" applyFont="1" applyFill="1" applyAlignment="1">
      <alignment horizontal="center" vertical="top"/>
    </xf>
    <xf numFmtId="0" fontId="3" fillId="20" borderId="33" xfId="0" applyFont="1" applyFill="1" applyBorder="1" applyAlignment="1">
      <alignment horizontal="left" vertical="top"/>
    </xf>
    <xf numFmtId="0" fontId="3" fillId="20" borderId="34" xfId="0" applyFont="1" applyFill="1" applyBorder="1" applyAlignment="1">
      <alignment horizontal="left" vertical="top"/>
    </xf>
    <xf numFmtId="0" fontId="3" fillId="20" borderId="34" xfId="0" applyFont="1" applyFill="1" applyBorder="1" applyAlignment="1">
      <alignment horizontal="center" vertical="top"/>
    </xf>
    <xf numFmtId="0" fontId="3" fillId="20" borderId="35" xfId="0" applyFont="1" applyFill="1" applyBorder="1" applyAlignment="1">
      <alignment horizontal="center" vertical="top"/>
    </xf>
    <xf numFmtId="0" fontId="3" fillId="20" borderId="9" xfId="0" applyFont="1" applyFill="1" applyBorder="1" applyAlignment="1">
      <alignment horizontal="left" vertical="top"/>
    </xf>
    <xf numFmtId="0" fontId="3" fillId="20" borderId="0" xfId="0" applyFont="1" applyFill="1" applyBorder="1" applyAlignment="1">
      <alignment horizontal="left" vertical="top"/>
    </xf>
    <xf numFmtId="0" fontId="3" fillId="20" borderId="0" xfId="0" applyFont="1" applyFill="1" applyBorder="1" applyAlignment="1">
      <alignment horizontal="center" vertical="top"/>
    </xf>
    <xf numFmtId="0" fontId="3" fillId="20" borderId="10" xfId="0" applyFont="1" applyFill="1" applyBorder="1" applyAlignment="1">
      <alignment horizontal="center" vertical="top"/>
    </xf>
    <xf numFmtId="0" fontId="3" fillId="20" borderId="18" xfId="0" applyFont="1" applyFill="1" applyBorder="1" applyAlignment="1">
      <alignment horizontal="left" vertical="top"/>
    </xf>
    <xf numFmtId="0" fontId="3" fillId="20" borderId="19" xfId="0" applyFont="1" applyFill="1" applyBorder="1" applyAlignment="1">
      <alignment horizontal="left" vertical="top"/>
    </xf>
    <xf numFmtId="0" fontId="3" fillId="20" borderId="19" xfId="0" applyFont="1" applyFill="1" applyBorder="1" applyAlignment="1">
      <alignment horizontal="center" vertical="top"/>
    </xf>
    <xf numFmtId="0" fontId="3" fillId="20" borderId="20" xfId="0" applyFont="1" applyFill="1" applyBorder="1" applyAlignment="1">
      <alignment horizontal="center" vertical="top"/>
    </xf>
    <xf numFmtId="0" fontId="2" fillId="20" borderId="2" xfId="0" applyFont="1" applyFill="1" applyBorder="1" applyAlignment="1">
      <alignment horizontal="left" vertical="top" wrapText="1"/>
    </xf>
    <xf numFmtId="0" fontId="21" fillId="20" borderId="0" xfId="2" applyFont="1" applyFill="1"/>
    <xf numFmtId="42" fontId="3" fillId="11" borderId="0" xfId="0" applyNumberFormat="1" applyFont="1" applyFill="1" applyAlignment="1">
      <alignment horizontal="center" vertical="top"/>
    </xf>
    <xf numFmtId="0" fontId="22" fillId="0" borderId="0" xfId="0" applyFont="1" applyAlignment="1">
      <alignment horizontal="center" vertical="center" wrapText="1"/>
    </xf>
    <xf numFmtId="10" fontId="7" fillId="0" borderId="2" xfId="1" applyNumberFormat="1" applyFont="1" applyBorder="1"/>
    <xf numFmtId="166" fontId="7" fillId="0" borderId="2" xfId="0" applyNumberFormat="1" applyFont="1" applyBorder="1"/>
    <xf numFmtId="2" fontId="7" fillId="0" borderId="2" xfId="0" applyNumberFormat="1" applyFont="1" applyBorder="1"/>
    <xf numFmtId="166" fontId="3" fillId="10" borderId="0" xfId="0" applyNumberFormat="1" applyFont="1" applyFill="1" applyAlignment="1">
      <alignment horizontal="center" vertical="top"/>
    </xf>
    <xf numFmtId="0" fontId="0" fillId="20" borderId="0" xfId="0" applyFill="1"/>
    <xf numFmtId="42" fontId="3" fillId="2" borderId="0" xfId="0" applyNumberFormat="1" applyFont="1" applyFill="1" applyAlignment="1">
      <alignment horizontal="right" vertical="top"/>
    </xf>
    <xf numFmtId="42" fontId="3" fillId="2" borderId="1" xfId="0" applyNumberFormat="1" applyFont="1" applyFill="1" applyBorder="1" applyAlignment="1">
      <alignment horizontal="right" vertical="top"/>
    </xf>
    <xf numFmtId="42" fontId="3" fillId="2" borderId="6" xfId="0" applyNumberFormat="1" applyFont="1" applyFill="1" applyBorder="1" applyAlignment="1">
      <alignment horizontal="right" vertical="top"/>
    </xf>
    <xf numFmtId="164" fontId="3" fillId="2" borderId="1" xfId="0" applyNumberFormat="1" applyFont="1" applyFill="1" applyBorder="1" applyAlignment="1">
      <alignment horizontal="right" vertical="top"/>
    </xf>
    <xf numFmtId="0" fontId="2" fillId="4" borderId="0" xfId="0" applyFont="1" applyFill="1" applyAlignment="1">
      <alignment horizontal="right" vertical="top"/>
    </xf>
    <xf numFmtId="10" fontId="3" fillId="4" borderId="0" xfId="1" applyNumberFormat="1" applyFont="1" applyFill="1" applyBorder="1" applyAlignment="1">
      <alignment horizontal="right" vertical="top"/>
    </xf>
    <xf numFmtId="0" fontId="3" fillId="5" borderId="0" xfId="0" applyFont="1" applyFill="1" applyAlignment="1">
      <alignment horizontal="right" vertical="top"/>
    </xf>
    <xf numFmtId="10" fontId="3" fillId="5" borderId="0" xfId="1" applyNumberFormat="1" applyFont="1" applyFill="1" applyBorder="1" applyAlignment="1">
      <alignment horizontal="right" vertical="top"/>
    </xf>
    <xf numFmtId="2" fontId="3" fillId="5" borderId="0" xfId="0" applyNumberFormat="1" applyFont="1" applyFill="1" applyAlignment="1">
      <alignment horizontal="right" vertical="top"/>
    </xf>
    <xf numFmtId="0" fontId="3" fillId="6" borderId="0" xfId="0" applyFont="1" applyFill="1" applyAlignment="1">
      <alignment horizontal="right" vertical="top"/>
    </xf>
    <xf numFmtId="10" fontId="3" fillId="6" borderId="0" xfId="1" applyNumberFormat="1" applyFont="1" applyFill="1" applyBorder="1" applyAlignment="1">
      <alignment horizontal="right" vertical="top"/>
    </xf>
    <xf numFmtId="0" fontId="3" fillId="7" borderId="0" xfId="0" applyFont="1" applyFill="1" applyAlignment="1">
      <alignment horizontal="right" vertical="top"/>
    </xf>
    <xf numFmtId="10" fontId="3" fillId="7" borderId="0" xfId="0" applyNumberFormat="1" applyFont="1" applyFill="1" applyAlignment="1">
      <alignment horizontal="right" vertical="top"/>
    </xf>
    <xf numFmtId="2" fontId="3" fillId="7" borderId="0" xfId="0" applyNumberFormat="1" applyFont="1" applyFill="1" applyAlignment="1">
      <alignment horizontal="right" vertical="top"/>
    </xf>
    <xf numFmtId="10" fontId="3" fillId="7" borderId="0" xfId="1" applyNumberFormat="1" applyFont="1" applyFill="1" applyBorder="1" applyAlignment="1">
      <alignment horizontal="right" vertical="top"/>
    </xf>
    <xf numFmtId="9" fontId="3" fillId="8" borderId="0" xfId="1" applyFont="1" applyFill="1" applyBorder="1" applyAlignment="1">
      <alignment horizontal="right" vertical="top"/>
    </xf>
    <xf numFmtId="10" fontId="3" fillId="8" borderId="0" xfId="1" applyNumberFormat="1" applyFont="1" applyFill="1" applyBorder="1" applyAlignment="1">
      <alignment horizontal="right" vertical="top"/>
    </xf>
    <xf numFmtId="2" fontId="3" fillId="8" borderId="0" xfId="0" applyNumberFormat="1" applyFont="1" applyFill="1" applyAlignment="1">
      <alignment horizontal="right" vertical="top"/>
    </xf>
    <xf numFmtId="0" fontId="3" fillId="9" borderId="0" xfId="0" applyFont="1" applyFill="1" applyAlignment="1">
      <alignment horizontal="right" vertical="top"/>
    </xf>
    <xf numFmtId="2" fontId="3" fillId="9" borderId="0" xfId="0" applyNumberFormat="1" applyFont="1" applyFill="1" applyAlignment="1">
      <alignment horizontal="right" vertical="top"/>
    </xf>
    <xf numFmtId="0" fontId="3" fillId="10" borderId="0" xfId="0" applyFont="1" applyFill="1" applyAlignment="1">
      <alignment horizontal="right" vertical="top"/>
    </xf>
    <xf numFmtId="166" fontId="3" fillId="10" borderId="0" xfId="0" applyNumberFormat="1" applyFont="1" applyFill="1" applyAlignment="1">
      <alignment horizontal="right" vertical="top"/>
    </xf>
    <xf numFmtId="2" fontId="3" fillId="10" borderId="0" xfId="0" applyNumberFormat="1" applyFont="1" applyFill="1" applyAlignment="1">
      <alignment horizontal="right" vertical="top"/>
    </xf>
    <xf numFmtId="0" fontId="3" fillId="11" borderId="0" xfId="0" applyFont="1" applyFill="1" applyAlignment="1">
      <alignment horizontal="right" vertical="top"/>
    </xf>
    <xf numFmtId="2" fontId="3" fillId="11" borderId="0" xfId="0" applyNumberFormat="1" applyFont="1" applyFill="1" applyAlignment="1">
      <alignment horizontal="right" vertical="top"/>
    </xf>
    <xf numFmtId="10" fontId="3" fillId="11" borderId="0" xfId="1" applyNumberFormat="1" applyFont="1" applyFill="1" applyBorder="1" applyAlignment="1">
      <alignment horizontal="right" vertical="top"/>
    </xf>
    <xf numFmtId="10" fontId="3" fillId="11" borderId="0" xfId="0" applyNumberFormat="1" applyFont="1" applyFill="1" applyAlignment="1">
      <alignment horizontal="right" vertical="top"/>
    </xf>
    <xf numFmtId="0" fontId="3" fillId="12" borderId="0" xfId="0" applyFont="1" applyFill="1" applyAlignment="1">
      <alignment horizontal="right" vertical="top"/>
    </xf>
    <xf numFmtId="2" fontId="3" fillId="12" borderId="0" xfId="0" applyNumberFormat="1" applyFont="1" applyFill="1" applyAlignment="1">
      <alignment horizontal="right" vertical="top"/>
    </xf>
    <xf numFmtId="0" fontId="3" fillId="13" borderId="0" xfId="0" applyFont="1" applyFill="1" applyAlignment="1">
      <alignment horizontal="right" vertical="top"/>
    </xf>
    <xf numFmtId="2" fontId="3" fillId="13" borderId="0" xfId="0" applyNumberFormat="1" applyFont="1" applyFill="1" applyAlignment="1">
      <alignment horizontal="right" vertical="top"/>
    </xf>
    <xf numFmtId="1" fontId="3" fillId="13" borderId="0" xfId="0" applyNumberFormat="1" applyFont="1" applyFill="1" applyAlignment="1">
      <alignment horizontal="right" vertical="top"/>
    </xf>
    <xf numFmtId="0" fontId="3" fillId="14" borderId="0" xfId="0" applyFont="1" applyFill="1" applyAlignment="1">
      <alignment horizontal="right" vertical="top"/>
    </xf>
    <xf numFmtId="10" fontId="3" fillId="14" borderId="0" xfId="1" applyNumberFormat="1" applyFont="1" applyFill="1" applyAlignment="1">
      <alignment horizontal="right" vertical="top"/>
    </xf>
    <xf numFmtId="9" fontId="3" fillId="14" borderId="0" xfId="1" applyFont="1" applyFill="1" applyAlignment="1">
      <alignment horizontal="right" vertical="top"/>
    </xf>
    <xf numFmtId="42" fontId="3" fillId="11" borderId="0" xfId="0" applyNumberFormat="1" applyFont="1" applyFill="1" applyAlignment="1">
      <alignment horizontal="right" vertical="top"/>
    </xf>
    <xf numFmtId="0" fontId="2" fillId="2" borderId="0" xfId="0" applyFont="1" applyFill="1" applyAlignment="1">
      <alignment horizontal="center" vertical="top"/>
    </xf>
    <xf numFmtId="0" fontId="2" fillId="2" borderId="0" xfId="0" applyFont="1" applyFill="1" applyAlignment="1">
      <alignment horizontal="left" vertical="top"/>
    </xf>
    <xf numFmtId="0" fontId="7" fillId="20" borderId="0" xfId="0" applyFont="1" applyFill="1" applyAlignment="1"/>
    <xf numFmtId="0" fontId="14" fillId="22" borderId="32" xfId="0" applyFont="1" applyFill="1" applyBorder="1" applyAlignment="1">
      <alignment horizontal="center" vertical="center" wrapText="1"/>
    </xf>
    <xf numFmtId="0" fontId="6" fillId="6" borderId="2" xfId="0" applyFont="1" applyFill="1" applyBorder="1" applyAlignment="1">
      <alignment horizontal="center" vertical="center" wrapText="1"/>
    </xf>
    <xf numFmtId="10" fontId="7" fillId="21" borderId="2" xfId="1" applyNumberFormat="1" applyFont="1" applyFill="1" applyBorder="1"/>
    <xf numFmtId="3" fontId="3" fillId="10" borderId="0" xfId="0" applyNumberFormat="1" applyFont="1" applyFill="1" applyAlignment="1">
      <alignment horizontal="right" vertical="top"/>
    </xf>
    <xf numFmtId="0" fontId="6" fillId="20" borderId="0" xfId="0" applyFont="1" applyFill="1" applyAlignment="1">
      <alignment horizontal="center"/>
    </xf>
    <xf numFmtId="2" fontId="7" fillId="0" borderId="2" xfId="1" applyNumberFormat="1" applyFont="1" applyBorder="1"/>
    <xf numFmtId="2" fontId="0" fillId="0" borderId="0" xfId="0" applyNumberFormat="1"/>
    <xf numFmtId="2" fontId="7" fillId="21" borderId="2" xfId="1" applyNumberFormat="1" applyFont="1" applyFill="1" applyBorder="1"/>
    <xf numFmtId="0" fontId="24" fillId="18" borderId="31" xfId="0" quotePrefix="1" applyFont="1" applyFill="1" applyBorder="1" applyAlignment="1">
      <alignment horizontal="center" vertical="center" wrapText="1"/>
    </xf>
    <xf numFmtId="0" fontId="24" fillId="0" borderId="13" xfId="0" quotePrefix="1" applyFont="1" applyBorder="1" applyAlignment="1">
      <alignment horizontal="center" vertical="center" wrapText="1"/>
    </xf>
    <xf numFmtId="0" fontId="24" fillId="18" borderId="13" xfId="0" quotePrefix="1" applyFont="1" applyFill="1" applyBorder="1" applyAlignment="1">
      <alignment horizontal="center" vertical="center" wrapText="1"/>
    </xf>
    <xf numFmtId="0" fontId="24" fillId="18" borderId="21" xfId="0" quotePrefix="1" applyFont="1" applyFill="1" applyBorder="1" applyAlignment="1">
      <alignment horizontal="center" vertical="center" wrapText="1"/>
    </xf>
    <xf numFmtId="0" fontId="7" fillId="0" borderId="34" xfId="0" applyFont="1" applyBorder="1" applyAlignment="1">
      <alignment horizontal="left" vertical="center" wrapText="1"/>
    </xf>
    <xf numFmtId="42" fontId="7" fillId="0" borderId="34" xfId="0" applyNumberFormat="1" applyFont="1" applyBorder="1" applyAlignment="1">
      <alignment horizontal="right" vertical="center" wrapText="1"/>
    </xf>
    <xf numFmtId="165" fontId="7" fillId="0" borderId="6" xfId="0" applyNumberFormat="1" applyFont="1" applyBorder="1" applyAlignment="1">
      <alignment horizontal="right" vertical="center" wrapText="1"/>
    </xf>
    <xf numFmtId="165" fontId="7" fillId="0" borderId="30" xfId="0" applyNumberFormat="1" applyFont="1" applyBorder="1" applyAlignment="1">
      <alignment horizontal="right" vertical="center" wrapText="1"/>
    </xf>
    <xf numFmtId="165" fontId="7" fillId="0" borderId="0" xfId="0" applyNumberFormat="1" applyFont="1" applyBorder="1" applyAlignment="1">
      <alignment horizontal="right" vertical="center" wrapText="1"/>
    </xf>
    <xf numFmtId="165" fontId="7" fillId="0" borderId="10" xfId="0" applyNumberFormat="1" applyFont="1" applyBorder="1" applyAlignment="1">
      <alignment horizontal="right" vertical="center" wrapText="1"/>
    </xf>
    <xf numFmtId="165" fontId="7" fillId="0" borderId="19" xfId="0" applyNumberFormat="1" applyFont="1" applyBorder="1" applyAlignment="1">
      <alignment horizontal="right" vertical="center" wrapText="1"/>
    </xf>
    <xf numFmtId="165" fontId="7" fillId="0" borderId="20" xfId="0" applyNumberFormat="1" applyFont="1" applyBorder="1" applyAlignment="1">
      <alignment horizontal="right" vertical="center" wrapText="1"/>
    </xf>
    <xf numFmtId="0" fontId="11" fillId="3" borderId="2" xfId="0" applyFont="1" applyFill="1" applyBorder="1" applyAlignment="1">
      <alignment horizontal="center" vertical="top"/>
    </xf>
    <xf numFmtId="0" fontId="2" fillId="0" borderId="0" xfId="0" applyFont="1" applyAlignment="1">
      <alignment horizontal="center" vertical="top"/>
    </xf>
    <xf numFmtId="0" fontId="6" fillId="20" borderId="3" xfId="0" applyFont="1" applyFill="1" applyBorder="1" applyAlignment="1">
      <alignment horizontal="center"/>
    </xf>
    <xf numFmtId="0" fontId="6" fillId="20" borderId="4" xfId="0" applyFont="1" applyFill="1" applyBorder="1" applyAlignment="1">
      <alignment horizontal="center"/>
    </xf>
    <xf numFmtId="0" fontId="6" fillId="20" borderId="5" xfId="0" applyFont="1" applyFill="1" applyBorder="1" applyAlignment="1">
      <alignment horizontal="center"/>
    </xf>
    <xf numFmtId="0" fontId="10" fillId="20" borderId="2" xfId="0" applyFont="1" applyFill="1" applyBorder="1" applyAlignment="1">
      <alignment horizontal="center" vertical="top"/>
    </xf>
    <xf numFmtId="0" fontId="8" fillId="20" borderId="2" xfId="0" applyFont="1" applyFill="1" applyBorder="1" applyAlignment="1">
      <alignment horizontal="center" vertical="top"/>
    </xf>
    <xf numFmtId="0" fontId="9" fillId="20" borderId="3" xfId="0" applyFont="1" applyFill="1" applyBorder="1" applyAlignment="1">
      <alignment horizontal="center" vertical="top"/>
    </xf>
    <xf numFmtId="0" fontId="9" fillId="20" borderId="4" xfId="0" applyFont="1" applyFill="1" applyBorder="1" applyAlignment="1">
      <alignment horizontal="center" vertical="top"/>
    </xf>
    <xf numFmtId="0" fontId="9" fillId="20" borderId="5" xfId="0" applyFont="1" applyFill="1" applyBorder="1" applyAlignment="1">
      <alignment horizontal="center" vertical="top"/>
    </xf>
    <xf numFmtId="0" fontId="7" fillId="20" borderId="0" xfId="0" applyFont="1" applyFill="1" applyBorder="1" applyAlignment="1">
      <alignment horizontal="center"/>
    </xf>
    <xf numFmtId="0" fontId="2" fillId="20" borderId="3" xfId="0" applyFont="1" applyFill="1" applyBorder="1" applyAlignment="1">
      <alignment horizontal="center" vertical="top" wrapText="1"/>
    </xf>
    <xf numFmtId="0" fontId="2" fillId="20" borderId="1" xfId="0" applyFont="1" applyFill="1" applyBorder="1" applyAlignment="1">
      <alignment horizontal="center" vertical="top" wrapText="1"/>
    </xf>
    <xf numFmtId="0" fontId="2" fillId="20" borderId="27" xfId="0" applyFont="1" applyFill="1" applyBorder="1" applyAlignment="1">
      <alignment horizontal="center" vertical="top" wrapText="1"/>
    </xf>
    <xf numFmtId="0" fontId="7" fillId="20" borderId="36" xfId="0" applyFont="1" applyFill="1" applyBorder="1" applyAlignment="1">
      <alignment horizontal="center" vertical="center" wrapText="1"/>
    </xf>
    <xf numFmtId="0" fontId="7" fillId="20" borderId="37" xfId="0" applyFont="1" applyFill="1" applyBorder="1" applyAlignment="1">
      <alignment horizontal="center" vertical="center" wrapText="1"/>
    </xf>
    <xf numFmtId="0" fontId="7" fillId="20" borderId="38" xfId="0" applyFont="1" applyFill="1" applyBorder="1" applyAlignment="1">
      <alignment horizontal="center" vertical="center" wrapText="1"/>
    </xf>
    <xf numFmtId="0" fontId="7" fillId="20" borderId="36" xfId="0" applyFont="1" applyFill="1" applyBorder="1" applyAlignment="1">
      <alignment horizontal="center" wrapText="1"/>
    </xf>
    <xf numFmtId="0" fontId="7" fillId="20" borderId="37" xfId="0" applyFont="1" applyFill="1" applyBorder="1" applyAlignment="1">
      <alignment horizontal="center" wrapText="1"/>
    </xf>
    <xf numFmtId="0" fontId="7" fillId="20" borderId="38" xfId="0" applyFont="1" applyFill="1" applyBorder="1" applyAlignment="1">
      <alignment horizontal="center" wrapText="1"/>
    </xf>
    <xf numFmtId="0" fontId="7" fillId="20" borderId="33" xfId="0" applyFont="1" applyFill="1" applyBorder="1" applyAlignment="1">
      <alignment horizontal="center" wrapText="1"/>
    </xf>
    <xf numFmtId="0" fontId="7" fillId="20" borderId="35" xfId="0" applyFont="1" applyFill="1" applyBorder="1" applyAlignment="1">
      <alignment horizontal="center" wrapText="1"/>
    </xf>
    <xf numFmtId="0" fontId="7" fillId="20" borderId="18" xfId="0" applyFont="1" applyFill="1" applyBorder="1" applyAlignment="1">
      <alignment horizontal="center" wrapText="1"/>
    </xf>
    <xf numFmtId="0" fontId="7" fillId="20" borderId="20" xfId="0" applyFont="1" applyFill="1" applyBorder="1" applyAlignment="1">
      <alignment horizontal="center" wrapText="1"/>
    </xf>
    <xf numFmtId="0" fontId="23" fillId="15" borderId="0" xfId="0" applyFont="1" applyFill="1" applyAlignment="1">
      <alignment horizontal="center"/>
    </xf>
    <xf numFmtId="0" fontId="7" fillId="0" borderId="18" xfId="0" applyFont="1" applyBorder="1" applyAlignment="1">
      <alignment horizontal="right" vertical="center" wrapText="1"/>
    </xf>
    <xf numFmtId="0" fontId="7" fillId="0" borderId="19" xfId="0" applyFont="1" applyBorder="1" applyAlignment="1">
      <alignment horizontal="right" vertical="center" wrapText="1"/>
    </xf>
    <xf numFmtId="0" fontId="7" fillId="0" borderId="20" xfId="0" applyFont="1" applyBorder="1" applyAlignment="1">
      <alignment horizontal="right" vertical="center" wrapText="1"/>
    </xf>
    <xf numFmtId="0" fontId="15" fillId="15" borderId="6" xfId="0" applyFont="1" applyFill="1" applyBorder="1" applyAlignment="1">
      <alignment horizontal="center" vertical="center" wrapText="1"/>
    </xf>
    <xf numFmtId="0" fontId="15" fillId="15" borderId="1" xfId="0" applyFont="1" applyFill="1" applyBorder="1" applyAlignment="1">
      <alignment horizontal="center" vertical="center" wrapText="1"/>
    </xf>
    <xf numFmtId="0" fontId="7" fillId="0" borderId="29" xfId="0" applyFont="1" applyBorder="1" applyAlignment="1">
      <alignment horizontal="right" vertical="center" wrapText="1"/>
    </xf>
    <xf numFmtId="0" fontId="7" fillId="0" borderId="6" xfId="0" applyFont="1" applyBorder="1" applyAlignment="1">
      <alignment horizontal="right" vertical="center" wrapText="1"/>
    </xf>
    <xf numFmtId="0" fontId="7" fillId="0" borderId="30" xfId="0" applyFont="1" applyBorder="1" applyAlignment="1">
      <alignment horizontal="right" vertical="center" wrapText="1"/>
    </xf>
    <xf numFmtId="0" fontId="7" fillId="0" borderId="9" xfId="0" applyFont="1" applyBorder="1" applyAlignment="1">
      <alignment horizontal="right" vertical="center" wrapText="1"/>
    </xf>
    <xf numFmtId="0" fontId="7" fillId="0" borderId="0" xfId="0" applyFont="1" applyBorder="1" applyAlignment="1">
      <alignment horizontal="right" vertical="center" wrapText="1"/>
    </xf>
    <xf numFmtId="0" fontId="7" fillId="0" borderId="10" xfId="0" applyFont="1" applyBorder="1" applyAlignment="1">
      <alignment horizontal="right" vertical="center" wrapText="1"/>
    </xf>
    <xf numFmtId="0" fontId="7" fillId="21" borderId="2" xfId="0" applyFont="1" applyFill="1" applyBorder="1" applyAlignment="1">
      <alignment wrapText="1"/>
    </xf>
    <xf numFmtId="0" fontId="7" fillId="0" borderId="2" xfId="0" applyFont="1" applyBorder="1" applyAlignment="1">
      <alignment wrapText="1"/>
    </xf>
    <xf numFmtId="2" fontId="7" fillId="0" borderId="2" xfId="0" applyNumberFormat="1" applyFont="1" applyBorder="1" applyAlignment="1">
      <alignment wrapText="1"/>
    </xf>
    <xf numFmtId="2" fontId="7" fillId="21" borderId="2" xfId="0" applyNumberFormat="1" applyFont="1" applyFill="1" applyBorder="1" applyAlignment="1">
      <alignment wrapText="1"/>
    </xf>
    <xf numFmtId="0" fontId="0" fillId="0" borderId="0" xfId="0" applyAlignment="1">
      <alignment wrapText="1"/>
    </xf>
    <xf numFmtId="10" fontId="7" fillId="21" borderId="2" xfId="1" applyNumberFormat="1" applyFont="1" applyFill="1" applyBorder="1" applyAlignment="1">
      <alignment wrapText="1"/>
    </xf>
    <xf numFmtId="10" fontId="7" fillId="0" borderId="2" xfId="1" applyNumberFormat="1" applyFont="1" applyBorder="1" applyAlignment="1">
      <alignment wrapText="1"/>
    </xf>
    <xf numFmtId="2" fontId="7" fillId="0" borderId="2" xfId="1" applyNumberFormat="1" applyFont="1" applyBorder="1" applyAlignment="1">
      <alignment wrapText="1"/>
    </xf>
    <xf numFmtId="2" fontId="7" fillId="21" borderId="2" xfId="1" applyNumberFormat="1" applyFont="1" applyFill="1" applyBorder="1" applyAlignment="1">
      <alignment wrapText="1"/>
    </xf>
    <xf numFmtId="166" fontId="7" fillId="0" borderId="2" xfId="0" applyNumberFormat="1" applyFont="1" applyBorder="1" applyAlignment="1">
      <alignment wrapText="1"/>
    </xf>
    <xf numFmtId="0" fontId="22" fillId="20" borderId="0" xfId="0" applyFont="1" applyFill="1" applyBorder="1" applyAlignment="1">
      <alignment horizontal="center" vertical="center" wrapText="1"/>
    </xf>
    <xf numFmtId="10" fontId="7" fillId="20" borderId="0" xfId="1" applyNumberFormat="1" applyFont="1" applyFill="1" applyBorder="1" applyAlignment="1">
      <alignment wrapText="1"/>
    </xf>
    <xf numFmtId="2" fontId="7" fillId="20" borderId="0" xfId="1" applyNumberFormat="1" applyFont="1" applyFill="1" applyBorder="1" applyAlignment="1">
      <alignment wrapText="1"/>
    </xf>
    <xf numFmtId="2" fontId="7" fillId="20" borderId="0" xfId="0" applyNumberFormat="1" applyFont="1" applyFill="1" applyBorder="1" applyAlignment="1">
      <alignment wrapText="1"/>
    </xf>
    <xf numFmtId="166" fontId="7" fillId="20" borderId="0" xfId="0" applyNumberFormat="1" applyFont="1" applyFill="1" applyBorder="1" applyAlignment="1">
      <alignment wrapText="1"/>
    </xf>
    <xf numFmtId="0" fontId="0" fillId="20" borderId="0" xfId="0" applyFont="1" applyFill="1" applyBorder="1" applyAlignment="1">
      <alignment wrapText="1"/>
    </xf>
    <xf numFmtId="0" fontId="6" fillId="6" borderId="3" xfId="0" applyFont="1" applyFill="1" applyBorder="1" applyAlignment="1">
      <alignment horizontal="center" vertical="center" wrapText="1"/>
    </xf>
    <xf numFmtId="0" fontId="0" fillId="20" borderId="0" xfId="0" applyFont="1" applyFill="1" applyBorder="1"/>
    <xf numFmtId="10" fontId="7" fillId="20" borderId="0" xfId="1" applyNumberFormat="1" applyFont="1" applyFill="1" applyBorder="1"/>
    <xf numFmtId="2" fontId="7" fillId="20" borderId="0" xfId="1" applyNumberFormat="1" applyFont="1" applyFill="1" applyBorder="1"/>
    <xf numFmtId="2" fontId="7" fillId="20" borderId="0" xfId="0" applyNumberFormat="1" applyFont="1" applyFill="1" applyBorder="1"/>
    <xf numFmtId="166" fontId="7" fillId="20" borderId="0" xfId="0" applyNumberFormat="1" applyFont="1" applyFill="1" applyBorder="1"/>
  </cellXfs>
  <cellStyles count="3">
    <cellStyle name="Hyperlink" xfId="2" builtinId="8"/>
    <cellStyle name="Normal" xfId="0" builtinId="0"/>
    <cellStyle name="Percent" xfId="1" builtinId="5"/>
  </cellStyles>
  <dxfs count="8">
    <dxf>
      <font>
        <strike val="0"/>
        <outline val="0"/>
        <shadow val="0"/>
        <u val="none"/>
        <vertAlign val="baseline"/>
        <sz val="12"/>
        <color theme="1"/>
        <name val="Times New Roman"/>
        <family val="1"/>
        <scheme val="none"/>
      </font>
      <numFmt numFmtId="32" formatCode="_ &quot;₹&quot;\ * #,##0_ ;_ &quot;₹&quot;\ * \-#,##0_ ;_ &quot;₹&quot;\ * &quot;-&quot;_ ;_ @_ "/>
      <alignment horizontal="right" vertical="center" textRotation="0" wrapText="1" indent="0" justifyLastLine="0" shrinkToFit="0" readingOrder="0"/>
      <border diagonalUp="0" diagonalDown="0">
        <left/>
        <right/>
        <top style="medium">
          <color auto="1"/>
        </top>
        <bottom style="medium">
          <color auto="1"/>
        </bottom>
      </border>
    </dxf>
    <dxf>
      <font>
        <strike val="0"/>
        <outline val="0"/>
        <shadow val="0"/>
        <u val="none"/>
        <vertAlign val="baseline"/>
        <sz val="12"/>
        <color theme="1"/>
        <name val="Times New Roman"/>
        <family val="1"/>
        <scheme val="none"/>
      </font>
      <numFmt numFmtId="32" formatCode="_ &quot;₹&quot;\ * #,##0_ ;_ &quot;₹&quot;\ * \-#,##0_ ;_ &quot;₹&quot;\ * &quot;-&quot;_ ;_ @_ "/>
      <alignment horizontal="right" vertical="center" textRotation="0" wrapText="1" indent="0" justifyLastLine="0" shrinkToFit="0" readingOrder="0"/>
      <border diagonalUp="0" diagonalDown="0">
        <left/>
        <right/>
        <top style="medium">
          <color auto="1"/>
        </top>
        <bottom style="medium">
          <color auto="1"/>
        </bottom>
      </border>
    </dxf>
    <dxf>
      <font>
        <strike val="0"/>
        <outline val="0"/>
        <shadow val="0"/>
        <u val="none"/>
        <vertAlign val="baseline"/>
        <sz val="12"/>
        <color theme="1"/>
        <name val="Times New Roman"/>
        <family val="1"/>
        <scheme val="none"/>
      </font>
      <numFmt numFmtId="32" formatCode="_ &quot;₹&quot;\ * #,##0_ ;_ &quot;₹&quot;\ * \-#,##0_ ;_ &quot;₹&quot;\ * &quot;-&quot;_ ;_ @_ "/>
      <alignment horizontal="right" vertical="center" textRotation="0" wrapText="1" indent="0" justifyLastLine="0" shrinkToFit="0" readingOrder="0"/>
      <border diagonalUp="0" diagonalDown="0">
        <left/>
        <right/>
        <top style="medium">
          <color auto="1"/>
        </top>
        <bottom style="medium">
          <color auto="1"/>
        </bottom>
      </border>
    </dxf>
    <dxf>
      <font>
        <strike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right/>
        <top style="medium">
          <color auto="1"/>
        </top>
        <bottom style="medium">
          <color auto="1"/>
        </bottom>
      </border>
    </dxf>
    <dxf>
      <font>
        <strike val="0"/>
        <outline val="0"/>
        <shadow val="0"/>
        <u val="none"/>
        <vertAlign val="baseline"/>
        <sz val="12"/>
        <color theme="1"/>
        <name val="Times New Roman"/>
        <family val="1"/>
        <scheme val="none"/>
      </font>
      <alignment horizontal="right" vertical="center" textRotation="0" wrapText="1" indent="0" justifyLastLine="0" shrinkToFit="0" readingOrder="0"/>
    </dxf>
    <dxf>
      <border>
        <bottom style="medium">
          <color indexed="64"/>
        </bottom>
      </border>
    </dxf>
    <dxf>
      <font>
        <b/>
        <strike val="0"/>
        <outline val="0"/>
        <shadow val="0"/>
        <u val="none"/>
        <vertAlign val="baseline"/>
        <sz val="15"/>
        <name val="Times New Roman"/>
        <family val="1"/>
        <scheme val="none"/>
      </font>
      <fill>
        <patternFill patternType="solid">
          <fgColor indexed="64"/>
          <bgColor rgb="FFC00000"/>
        </patternFill>
      </fill>
      <alignment horizontal="center" vertical="center" textRotation="0" wrapText="1" indent="0" justifyLastLine="0" shrinkToFit="0" readingOrder="0"/>
      <border diagonalUp="0" diagonalDown="0" outline="0">
        <left/>
        <right/>
        <top/>
        <bottom/>
      </border>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from Operations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'BEL Analysis'!$E$3:$I$3</c:f>
              <c:numCache>
                <c:formatCode>General</c:formatCode>
                <c:ptCount val="5"/>
                <c:pt idx="0">
                  <c:v>2018</c:v>
                </c:pt>
                <c:pt idx="1">
                  <c:v>2019</c:v>
                </c:pt>
                <c:pt idx="2">
                  <c:v>2020</c:v>
                </c:pt>
                <c:pt idx="3">
                  <c:v>2021</c:v>
                </c:pt>
                <c:pt idx="4">
                  <c:v>2022</c:v>
                </c:pt>
              </c:numCache>
            </c:numRef>
          </c:cat>
          <c:val>
            <c:numRef>
              <c:f>'BEL Analysis'!$E$4:$I$4</c:f>
              <c:numCache>
                <c:formatCode>_("₹"* #,##0_);_("₹"* \(#,##0\);_("₹"* "-"_);_(@_)</c:formatCode>
                <c:ptCount val="5"/>
                <c:pt idx="0">
                  <c:v>1048516</c:v>
                </c:pt>
                <c:pt idx="1">
                  <c:v>1216417</c:v>
                </c:pt>
                <c:pt idx="2">
                  <c:v>1296767</c:v>
                </c:pt>
                <c:pt idx="3">
                  <c:v>1410869</c:v>
                </c:pt>
                <c:pt idx="4">
                  <c:v>1536818</c:v>
                </c:pt>
              </c:numCache>
            </c:numRef>
          </c:val>
          <c:extLst>
            <c:ext xmlns:c16="http://schemas.microsoft.com/office/drawing/2014/chart" uri="{C3380CC4-5D6E-409C-BE32-E72D297353CC}">
              <c16:uniqueId val="{00000000-ADF4-4778-B8A3-F36C28F0961D}"/>
            </c:ext>
          </c:extLst>
        </c:ser>
        <c:dLbls>
          <c:showLegendKey val="0"/>
          <c:showVal val="0"/>
          <c:showCatName val="0"/>
          <c:showSerName val="0"/>
          <c:showPercent val="0"/>
          <c:showBubbleSize val="0"/>
        </c:dLbls>
        <c:gapWidth val="219"/>
        <c:overlap val="-27"/>
        <c:axId val="338945720"/>
        <c:axId val="338942440"/>
      </c:barChart>
      <c:catAx>
        <c:axId val="338945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42440"/>
        <c:crosses val="autoZero"/>
        <c:auto val="1"/>
        <c:lblAlgn val="ctr"/>
        <c:lblOffset val="100"/>
        <c:noMultiLvlLbl val="0"/>
      </c:catAx>
      <c:valAx>
        <c:axId val="33894244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45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Return</a:t>
            </a:r>
            <a:r>
              <a:rPr lang="en-IN" baseline="0"/>
              <a:t> on Assets (ROA)</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'BEL Analysis'!$E$3:$I$3</c:f>
              <c:numCache>
                <c:formatCode>General</c:formatCode>
                <c:ptCount val="5"/>
                <c:pt idx="0">
                  <c:v>2018</c:v>
                </c:pt>
                <c:pt idx="1">
                  <c:v>2019</c:v>
                </c:pt>
                <c:pt idx="2">
                  <c:v>2020</c:v>
                </c:pt>
                <c:pt idx="3">
                  <c:v>2021</c:v>
                </c:pt>
                <c:pt idx="4">
                  <c:v>2022</c:v>
                </c:pt>
              </c:numCache>
            </c:numRef>
          </c:cat>
          <c:val>
            <c:numRef>
              <c:f>'BEL Analysis'!$E$36:$I$36</c:f>
              <c:numCache>
                <c:formatCode>0.00%</c:formatCode>
                <c:ptCount val="5"/>
                <c:pt idx="0">
                  <c:v>0.10778085610566382</c:v>
                </c:pt>
                <c:pt idx="1">
                  <c:v>0.12684997247915283</c:v>
                </c:pt>
                <c:pt idx="2">
                  <c:v>0.10193725971124896</c:v>
                </c:pt>
                <c:pt idx="3">
                  <c:v>9.9972295383434273E-2</c:v>
                </c:pt>
                <c:pt idx="4">
                  <c:v>9.3519190765831789E-2</c:v>
                </c:pt>
              </c:numCache>
            </c:numRef>
          </c:val>
          <c:smooth val="0"/>
          <c:extLst>
            <c:ext xmlns:c16="http://schemas.microsoft.com/office/drawing/2014/chart" uri="{C3380CC4-5D6E-409C-BE32-E72D297353CC}">
              <c16:uniqueId val="{00000000-437C-495D-A1C8-302487AF513C}"/>
            </c:ext>
          </c:extLst>
        </c:ser>
        <c:dLbls>
          <c:showLegendKey val="0"/>
          <c:showVal val="0"/>
          <c:showCatName val="0"/>
          <c:showSerName val="0"/>
          <c:showPercent val="0"/>
          <c:showBubbleSize val="0"/>
        </c:dLbls>
        <c:smooth val="0"/>
        <c:axId val="338003000"/>
        <c:axId val="338002016"/>
      </c:lineChart>
      <c:catAx>
        <c:axId val="338003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002016"/>
        <c:crosses val="autoZero"/>
        <c:auto val="1"/>
        <c:lblAlgn val="ctr"/>
        <c:lblOffset val="100"/>
        <c:noMultiLvlLbl val="0"/>
      </c:catAx>
      <c:valAx>
        <c:axId val="3380020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003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Three Factor Dupont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Net Profit Margin</c:v>
          </c:tx>
          <c:spPr>
            <a:solidFill>
              <a:schemeClr val="accent1"/>
            </a:solidFill>
            <a:ln>
              <a:noFill/>
            </a:ln>
            <a:effectLst/>
          </c:spPr>
          <c:invertIfNegative val="0"/>
          <c:cat>
            <c:numRef>
              <c:f>'BEL Analysis'!$E$3:$I$3</c:f>
              <c:numCache>
                <c:formatCode>General</c:formatCode>
                <c:ptCount val="5"/>
                <c:pt idx="0">
                  <c:v>2018</c:v>
                </c:pt>
                <c:pt idx="1">
                  <c:v>2019</c:v>
                </c:pt>
                <c:pt idx="2">
                  <c:v>2020</c:v>
                </c:pt>
                <c:pt idx="3">
                  <c:v>2021</c:v>
                </c:pt>
                <c:pt idx="4">
                  <c:v>2022</c:v>
                </c:pt>
              </c:numCache>
            </c:numRef>
          </c:cat>
          <c:val>
            <c:numRef>
              <c:f>'BEL Analysis'!$E$38:$I$38</c:f>
              <c:numCache>
                <c:formatCode>0.00%</c:formatCode>
                <c:ptCount val="5"/>
                <c:pt idx="0">
                  <c:v>0.14675221787297082</c:v>
                </c:pt>
                <c:pt idx="1">
                  <c:v>0.14901415034207283</c:v>
                </c:pt>
                <c:pt idx="2">
                  <c:v>0.13168445565838402</c:v>
                </c:pt>
                <c:pt idx="3">
                  <c:v>0.14860840332592132</c:v>
                </c:pt>
                <c:pt idx="4">
                  <c:v>0.14435707820396776</c:v>
                </c:pt>
              </c:numCache>
            </c:numRef>
          </c:val>
          <c:extLst>
            <c:ext xmlns:c16="http://schemas.microsoft.com/office/drawing/2014/chart" uri="{C3380CC4-5D6E-409C-BE32-E72D297353CC}">
              <c16:uniqueId val="{00000000-A8B8-4D83-93F2-06203A950A4F}"/>
            </c:ext>
          </c:extLst>
        </c:ser>
        <c:ser>
          <c:idx val="1"/>
          <c:order val="1"/>
          <c:tx>
            <c:v>Asset Turnover Ratio</c:v>
          </c:tx>
          <c:spPr>
            <a:solidFill>
              <a:schemeClr val="accent2"/>
            </a:solidFill>
            <a:ln>
              <a:noFill/>
            </a:ln>
            <a:effectLst/>
          </c:spPr>
          <c:invertIfNegative val="0"/>
          <c:cat>
            <c:numRef>
              <c:f>'BEL Analysis'!$E$3:$I$3</c:f>
              <c:numCache>
                <c:formatCode>General</c:formatCode>
                <c:ptCount val="5"/>
                <c:pt idx="0">
                  <c:v>2018</c:v>
                </c:pt>
                <c:pt idx="1">
                  <c:v>2019</c:v>
                </c:pt>
                <c:pt idx="2">
                  <c:v>2020</c:v>
                </c:pt>
                <c:pt idx="3">
                  <c:v>2021</c:v>
                </c:pt>
                <c:pt idx="4">
                  <c:v>2022</c:v>
                </c:pt>
              </c:numCache>
            </c:numRef>
          </c:cat>
          <c:val>
            <c:numRef>
              <c:f>'BEL Analysis'!$E$39:$I$39</c:f>
              <c:numCache>
                <c:formatCode>0.00</c:formatCode>
                <c:ptCount val="5"/>
                <c:pt idx="0">
                  <c:v>0.56332292749509372</c:v>
                </c:pt>
                <c:pt idx="1">
                  <c:v>0.58774347304445884</c:v>
                </c:pt>
                <c:pt idx="2">
                  <c:v>0.5366725657756124</c:v>
                </c:pt>
                <c:pt idx="3">
                  <c:v>0.48266562494595566</c:v>
                </c:pt>
                <c:pt idx="4">
                  <c:v>0.4600251602892077</c:v>
                </c:pt>
              </c:numCache>
            </c:numRef>
          </c:val>
          <c:extLst>
            <c:ext xmlns:c16="http://schemas.microsoft.com/office/drawing/2014/chart" uri="{C3380CC4-5D6E-409C-BE32-E72D297353CC}">
              <c16:uniqueId val="{00000001-A8B8-4D83-93F2-06203A950A4F}"/>
            </c:ext>
          </c:extLst>
        </c:ser>
        <c:ser>
          <c:idx val="2"/>
          <c:order val="2"/>
          <c:tx>
            <c:v>Total Leverage</c:v>
          </c:tx>
          <c:spPr>
            <a:solidFill>
              <a:schemeClr val="accent3"/>
            </a:solidFill>
            <a:ln>
              <a:noFill/>
            </a:ln>
            <a:effectLst/>
          </c:spPr>
          <c:invertIfNegative val="0"/>
          <c:cat>
            <c:numRef>
              <c:f>'BEL Analysis'!$E$3:$I$3</c:f>
              <c:numCache>
                <c:formatCode>General</c:formatCode>
                <c:ptCount val="5"/>
                <c:pt idx="0">
                  <c:v>2018</c:v>
                </c:pt>
                <c:pt idx="1">
                  <c:v>2019</c:v>
                </c:pt>
                <c:pt idx="2">
                  <c:v>2020</c:v>
                </c:pt>
                <c:pt idx="3">
                  <c:v>2021</c:v>
                </c:pt>
                <c:pt idx="4">
                  <c:v>2022</c:v>
                </c:pt>
              </c:numCache>
            </c:numRef>
          </c:cat>
          <c:val>
            <c:numRef>
              <c:f>'BEL Analysis'!$E$40:$I$40</c:f>
              <c:numCache>
                <c:formatCode>0.00</c:formatCode>
                <c:ptCount val="5"/>
                <c:pt idx="0">
                  <c:v>2.3615885989156413</c:v>
                </c:pt>
                <c:pt idx="1">
                  <c:v>2.2570223744688231</c:v>
                </c:pt>
                <c:pt idx="2">
                  <c:v>2.4141418047334344</c:v>
                </c:pt>
                <c:pt idx="3">
                  <c:v>2.6628275409338693</c:v>
                </c:pt>
                <c:pt idx="4">
                  <c:v>2.7564490130683201</c:v>
                </c:pt>
              </c:numCache>
            </c:numRef>
          </c:val>
          <c:extLst>
            <c:ext xmlns:c16="http://schemas.microsoft.com/office/drawing/2014/chart" uri="{C3380CC4-5D6E-409C-BE32-E72D297353CC}">
              <c16:uniqueId val="{00000002-A8B8-4D83-93F2-06203A950A4F}"/>
            </c:ext>
          </c:extLst>
        </c:ser>
        <c:dLbls>
          <c:showLegendKey val="0"/>
          <c:showVal val="0"/>
          <c:showCatName val="0"/>
          <c:showSerName val="0"/>
          <c:showPercent val="0"/>
          <c:showBubbleSize val="0"/>
        </c:dLbls>
        <c:gapWidth val="219"/>
        <c:overlap val="-27"/>
        <c:axId val="582681200"/>
        <c:axId val="415905576"/>
      </c:barChart>
      <c:lineChart>
        <c:grouping val="standard"/>
        <c:varyColors val="0"/>
        <c:ser>
          <c:idx val="3"/>
          <c:order val="3"/>
          <c:tx>
            <c:v>ROE</c:v>
          </c:tx>
          <c:spPr>
            <a:ln w="28575" cap="rnd">
              <a:solidFill>
                <a:schemeClr val="accent4"/>
              </a:solidFill>
              <a:round/>
            </a:ln>
            <a:effectLst/>
          </c:spPr>
          <c:marker>
            <c:symbol val="none"/>
          </c:marker>
          <c:cat>
            <c:numRef>
              <c:f>'BEL Analysis'!$E$3:$I$3</c:f>
              <c:numCache>
                <c:formatCode>General</c:formatCode>
                <c:ptCount val="5"/>
                <c:pt idx="0">
                  <c:v>2018</c:v>
                </c:pt>
                <c:pt idx="1">
                  <c:v>2019</c:v>
                </c:pt>
                <c:pt idx="2">
                  <c:v>2020</c:v>
                </c:pt>
                <c:pt idx="3">
                  <c:v>2021</c:v>
                </c:pt>
                <c:pt idx="4">
                  <c:v>2022</c:v>
                </c:pt>
              </c:numCache>
            </c:numRef>
          </c:cat>
          <c:val>
            <c:numRef>
              <c:f>'BEL Analysis'!$E$41:$I$41</c:f>
              <c:numCache>
                <c:formatCode>0.00%</c:formatCode>
                <c:ptCount val="5"/>
                <c:pt idx="0">
                  <c:v>0.19522990572049995</c:v>
                </c:pt>
                <c:pt idx="1">
                  <c:v>0.19767474633596388</c:v>
                </c:pt>
                <c:pt idx="2">
                  <c:v>0.17061086488791063</c:v>
                </c:pt>
                <c:pt idx="3">
                  <c:v>0.19099974084772595</c:v>
                </c:pt>
                <c:pt idx="4">
                  <c:v>0.18304995744687771</c:v>
                </c:pt>
              </c:numCache>
            </c:numRef>
          </c:val>
          <c:smooth val="0"/>
          <c:extLst>
            <c:ext xmlns:c16="http://schemas.microsoft.com/office/drawing/2014/chart" uri="{C3380CC4-5D6E-409C-BE32-E72D297353CC}">
              <c16:uniqueId val="{00000003-A8B8-4D83-93F2-06203A950A4F}"/>
            </c:ext>
          </c:extLst>
        </c:ser>
        <c:dLbls>
          <c:showLegendKey val="0"/>
          <c:showVal val="0"/>
          <c:showCatName val="0"/>
          <c:showSerName val="0"/>
          <c:showPercent val="0"/>
          <c:showBubbleSize val="0"/>
        </c:dLbls>
        <c:marker val="1"/>
        <c:smooth val="0"/>
        <c:axId val="608465848"/>
        <c:axId val="608465520"/>
      </c:lineChart>
      <c:catAx>
        <c:axId val="5826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905576"/>
        <c:crosses val="autoZero"/>
        <c:auto val="1"/>
        <c:lblAlgn val="ctr"/>
        <c:lblOffset val="100"/>
        <c:noMultiLvlLbl val="0"/>
      </c:catAx>
      <c:valAx>
        <c:axId val="415905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81200"/>
        <c:crosses val="autoZero"/>
        <c:crossBetween val="between"/>
      </c:valAx>
      <c:valAx>
        <c:axId val="60846552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465848"/>
        <c:crosses val="max"/>
        <c:crossBetween val="between"/>
      </c:valAx>
      <c:catAx>
        <c:axId val="608465848"/>
        <c:scaling>
          <c:orientation val="minMax"/>
        </c:scaling>
        <c:delete val="1"/>
        <c:axPos val="b"/>
        <c:numFmt formatCode="General" sourceLinked="1"/>
        <c:majorTickMark val="none"/>
        <c:minorTickMark val="none"/>
        <c:tickLblPos val="nextTo"/>
        <c:crossAx val="6084655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Five Factor Dupont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Tax Factor</c:v>
          </c:tx>
          <c:spPr>
            <a:solidFill>
              <a:schemeClr val="accent1"/>
            </a:solidFill>
            <a:ln>
              <a:noFill/>
            </a:ln>
            <a:effectLst/>
          </c:spPr>
          <c:invertIfNegative val="0"/>
          <c:cat>
            <c:numRef>
              <c:f>'BEL Analysis'!$E$3:$I$3</c:f>
              <c:numCache>
                <c:formatCode>General</c:formatCode>
                <c:ptCount val="5"/>
                <c:pt idx="0">
                  <c:v>2018</c:v>
                </c:pt>
                <c:pt idx="1">
                  <c:v>2019</c:v>
                </c:pt>
                <c:pt idx="2">
                  <c:v>2020</c:v>
                </c:pt>
                <c:pt idx="3">
                  <c:v>2021</c:v>
                </c:pt>
                <c:pt idx="4">
                  <c:v>2022</c:v>
                </c:pt>
              </c:numCache>
            </c:numRef>
          </c:cat>
          <c:val>
            <c:numRef>
              <c:f>'BEL Analysis'!$E$43:$I$43</c:f>
              <c:numCache>
                <c:formatCode>0.00%</c:formatCode>
                <c:ptCount val="5"/>
                <c:pt idx="0">
                  <c:v>0.71907431158439061</c:v>
                </c:pt>
                <c:pt idx="1">
                  <c:v>0.70311679615270473</c:v>
                </c:pt>
                <c:pt idx="2">
                  <c:v>0.72330132343447384</c:v>
                </c:pt>
                <c:pt idx="3">
                  <c:v>0.70343125590628808</c:v>
                </c:pt>
                <c:pt idx="4">
                  <c:v>0.74361387639597754</c:v>
                </c:pt>
              </c:numCache>
            </c:numRef>
          </c:val>
          <c:extLst>
            <c:ext xmlns:c16="http://schemas.microsoft.com/office/drawing/2014/chart" uri="{C3380CC4-5D6E-409C-BE32-E72D297353CC}">
              <c16:uniqueId val="{00000000-3900-474F-AAE5-60D6CA42808E}"/>
            </c:ext>
          </c:extLst>
        </c:ser>
        <c:ser>
          <c:idx val="1"/>
          <c:order val="1"/>
          <c:tx>
            <c:v>Interest Factor</c:v>
          </c:tx>
          <c:spPr>
            <a:solidFill>
              <a:schemeClr val="accent2"/>
            </a:solidFill>
            <a:ln>
              <a:noFill/>
            </a:ln>
            <a:effectLst/>
          </c:spPr>
          <c:invertIfNegative val="0"/>
          <c:cat>
            <c:numRef>
              <c:f>'BEL Analysis'!$E$3:$I$3</c:f>
              <c:numCache>
                <c:formatCode>General</c:formatCode>
                <c:ptCount val="5"/>
                <c:pt idx="0">
                  <c:v>2018</c:v>
                </c:pt>
                <c:pt idx="1">
                  <c:v>2019</c:v>
                </c:pt>
                <c:pt idx="2">
                  <c:v>2020</c:v>
                </c:pt>
                <c:pt idx="3">
                  <c:v>2021</c:v>
                </c:pt>
                <c:pt idx="4">
                  <c:v>2022</c:v>
                </c:pt>
              </c:numCache>
            </c:numRef>
          </c:cat>
          <c:val>
            <c:numRef>
              <c:f>'BEL Analysis'!$E$44:$I$44</c:f>
              <c:numCache>
                <c:formatCode>0.00%</c:formatCode>
                <c:ptCount val="5"/>
                <c:pt idx="0">
                  <c:v>0.99892835122676871</c:v>
                </c:pt>
                <c:pt idx="1">
                  <c:v>0.99517244773938029</c:v>
                </c:pt>
                <c:pt idx="2">
                  <c:v>0.99854955680902502</c:v>
                </c:pt>
                <c:pt idx="3">
                  <c:v>0.99783932296524935</c:v>
                </c:pt>
                <c:pt idx="4">
                  <c:v>0.99840758807929897</c:v>
                </c:pt>
              </c:numCache>
            </c:numRef>
          </c:val>
          <c:extLst>
            <c:ext xmlns:c16="http://schemas.microsoft.com/office/drawing/2014/chart" uri="{C3380CC4-5D6E-409C-BE32-E72D297353CC}">
              <c16:uniqueId val="{00000001-3900-474F-AAE5-60D6CA42808E}"/>
            </c:ext>
          </c:extLst>
        </c:ser>
        <c:ser>
          <c:idx val="2"/>
          <c:order val="2"/>
          <c:tx>
            <c:v>EBIT Margin</c:v>
          </c:tx>
          <c:spPr>
            <a:solidFill>
              <a:schemeClr val="accent3"/>
            </a:solidFill>
            <a:ln>
              <a:noFill/>
            </a:ln>
            <a:effectLst/>
          </c:spPr>
          <c:invertIfNegative val="0"/>
          <c:cat>
            <c:numRef>
              <c:f>'BEL Analysis'!$E$3:$I$3</c:f>
              <c:numCache>
                <c:formatCode>General</c:formatCode>
                <c:ptCount val="5"/>
                <c:pt idx="0">
                  <c:v>2018</c:v>
                </c:pt>
                <c:pt idx="1">
                  <c:v>2019</c:v>
                </c:pt>
                <c:pt idx="2">
                  <c:v>2020</c:v>
                </c:pt>
                <c:pt idx="3">
                  <c:v>2021</c:v>
                </c:pt>
                <c:pt idx="4">
                  <c:v>2022</c:v>
                </c:pt>
              </c:numCache>
            </c:numRef>
          </c:cat>
          <c:val>
            <c:numRef>
              <c:f>'BEL Analysis'!$E$45:$I$45</c:f>
              <c:numCache>
                <c:formatCode>0.00%</c:formatCode>
                <c:ptCount val="5"/>
                <c:pt idx="0">
                  <c:v>0.1913304977394206</c:v>
                </c:pt>
                <c:pt idx="1">
                  <c:v>0.21582540393359242</c:v>
                </c:pt>
                <c:pt idx="2">
                  <c:v>0.18994311655175949</c:v>
                </c:pt>
                <c:pt idx="3">
                  <c:v>0.20712536840515258</c:v>
                </c:pt>
                <c:pt idx="4">
                  <c:v>0.20329146933406497</c:v>
                </c:pt>
              </c:numCache>
            </c:numRef>
          </c:val>
          <c:extLst>
            <c:ext xmlns:c16="http://schemas.microsoft.com/office/drawing/2014/chart" uri="{C3380CC4-5D6E-409C-BE32-E72D297353CC}">
              <c16:uniqueId val="{00000002-3900-474F-AAE5-60D6CA42808E}"/>
            </c:ext>
          </c:extLst>
        </c:ser>
        <c:ser>
          <c:idx val="3"/>
          <c:order val="3"/>
          <c:tx>
            <c:v>Asset Turnover Ratio</c:v>
          </c:tx>
          <c:spPr>
            <a:solidFill>
              <a:schemeClr val="accent4"/>
            </a:solidFill>
            <a:ln>
              <a:noFill/>
            </a:ln>
            <a:effectLst/>
          </c:spPr>
          <c:invertIfNegative val="0"/>
          <c:cat>
            <c:numRef>
              <c:f>'BEL Analysis'!$E$3:$I$3</c:f>
              <c:numCache>
                <c:formatCode>General</c:formatCode>
                <c:ptCount val="5"/>
                <c:pt idx="0">
                  <c:v>2018</c:v>
                </c:pt>
                <c:pt idx="1">
                  <c:v>2019</c:v>
                </c:pt>
                <c:pt idx="2">
                  <c:v>2020</c:v>
                </c:pt>
                <c:pt idx="3">
                  <c:v>2021</c:v>
                </c:pt>
                <c:pt idx="4">
                  <c:v>2022</c:v>
                </c:pt>
              </c:numCache>
            </c:numRef>
          </c:cat>
          <c:val>
            <c:numRef>
              <c:f>'BEL Analysis'!$E$46:$I$46</c:f>
              <c:numCache>
                <c:formatCode>0.00</c:formatCode>
                <c:ptCount val="5"/>
                <c:pt idx="0">
                  <c:v>0.56332292749509372</c:v>
                </c:pt>
                <c:pt idx="1">
                  <c:v>0.58774347304445884</c:v>
                </c:pt>
                <c:pt idx="2">
                  <c:v>0.5366725657756124</c:v>
                </c:pt>
                <c:pt idx="3">
                  <c:v>0.48266562494595566</c:v>
                </c:pt>
                <c:pt idx="4">
                  <c:v>0.4600251602892077</c:v>
                </c:pt>
              </c:numCache>
            </c:numRef>
          </c:val>
          <c:extLst>
            <c:ext xmlns:c16="http://schemas.microsoft.com/office/drawing/2014/chart" uri="{C3380CC4-5D6E-409C-BE32-E72D297353CC}">
              <c16:uniqueId val="{00000003-3900-474F-AAE5-60D6CA42808E}"/>
            </c:ext>
          </c:extLst>
        </c:ser>
        <c:ser>
          <c:idx val="4"/>
          <c:order val="4"/>
          <c:tx>
            <c:v>Total Leverage</c:v>
          </c:tx>
          <c:spPr>
            <a:solidFill>
              <a:schemeClr val="accent5"/>
            </a:solidFill>
            <a:ln>
              <a:noFill/>
            </a:ln>
            <a:effectLst/>
          </c:spPr>
          <c:invertIfNegative val="0"/>
          <c:cat>
            <c:numRef>
              <c:f>'BEL Analysis'!$E$3:$I$3</c:f>
              <c:numCache>
                <c:formatCode>General</c:formatCode>
                <c:ptCount val="5"/>
                <c:pt idx="0">
                  <c:v>2018</c:v>
                </c:pt>
                <c:pt idx="1">
                  <c:v>2019</c:v>
                </c:pt>
                <c:pt idx="2">
                  <c:v>2020</c:v>
                </c:pt>
                <c:pt idx="3">
                  <c:v>2021</c:v>
                </c:pt>
                <c:pt idx="4">
                  <c:v>2022</c:v>
                </c:pt>
              </c:numCache>
            </c:numRef>
          </c:cat>
          <c:val>
            <c:numRef>
              <c:f>'BEL Analysis'!$E$47:$I$47</c:f>
              <c:numCache>
                <c:formatCode>0.00</c:formatCode>
                <c:ptCount val="5"/>
                <c:pt idx="0">
                  <c:v>2.3615885989156413</c:v>
                </c:pt>
                <c:pt idx="1">
                  <c:v>2.2570223744688231</c:v>
                </c:pt>
                <c:pt idx="2">
                  <c:v>2.4141418047334344</c:v>
                </c:pt>
                <c:pt idx="3">
                  <c:v>2.6628275409338693</c:v>
                </c:pt>
                <c:pt idx="4">
                  <c:v>2.7564490130683201</c:v>
                </c:pt>
              </c:numCache>
            </c:numRef>
          </c:val>
          <c:extLst>
            <c:ext xmlns:c16="http://schemas.microsoft.com/office/drawing/2014/chart" uri="{C3380CC4-5D6E-409C-BE32-E72D297353CC}">
              <c16:uniqueId val="{00000004-3900-474F-AAE5-60D6CA42808E}"/>
            </c:ext>
          </c:extLst>
        </c:ser>
        <c:dLbls>
          <c:showLegendKey val="0"/>
          <c:showVal val="0"/>
          <c:showCatName val="0"/>
          <c:showSerName val="0"/>
          <c:showPercent val="0"/>
          <c:showBubbleSize val="0"/>
        </c:dLbls>
        <c:gapWidth val="219"/>
        <c:overlap val="-27"/>
        <c:axId val="575983440"/>
        <c:axId val="575979176"/>
      </c:barChart>
      <c:lineChart>
        <c:grouping val="standard"/>
        <c:varyColors val="0"/>
        <c:ser>
          <c:idx val="5"/>
          <c:order val="5"/>
          <c:tx>
            <c:v>Return on Equity</c:v>
          </c:tx>
          <c:spPr>
            <a:ln w="28575" cap="rnd">
              <a:solidFill>
                <a:schemeClr val="accent6"/>
              </a:solidFill>
              <a:round/>
            </a:ln>
            <a:effectLst/>
          </c:spPr>
          <c:marker>
            <c:symbol val="none"/>
          </c:marker>
          <c:cat>
            <c:numRef>
              <c:f>'BEL Analysis'!$E$3:$I$3</c:f>
              <c:numCache>
                <c:formatCode>General</c:formatCode>
                <c:ptCount val="5"/>
                <c:pt idx="0">
                  <c:v>2018</c:v>
                </c:pt>
                <c:pt idx="1">
                  <c:v>2019</c:v>
                </c:pt>
                <c:pt idx="2">
                  <c:v>2020</c:v>
                </c:pt>
                <c:pt idx="3">
                  <c:v>2021</c:v>
                </c:pt>
                <c:pt idx="4">
                  <c:v>2022</c:v>
                </c:pt>
              </c:numCache>
            </c:numRef>
          </c:cat>
          <c:val>
            <c:numRef>
              <c:f>'BEL Analysis'!$E$48:$I$48</c:f>
              <c:numCache>
                <c:formatCode>0.00%</c:formatCode>
                <c:ptCount val="5"/>
                <c:pt idx="0">
                  <c:v>0.18283274759273394</c:v>
                </c:pt>
                <c:pt idx="1">
                  <c:v>0.20033279854305777</c:v>
                </c:pt>
                <c:pt idx="2">
                  <c:v>0.17773977016964615</c:v>
                </c:pt>
                <c:pt idx="3">
                  <c:v>0.18685511040157765</c:v>
                </c:pt>
                <c:pt idx="4">
                  <c:v>0.19138419169795495</c:v>
                </c:pt>
              </c:numCache>
            </c:numRef>
          </c:val>
          <c:smooth val="0"/>
          <c:extLst>
            <c:ext xmlns:c16="http://schemas.microsoft.com/office/drawing/2014/chart" uri="{C3380CC4-5D6E-409C-BE32-E72D297353CC}">
              <c16:uniqueId val="{00000005-3900-474F-AAE5-60D6CA42808E}"/>
            </c:ext>
          </c:extLst>
        </c:ser>
        <c:dLbls>
          <c:showLegendKey val="0"/>
          <c:showVal val="0"/>
          <c:showCatName val="0"/>
          <c:showSerName val="0"/>
          <c:showPercent val="0"/>
          <c:showBubbleSize val="0"/>
        </c:dLbls>
        <c:marker val="1"/>
        <c:smooth val="0"/>
        <c:axId val="575984424"/>
        <c:axId val="575980816"/>
      </c:lineChart>
      <c:catAx>
        <c:axId val="57598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979176"/>
        <c:crosses val="autoZero"/>
        <c:auto val="1"/>
        <c:lblAlgn val="ctr"/>
        <c:lblOffset val="100"/>
        <c:noMultiLvlLbl val="0"/>
      </c:catAx>
      <c:valAx>
        <c:axId val="5759791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983440"/>
        <c:crosses val="autoZero"/>
        <c:crossBetween val="between"/>
      </c:valAx>
      <c:valAx>
        <c:axId val="57598081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984424"/>
        <c:crosses val="max"/>
        <c:crossBetween val="between"/>
      </c:valAx>
      <c:catAx>
        <c:axId val="575984424"/>
        <c:scaling>
          <c:orientation val="minMax"/>
        </c:scaling>
        <c:delete val="1"/>
        <c:axPos val="b"/>
        <c:numFmt formatCode="General" sourceLinked="1"/>
        <c:majorTickMark val="none"/>
        <c:minorTickMark val="none"/>
        <c:tickLblPos val="nextTo"/>
        <c:crossAx val="5759808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Turnover/Effieciency</a:t>
            </a:r>
            <a:r>
              <a:rPr lang="en-IN" baseline="0"/>
              <a:t>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Non-Current Asset Turnover Ratio</c:v>
          </c:tx>
          <c:spPr>
            <a:ln w="28575" cap="rnd">
              <a:solidFill>
                <a:schemeClr val="accent1"/>
              </a:solidFill>
              <a:round/>
            </a:ln>
            <a:effectLst/>
          </c:spPr>
          <c:marker>
            <c:symbol val="none"/>
          </c:marker>
          <c:cat>
            <c:numRef>
              <c:f>'BEL Analysis'!$E$3:$I$3</c:f>
              <c:numCache>
                <c:formatCode>General</c:formatCode>
                <c:ptCount val="5"/>
                <c:pt idx="0">
                  <c:v>2018</c:v>
                </c:pt>
                <c:pt idx="1">
                  <c:v>2019</c:v>
                </c:pt>
                <c:pt idx="2">
                  <c:v>2020</c:v>
                </c:pt>
                <c:pt idx="3">
                  <c:v>2021</c:v>
                </c:pt>
                <c:pt idx="4">
                  <c:v>2022</c:v>
                </c:pt>
              </c:numCache>
            </c:numRef>
          </c:cat>
          <c:val>
            <c:numRef>
              <c:f>'BEL Analysis'!$E$50:$I$50</c:f>
              <c:numCache>
                <c:formatCode>0.00</c:formatCode>
                <c:ptCount val="5"/>
                <c:pt idx="0">
                  <c:v>2.2940105111909603</c:v>
                </c:pt>
                <c:pt idx="1">
                  <c:v>2.4740828201385323</c:v>
                </c:pt>
                <c:pt idx="2">
                  <c:v>2.3291546499067772</c:v>
                </c:pt>
                <c:pt idx="3">
                  <c:v>2.4641210035385606</c:v>
                </c:pt>
                <c:pt idx="4">
                  <c:v>2.3575678530785704</c:v>
                </c:pt>
              </c:numCache>
            </c:numRef>
          </c:val>
          <c:smooth val="0"/>
          <c:extLst>
            <c:ext xmlns:c16="http://schemas.microsoft.com/office/drawing/2014/chart" uri="{C3380CC4-5D6E-409C-BE32-E72D297353CC}">
              <c16:uniqueId val="{00000000-C33E-49CA-9027-C98C61F1C936}"/>
            </c:ext>
          </c:extLst>
        </c:ser>
        <c:ser>
          <c:idx val="1"/>
          <c:order val="1"/>
          <c:tx>
            <c:v>PPE Utilisation Ratio</c:v>
          </c:tx>
          <c:spPr>
            <a:ln w="28575" cap="rnd">
              <a:solidFill>
                <a:schemeClr val="accent2"/>
              </a:solidFill>
              <a:round/>
            </a:ln>
            <a:effectLst/>
          </c:spPr>
          <c:marker>
            <c:symbol val="none"/>
          </c:marker>
          <c:cat>
            <c:numRef>
              <c:f>'BEL Analysis'!$E$3:$I$3</c:f>
              <c:numCache>
                <c:formatCode>General</c:formatCode>
                <c:ptCount val="5"/>
                <c:pt idx="0">
                  <c:v>2018</c:v>
                </c:pt>
                <c:pt idx="1">
                  <c:v>2019</c:v>
                </c:pt>
                <c:pt idx="2">
                  <c:v>2020</c:v>
                </c:pt>
                <c:pt idx="3">
                  <c:v>2021</c:v>
                </c:pt>
                <c:pt idx="4">
                  <c:v>2022</c:v>
                </c:pt>
              </c:numCache>
            </c:numRef>
          </c:cat>
          <c:val>
            <c:numRef>
              <c:f>'BEL Analysis'!$E$51:$I$51</c:f>
              <c:numCache>
                <c:formatCode>0.00</c:formatCode>
                <c:ptCount val="5"/>
                <c:pt idx="0">
                  <c:v>6.2056320356056389</c:v>
                </c:pt>
                <c:pt idx="1">
                  <c:v>5.6874339576768067</c:v>
                </c:pt>
                <c:pt idx="2">
                  <c:v>5.0501680446457433</c:v>
                </c:pt>
                <c:pt idx="3">
                  <c:v>5.6763991148662241</c:v>
                </c:pt>
                <c:pt idx="4">
                  <c:v>6.1243180559263877</c:v>
                </c:pt>
              </c:numCache>
            </c:numRef>
          </c:val>
          <c:smooth val="0"/>
          <c:extLst>
            <c:ext xmlns:c16="http://schemas.microsoft.com/office/drawing/2014/chart" uri="{C3380CC4-5D6E-409C-BE32-E72D297353CC}">
              <c16:uniqueId val="{00000001-C33E-49CA-9027-C98C61F1C936}"/>
            </c:ext>
          </c:extLst>
        </c:ser>
        <c:ser>
          <c:idx val="2"/>
          <c:order val="2"/>
          <c:tx>
            <c:v>Current Asset Turnover Ratio</c:v>
          </c:tx>
          <c:spPr>
            <a:ln w="28575" cap="rnd">
              <a:solidFill>
                <a:schemeClr val="accent3"/>
              </a:solidFill>
              <a:round/>
            </a:ln>
            <a:effectLst/>
          </c:spPr>
          <c:marker>
            <c:symbol val="none"/>
          </c:marker>
          <c:cat>
            <c:numRef>
              <c:f>'BEL Analysis'!$E$3:$I$3</c:f>
              <c:numCache>
                <c:formatCode>General</c:formatCode>
                <c:ptCount val="5"/>
                <c:pt idx="0">
                  <c:v>2018</c:v>
                </c:pt>
                <c:pt idx="1">
                  <c:v>2019</c:v>
                </c:pt>
                <c:pt idx="2">
                  <c:v>2020</c:v>
                </c:pt>
                <c:pt idx="3">
                  <c:v>2021</c:v>
                </c:pt>
                <c:pt idx="4">
                  <c:v>2022</c:v>
                </c:pt>
              </c:numCache>
            </c:numRef>
          </c:cat>
          <c:val>
            <c:numRef>
              <c:f>'BEL Analysis'!$E$52:$I$52</c:f>
              <c:numCache>
                <c:formatCode>0.00</c:formatCode>
                <c:ptCount val="5"/>
                <c:pt idx="0">
                  <c:v>0.74667937127565276</c:v>
                </c:pt>
                <c:pt idx="1">
                  <c:v>0.77087191737157346</c:v>
                </c:pt>
                <c:pt idx="2">
                  <c:v>0.69735335885354377</c:v>
                </c:pt>
                <c:pt idx="3">
                  <c:v>0.60023885320100823</c:v>
                </c:pt>
                <c:pt idx="4">
                  <c:v>0.57155000181360471</c:v>
                </c:pt>
              </c:numCache>
            </c:numRef>
          </c:val>
          <c:smooth val="0"/>
          <c:extLst>
            <c:ext xmlns:c16="http://schemas.microsoft.com/office/drawing/2014/chart" uri="{C3380CC4-5D6E-409C-BE32-E72D297353CC}">
              <c16:uniqueId val="{00000002-C33E-49CA-9027-C98C61F1C936}"/>
            </c:ext>
          </c:extLst>
        </c:ser>
        <c:ser>
          <c:idx val="3"/>
          <c:order val="3"/>
          <c:tx>
            <c:v>Equity Turnover Ratio</c:v>
          </c:tx>
          <c:spPr>
            <a:ln w="28575" cap="rnd">
              <a:solidFill>
                <a:schemeClr val="accent4"/>
              </a:solidFill>
              <a:round/>
            </a:ln>
            <a:effectLst/>
          </c:spPr>
          <c:marker>
            <c:symbol val="none"/>
          </c:marker>
          <c:cat>
            <c:numRef>
              <c:f>'BEL Analysis'!$E$3:$I$3</c:f>
              <c:numCache>
                <c:formatCode>General</c:formatCode>
                <c:ptCount val="5"/>
                <c:pt idx="0">
                  <c:v>2018</c:v>
                </c:pt>
                <c:pt idx="1">
                  <c:v>2019</c:v>
                </c:pt>
                <c:pt idx="2">
                  <c:v>2020</c:v>
                </c:pt>
                <c:pt idx="3">
                  <c:v>2021</c:v>
                </c:pt>
                <c:pt idx="4">
                  <c:v>2022</c:v>
                </c:pt>
              </c:numCache>
            </c:numRef>
          </c:cat>
          <c:val>
            <c:numRef>
              <c:f>'BEL Analysis'!$E$53:$I$53</c:f>
              <c:numCache>
                <c:formatCode>0.00</c:formatCode>
                <c:ptCount val="5"/>
                <c:pt idx="0">
                  <c:v>1.330337003080196</c:v>
                </c:pt>
                <c:pt idx="1">
                  <c:v>1.3265501691093573</c:v>
                </c:pt>
                <c:pt idx="2">
                  <c:v>1.2956036764924597</c:v>
                </c:pt>
                <c:pt idx="3">
                  <c:v>1.2852553191681484</c:v>
                </c:pt>
                <c:pt idx="4">
                  <c:v>1.2680358990657821</c:v>
                </c:pt>
              </c:numCache>
            </c:numRef>
          </c:val>
          <c:smooth val="0"/>
          <c:extLst>
            <c:ext xmlns:c16="http://schemas.microsoft.com/office/drawing/2014/chart" uri="{C3380CC4-5D6E-409C-BE32-E72D297353CC}">
              <c16:uniqueId val="{00000003-C33E-49CA-9027-C98C61F1C936}"/>
            </c:ext>
          </c:extLst>
        </c:ser>
        <c:dLbls>
          <c:showLegendKey val="0"/>
          <c:showVal val="0"/>
          <c:showCatName val="0"/>
          <c:showSerName val="0"/>
          <c:showPercent val="0"/>
          <c:showBubbleSize val="0"/>
        </c:dLbls>
        <c:smooth val="0"/>
        <c:axId val="574372712"/>
        <c:axId val="574373368"/>
      </c:lineChart>
      <c:catAx>
        <c:axId val="574372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373368"/>
        <c:crosses val="autoZero"/>
        <c:auto val="1"/>
        <c:lblAlgn val="ctr"/>
        <c:lblOffset val="100"/>
        <c:noMultiLvlLbl val="0"/>
      </c:catAx>
      <c:valAx>
        <c:axId val="574373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372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Working Capital Ratios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Day's Inventory</c:v>
          </c:tx>
          <c:spPr>
            <a:solidFill>
              <a:schemeClr val="accent1"/>
            </a:solidFill>
            <a:ln>
              <a:noFill/>
            </a:ln>
            <a:effectLst/>
          </c:spPr>
          <c:invertIfNegative val="0"/>
          <c:cat>
            <c:numRef>
              <c:f>'BEL Analysis'!$E$3:$I$3</c:f>
              <c:numCache>
                <c:formatCode>General</c:formatCode>
                <c:ptCount val="5"/>
                <c:pt idx="0">
                  <c:v>2018</c:v>
                </c:pt>
                <c:pt idx="1">
                  <c:v>2019</c:v>
                </c:pt>
                <c:pt idx="2">
                  <c:v>2020</c:v>
                </c:pt>
                <c:pt idx="3">
                  <c:v>2021</c:v>
                </c:pt>
                <c:pt idx="4">
                  <c:v>2022</c:v>
                </c:pt>
              </c:numCache>
            </c:numRef>
          </c:cat>
          <c:val>
            <c:numRef>
              <c:f>'BEL Analysis'!$E$57:$I$57</c:f>
              <c:numCache>
                <c:formatCode>0.00</c:formatCode>
                <c:ptCount val="5"/>
                <c:pt idx="0">
                  <c:v>159.41257930255713</c:v>
                </c:pt>
                <c:pt idx="1">
                  <c:v>133.32785960735504</c:v>
                </c:pt>
                <c:pt idx="2">
                  <c:v>111.41396256999137</c:v>
                </c:pt>
                <c:pt idx="3">
                  <c:v>128.52452637346204</c:v>
                </c:pt>
                <c:pt idx="4">
                  <c:v>132.80970811117518</c:v>
                </c:pt>
              </c:numCache>
            </c:numRef>
          </c:val>
          <c:extLst>
            <c:ext xmlns:c16="http://schemas.microsoft.com/office/drawing/2014/chart" uri="{C3380CC4-5D6E-409C-BE32-E72D297353CC}">
              <c16:uniqueId val="{00000000-AA7C-4734-8AB6-2562AAD62DB9}"/>
            </c:ext>
          </c:extLst>
        </c:ser>
        <c:ser>
          <c:idx val="1"/>
          <c:order val="1"/>
          <c:tx>
            <c:v>Day's Receivable</c:v>
          </c:tx>
          <c:spPr>
            <a:solidFill>
              <a:schemeClr val="accent2"/>
            </a:solidFill>
            <a:ln>
              <a:noFill/>
            </a:ln>
            <a:effectLst/>
          </c:spPr>
          <c:invertIfNegative val="0"/>
          <c:cat>
            <c:numRef>
              <c:f>'BEL Analysis'!$E$3:$I$3</c:f>
              <c:numCache>
                <c:formatCode>General</c:formatCode>
                <c:ptCount val="5"/>
                <c:pt idx="0">
                  <c:v>2018</c:v>
                </c:pt>
                <c:pt idx="1">
                  <c:v>2019</c:v>
                </c:pt>
                <c:pt idx="2">
                  <c:v>2020</c:v>
                </c:pt>
                <c:pt idx="3">
                  <c:v>2021</c:v>
                </c:pt>
                <c:pt idx="4">
                  <c:v>2022</c:v>
                </c:pt>
              </c:numCache>
            </c:numRef>
          </c:cat>
          <c:val>
            <c:numRef>
              <c:f>'BEL Analysis'!$E$59:$I$59</c:f>
              <c:numCache>
                <c:formatCode>0.00</c:formatCode>
                <c:ptCount val="5"/>
                <c:pt idx="0">
                  <c:v>174.55332107473799</c:v>
                </c:pt>
                <c:pt idx="1">
                  <c:v>161.243187985699</c:v>
                </c:pt>
                <c:pt idx="2">
                  <c:v>189.26046853443989</c:v>
                </c:pt>
                <c:pt idx="3">
                  <c:v>169.76249035169107</c:v>
                </c:pt>
                <c:pt idx="4">
                  <c:v>145.06941290380516</c:v>
                </c:pt>
              </c:numCache>
            </c:numRef>
          </c:val>
          <c:extLst>
            <c:ext xmlns:c16="http://schemas.microsoft.com/office/drawing/2014/chart" uri="{C3380CC4-5D6E-409C-BE32-E72D297353CC}">
              <c16:uniqueId val="{00000001-AA7C-4734-8AB6-2562AAD62DB9}"/>
            </c:ext>
          </c:extLst>
        </c:ser>
        <c:ser>
          <c:idx val="2"/>
          <c:order val="2"/>
          <c:tx>
            <c:v>Day's Payable</c:v>
          </c:tx>
          <c:spPr>
            <a:solidFill>
              <a:schemeClr val="accent3"/>
            </a:solidFill>
            <a:ln>
              <a:noFill/>
            </a:ln>
            <a:effectLst/>
          </c:spPr>
          <c:invertIfNegative val="0"/>
          <c:cat>
            <c:numRef>
              <c:f>'BEL Analysis'!$E$3:$I$3</c:f>
              <c:numCache>
                <c:formatCode>General</c:formatCode>
                <c:ptCount val="5"/>
                <c:pt idx="0">
                  <c:v>2018</c:v>
                </c:pt>
                <c:pt idx="1">
                  <c:v>2019</c:v>
                </c:pt>
                <c:pt idx="2">
                  <c:v>2020</c:v>
                </c:pt>
                <c:pt idx="3">
                  <c:v>2021</c:v>
                </c:pt>
                <c:pt idx="4">
                  <c:v>2022</c:v>
                </c:pt>
              </c:numCache>
            </c:numRef>
          </c:cat>
          <c:val>
            <c:numRef>
              <c:f>'BEL Analysis'!$E$61:$I$61</c:f>
              <c:numCache>
                <c:formatCode>0.00</c:formatCode>
                <c:ptCount val="5"/>
                <c:pt idx="0">
                  <c:v>47.656053889497159</c:v>
                </c:pt>
                <c:pt idx="1">
                  <c:v>88.055490133405101</c:v>
                </c:pt>
                <c:pt idx="2">
                  <c:v>126.00565991478426</c:v>
                </c:pt>
                <c:pt idx="3">
                  <c:v>153.85795370327779</c:v>
                </c:pt>
                <c:pt idx="4">
                  <c:v>138.22326450238052</c:v>
                </c:pt>
              </c:numCache>
            </c:numRef>
          </c:val>
          <c:extLst>
            <c:ext xmlns:c16="http://schemas.microsoft.com/office/drawing/2014/chart" uri="{C3380CC4-5D6E-409C-BE32-E72D297353CC}">
              <c16:uniqueId val="{00000002-AA7C-4734-8AB6-2562AAD62DB9}"/>
            </c:ext>
          </c:extLst>
        </c:ser>
        <c:ser>
          <c:idx val="3"/>
          <c:order val="3"/>
          <c:tx>
            <c:v>Cash Cycle (Days)</c:v>
          </c:tx>
          <c:spPr>
            <a:solidFill>
              <a:schemeClr val="accent4"/>
            </a:solidFill>
            <a:ln>
              <a:noFill/>
            </a:ln>
            <a:effectLst/>
          </c:spPr>
          <c:invertIfNegative val="0"/>
          <c:cat>
            <c:numRef>
              <c:f>'BEL Analysis'!$E$3:$I$3</c:f>
              <c:numCache>
                <c:formatCode>General</c:formatCode>
                <c:ptCount val="5"/>
                <c:pt idx="0">
                  <c:v>2018</c:v>
                </c:pt>
                <c:pt idx="1">
                  <c:v>2019</c:v>
                </c:pt>
                <c:pt idx="2">
                  <c:v>2020</c:v>
                </c:pt>
                <c:pt idx="3">
                  <c:v>2021</c:v>
                </c:pt>
                <c:pt idx="4">
                  <c:v>2022</c:v>
                </c:pt>
              </c:numCache>
            </c:numRef>
          </c:cat>
          <c:val>
            <c:numRef>
              <c:f>'BEL Analysis'!$E$62:$I$62</c:f>
              <c:numCache>
                <c:formatCode>0.00</c:formatCode>
                <c:ptCount val="5"/>
                <c:pt idx="0">
                  <c:v>286.30984648779798</c:v>
                </c:pt>
                <c:pt idx="1">
                  <c:v>206.5155574596489</c:v>
                </c:pt>
                <c:pt idx="2">
                  <c:v>174.66877118964703</c:v>
                </c:pt>
                <c:pt idx="3">
                  <c:v>144.42906302187529</c:v>
                </c:pt>
                <c:pt idx="4">
                  <c:v>139.65585651259983</c:v>
                </c:pt>
              </c:numCache>
            </c:numRef>
          </c:val>
          <c:extLst>
            <c:ext xmlns:c16="http://schemas.microsoft.com/office/drawing/2014/chart" uri="{C3380CC4-5D6E-409C-BE32-E72D297353CC}">
              <c16:uniqueId val="{00000003-AA7C-4734-8AB6-2562AAD62DB9}"/>
            </c:ext>
          </c:extLst>
        </c:ser>
        <c:dLbls>
          <c:showLegendKey val="0"/>
          <c:showVal val="0"/>
          <c:showCatName val="0"/>
          <c:showSerName val="0"/>
          <c:showPercent val="0"/>
          <c:showBubbleSize val="0"/>
        </c:dLbls>
        <c:gapWidth val="219"/>
        <c:overlap val="-27"/>
        <c:axId val="604960824"/>
        <c:axId val="604961480"/>
      </c:barChart>
      <c:catAx>
        <c:axId val="604960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961480"/>
        <c:crosses val="autoZero"/>
        <c:auto val="1"/>
        <c:lblAlgn val="ctr"/>
        <c:lblOffset val="100"/>
        <c:noMultiLvlLbl val="0"/>
      </c:catAx>
      <c:valAx>
        <c:axId val="604961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960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Liquidity Ratios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Current Ratio</c:v>
          </c:tx>
          <c:spPr>
            <a:ln w="28575" cap="rnd">
              <a:solidFill>
                <a:schemeClr val="accent1"/>
              </a:solidFill>
              <a:round/>
            </a:ln>
            <a:effectLst/>
          </c:spPr>
          <c:marker>
            <c:symbol val="none"/>
          </c:marker>
          <c:cat>
            <c:numRef>
              <c:f>'BEL Analysis'!$E$3:$I$3</c:f>
              <c:numCache>
                <c:formatCode>General</c:formatCode>
                <c:ptCount val="5"/>
                <c:pt idx="0">
                  <c:v>2018</c:v>
                </c:pt>
                <c:pt idx="1">
                  <c:v>2019</c:v>
                </c:pt>
                <c:pt idx="2">
                  <c:v>2020</c:v>
                </c:pt>
                <c:pt idx="3">
                  <c:v>2021</c:v>
                </c:pt>
                <c:pt idx="4">
                  <c:v>2022</c:v>
                </c:pt>
              </c:numCache>
            </c:numRef>
          </c:cat>
          <c:val>
            <c:numRef>
              <c:f>'BEL Analysis'!$E$78:$I$78</c:f>
              <c:numCache>
                <c:formatCode>0.00</c:formatCode>
                <c:ptCount val="5"/>
                <c:pt idx="0">
                  <c:v>1.4454587527712714</c:v>
                </c:pt>
                <c:pt idx="1">
                  <c:v>1.5192668979543007</c:v>
                </c:pt>
                <c:pt idx="2">
                  <c:v>1.4564353957648697</c:v>
                </c:pt>
                <c:pt idx="3">
                  <c:v>1.4090281677169028</c:v>
                </c:pt>
                <c:pt idx="4">
                  <c:v>1.3938845944852776</c:v>
                </c:pt>
              </c:numCache>
            </c:numRef>
          </c:val>
          <c:smooth val="0"/>
          <c:extLst>
            <c:ext xmlns:c16="http://schemas.microsoft.com/office/drawing/2014/chart" uri="{C3380CC4-5D6E-409C-BE32-E72D297353CC}">
              <c16:uniqueId val="{00000000-BB9C-4353-B767-68BD15AEB8A0}"/>
            </c:ext>
          </c:extLst>
        </c:ser>
        <c:ser>
          <c:idx val="1"/>
          <c:order val="1"/>
          <c:tx>
            <c:v>Quick Ratio</c:v>
          </c:tx>
          <c:spPr>
            <a:ln w="28575" cap="rnd">
              <a:solidFill>
                <a:schemeClr val="accent2"/>
              </a:solidFill>
              <a:round/>
            </a:ln>
            <a:effectLst/>
          </c:spPr>
          <c:marker>
            <c:symbol val="none"/>
          </c:marker>
          <c:cat>
            <c:numRef>
              <c:f>'BEL Analysis'!$E$3:$I$3</c:f>
              <c:numCache>
                <c:formatCode>General</c:formatCode>
                <c:ptCount val="5"/>
                <c:pt idx="0">
                  <c:v>2018</c:v>
                </c:pt>
                <c:pt idx="1">
                  <c:v>2019</c:v>
                </c:pt>
                <c:pt idx="2">
                  <c:v>2020</c:v>
                </c:pt>
                <c:pt idx="3">
                  <c:v>2021</c:v>
                </c:pt>
                <c:pt idx="4">
                  <c:v>2022</c:v>
                </c:pt>
              </c:numCache>
            </c:numRef>
          </c:cat>
          <c:val>
            <c:numRef>
              <c:f>'BEL Analysis'!$E$79:$I$79</c:f>
              <c:numCache>
                <c:formatCode>0.00</c:formatCode>
                <c:ptCount val="5"/>
                <c:pt idx="0">
                  <c:v>0.98271858434264536</c:v>
                </c:pt>
                <c:pt idx="1">
                  <c:v>1.094015073573394</c:v>
                </c:pt>
                <c:pt idx="2">
                  <c:v>1.1487728630811178</c:v>
                </c:pt>
                <c:pt idx="3">
                  <c:v>1.1138342974113984</c:v>
                </c:pt>
                <c:pt idx="4">
                  <c:v>1.1083073217765758</c:v>
                </c:pt>
              </c:numCache>
            </c:numRef>
          </c:val>
          <c:smooth val="0"/>
          <c:extLst>
            <c:ext xmlns:c16="http://schemas.microsoft.com/office/drawing/2014/chart" uri="{C3380CC4-5D6E-409C-BE32-E72D297353CC}">
              <c16:uniqueId val="{00000001-BB9C-4353-B767-68BD15AEB8A0}"/>
            </c:ext>
          </c:extLst>
        </c:ser>
        <c:dLbls>
          <c:showLegendKey val="0"/>
          <c:showVal val="0"/>
          <c:showCatName val="0"/>
          <c:showSerName val="0"/>
          <c:showPercent val="0"/>
          <c:showBubbleSize val="0"/>
        </c:dLbls>
        <c:smooth val="0"/>
        <c:axId val="456482768"/>
        <c:axId val="456474568"/>
      </c:lineChart>
      <c:catAx>
        <c:axId val="45648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474568"/>
        <c:crosses val="autoZero"/>
        <c:auto val="1"/>
        <c:lblAlgn val="ctr"/>
        <c:lblOffset val="100"/>
        <c:noMultiLvlLbl val="0"/>
      </c:catAx>
      <c:valAx>
        <c:axId val="4564745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482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&amp; Bottom</a:t>
            </a:r>
            <a:r>
              <a:rPr lang="en-IN" baseline="0"/>
              <a:t> Line Growth (YOY)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Top Line Growth </c:v>
          </c:tx>
          <c:spPr>
            <a:solidFill>
              <a:schemeClr val="accent1"/>
            </a:solidFill>
            <a:ln>
              <a:noFill/>
            </a:ln>
            <a:effectLst/>
          </c:spPr>
          <c:invertIfNegative val="0"/>
          <c:cat>
            <c:numRef>
              <c:f>'BEL Analysis'!$F$3:$I$3</c:f>
              <c:numCache>
                <c:formatCode>General</c:formatCode>
                <c:ptCount val="4"/>
                <c:pt idx="0">
                  <c:v>2019</c:v>
                </c:pt>
                <c:pt idx="1">
                  <c:v>2020</c:v>
                </c:pt>
                <c:pt idx="2">
                  <c:v>2021</c:v>
                </c:pt>
                <c:pt idx="3">
                  <c:v>2022</c:v>
                </c:pt>
              </c:numCache>
            </c:numRef>
          </c:cat>
          <c:val>
            <c:numRef>
              <c:f>'BEL Analysis'!$F$88:$I$88</c:f>
              <c:numCache>
                <c:formatCode>0.00%</c:formatCode>
                <c:ptCount val="4"/>
                <c:pt idx="0">
                  <c:v>0.16013203422742239</c:v>
                </c:pt>
                <c:pt idx="1">
                  <c:v>6.6054650666671044E-2</c:v>
                </c:pt>
                <c:pt idx="2">
                  <c:v>8.7989592579083231E-2</c:v>
                </c:pt>
                <c:pt idx="3">
                  <c:v>8.9270513421161102E-2</c:v>
                </c:pt>
              </c:numCache>
            </c:numRef>
          </c:val>
          <c:extLst>
            <c:ext xmlns:c16="http://schemas.microsoft.com/office/drawing/2014/chart" uri="{C3380CC4-5D6E-409C-BE32-E72D297353CC}">
              <c16:uniqueId val="{00000000-0BF5-41BC-BD80-4A03C708380E}"/>
            </c:ext>
          </c:extLst>
        </c:ser>
        <c:ser>
          <c:idx val="1"/>
          <c:order val="1"/>
          <c:tx>
            <c:v>Bottom Line Growth </c:v>
          </c:tx>
          <c:spPr>
            <a:solidFill>
              <a:schemeClr val="accent2"/>
            </a:solidFill>
            <a:ln>
              <a:noFill/>
            </a:ln>
            <a:effectLst/>
          </c:spPr>
          <c:invertIfNegative val="0"/>
          <c:cat>
            <c:numRef>
              <c:f>'BEL Analysis'!$F$3:$I$3</c:f>
              <c:numCache>
                <c:formatCode>General</c:formatCode>
                <c:ptCount val="4"/>
                <c:pt idx="0">
                  <c:v>2019</c:v>
                </c:pt>
                <c:pt idx="1">
                  <c:v>2020</c:v>
                </c:pt>
                <c:pt idx="2">
                  <c:v>2021</c:v>
                </c:pt>
                <c:pt idx="3">
                  <c:v>2022</c:v>
                </c:pt>
              </c:numCache>
            </c:numRef>
          </c:cat>
          <c:val>
            <c:numRef>
              <c:f>'BEL Analysis'!$F$89:$I$89</c:f>
              <c:numCache>
                <c:formatCode>0.00%</c:formatCode>
                <c:ptCount val="4"/>
                <c:pt idx="0">
                  <c:v>0.16336510601229359</c:v>
                </c:pt>
                <c:pt idx="1">
                  <c:v>-5.6363825808468326E-2</c:v>
                </c:pt>
                <c:pt idx="2">
                  <c:v>0.22926897305213489</c:v>
                </c:pt>
                <c:pt idx="3">
                  <c:v>6.4621508670410943E-2</c:v>
                </c:pt>
              </c:numCache>
            </c:numRef>
          </c:val>
          <c:extLst>
            <c:ext xmlns:c16="http://schemas.microsoft.com/office/drawing/2014/chart" uri="{C3380CC4-5D6E-409C-BE32-E72D297353CC}">
              <c16:uniqueId val="{00000001-0BF5-41BC-BD80-4A03C708380E}"/>
            </c:ext>
          </c:extLst>
        </c:ser>
        <c:dLbls>
          <c:showLegendKey val="0"/>
          <c:showVal val="0"/>
          <c:showCatName val="0"/>
          <c:showSerName val="0"/>
          <c:showPercent val="0"/>
          <c:showBubbleSize val="0"/>
        </c:dLbls>
        <c:gapWidth val="219"/>
        <c:overlap val="-27"/>
        <c:axId val="612158424"/>
        <c:axId val="612158752"/>
      </c:barChart>
      <c:catAx>
        <c:axId val="612158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158752"/>
        <c:crosses val="autoZero"/>
        <c:auto val="1"/>
        <c:lblAlgn val="ctr"/>
        <c:lblOffset val="100"/>
        <c:noMultiLvlLbl val="0"/>
      </c:catAx>
      <c:valAx>
        <c:axId val="6121587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158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309282</xdr:colOff>
      <xdr:row>0</xdr:row>
      <xdr:rowOff>152399</xdr:rowOff>
    </xdr:from>
    <xdr:to>
      <xdr:col>19</xdr:col>
      <xdr:colOff>4482</xdr:colOff>
      <xdr:row>13</xdr:row>
      <xdr:rowOff>26893</xdr:rowOff>
    </xdr:to>
    <xdr:graphicFrame macro="">
      <xdr:nvGraphicFramePr>
        <xdr:cNvPr id="2" name="Chart 1">
          <a:extLst>
            <a:ext uri="{FF2B5EF4-FFF2-40B4-BE49-F238E27FC236}">
              <a16:creationId xmlns:a16="http://schemas.microsoft.com/office/drawing/2014/main" id="{C8186D59-872E-1E50-823E-425CD472C3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156883</xdr:colOff>
      <xdr:row>0</xdr:row>
      <xdr:rowOff>152400</xdr:rowOff>
    </xdr:from>
    <xdr:to>
      <xdr:col>26</xdr:col>
      <xdr:colOff>461683</xdr:colOff>
      <xdr:row>13</xdr:row>
      <xdr:rowOff>26894</xdr:rowOff>
    </xdr:to>
    <xdr:graphicFrame macro="">
      <xdr:nvGraphicFramePr>
        <xdr:cNvPr id="3" name="Chart 2">
          <a:extLst>
            <a:ext uri="{FF2B5EF4-FFF2-40B4-BE49-F238E27FC236}">
              <a16:creationId xmlns:a16="http://schemas.microsoft.com/office/drawing/2014/main" id="{D74CBEB7-E5C0-37AB-0D2D-B92CDB8E4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282389</xdr:colOff>
      <xdr:row>15</xdr:row>
      <xdr:rowOff>35860</xdr:rowOff>
    </xdr:from>
    <xdr:to>
      <xdr:col>29</xdr:col>
      <xdr:colOff>587189</xdr:colOff>
      <xdr:row>28</xdr:row>
      <xdr:rowOff>179295</xdr:rowOff>
    </xdr:to>
    <xdr:graphicFrame macro="">
      <xdr:nvGraphicFramePr>
        <xdr:cNvPr id="4" name="Chart 3">
          <a:extLst>
            <a:ext uri="{FF2B5EF4-FFF2-40B4-BE49-F238E27FC236}">
              <a16:creationId xmlns:a16="http://schemas.microsoft.com/office/drawing/2014/main" id="{DFFC14E2-449F-3108-94B9-2FEF537BA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318248</xdr:colOff>
      <xdr:row>15</xdr:row>
      <xdr:rowOff>35859</xdr:rowOff>
    </xdr:from>
    <xdr:to>
      <xdr:col>38</xdr:col>
      <xdr:colOff>13448</xdr:colOff>
      <xdr:row>28</xdr:row>
      <xdr:rowOff>179294</xdr:rowOff>
    </xdr:to>
    <xdr:graphicFrame macro="">
      <xdr:nvGraphicFramePr>
        <xdr:cNvPr id="5" name="Chart 4">
          <a:extLst>
            <a:ext uri="{FF2B5EF4-FFF2-40B4-BE49-F238E27FC236}">
              <a16:creationId xmlns:a16="http://schemas.microsoft.com/office/drawing/2014/main" id="{FD3E3AF5-0B84-9B18-61E7-26A38339B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0</xdr:colOff>
      <xdr:row>1</xdr:row>
      <xdr:rowOff>0</xdr:rowOff>
    </xdr:from>
    <xdr:to>
      <xdr:col>36</xdr:col>
      <xdr:colOff>304800</xdr:colOff>
      <xdr:row>13</xdr:row>
      <xdr:rowOff>71718</xdr:rowOff>
    </xdr:to>
    <xdr:graphicFrame macro="">
      <xdr:nvGraphicFramePr>
        <xdr:cNvPr id="8" name="Chart 7">
          <a:extLst>
            <a:ext uri="{FF2B5EF4-FFF2-40B4-BE49-F238E27FC236}">
              <a16:creationId xmlns:a16="http://schemas.microsoft.com/office/drawing/2014/main" id="{EB82EC5B-47BB-4E62-978B-86B01074D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0</xdr:colOff>
      <xdr:row>1</xdr:row>
      <xdr:rowOff>0</xdr:rowOff>
    </xdr:from>
    <xdr:to>
      <xdr:col>45</xdr:col>
      <xdr:colOff>304800</xdr:colOff>
      <xdr:row>13</xdr:row>
      <xdr:rowOff>71718</xdr:rowOff>
    </xdr:to>
    <xdr:graphicFrame macro="">
      <xdr:nvGraphicFramePr>
        <xdr:cNvPr id="10" name="Chart 9">
          <a:extLst>
            <a:ext uri="{FF2B5EF4-FFF2-40B4-BE49-F238E27FC236}">
              <a16:creationId xmlns:a16="http://schemas.microsoft.com/office/drawing/2014/main" id="{C7381A0F-C786-4F66-8F73-9D71D25F2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39</xdr:col>
      <xdr:colOff>0</xdr:colOff>
      <xdr:row>15</xdr:row>
      <xdr:rowOff>0</xdr:rowOff>
    </xdr:from>
    <xdr:to>
      <xdr:col>46</xdr:col>
      <xdr:colOff>304800</xdr:colOff>
      <xdr:row>28</xdr:row>
      <xdr:rowOff>143435</xdr:rowOff>
    </xdr:to>
    <xdr:graphicFrame macro="">
      <xdr:nvGraphicFramePr>
        <xdr:cNvPr id="12" name="Chart 11">
          <a:extLst>
            <a:ext uri="{FF2B5EF4-FFF2-40B4-BE49-F238E27FC236}">
              <a16:creationId xmlns:a16="http://schemas.microsoft.com/office/drawing/2014/main" id="{A6C5CB0B-41D2-4FCF-B1EC-5329E2329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47</xdr:col>
      <xdr:colOff>0</xdr:colOff>
      <xdr:row>1</xdr:row>
      <xdr:rowOff>0</xdr:rowOff>
    </xdr:from>
    <xdr:to>
      <xdr:col>54</xdr:col>
      <xdr:colOff>304800</xdr:colOff>
      <xdr:row>13</xdr:row>
      <xdr:rowOff>71718</xdr:rowOff>
    </xdr:to>
    <xdr:graphicFrame macro="">
      <xdr:nvGraphicFramePr>
        <xdr:cNvPr id="14" name="Chart 13">
          <a:extLst>
            <a:ext uri="{FF2B5EF4-FFF2-40B4-BE49-F238E27FC236}">
              <a16:creationId xmlns:a16="http://schemas.microsoft.com/office/drawing/2014/main" id="{5121CC0F-B1F4-4604-B460-B09BB1407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159FEB-22CA-4141-AF0E-A8BB6F198E3A}" name="Table1" displayName="Table1" ref="B3:E9" totalsRowShown="0" headerRowDxfId="6" dataDxfId="4" headerRowBorderDxfId="5">
  <tableColumns count="4">
    <tableColumn id="1" xr3:uid="{9385BC13-DD2D-4FDC-BF79-6C870A3322A1}" name="Company in the year 2022" dataDxfId="3"/>
    <tableColumn id="2" xr3:uid="{689EEEE9-583D-4B64-8FD0-DECFAE5C78A9}" name="Net cash flow from operating activities" dataDxfId="2"/>
    <tableColumn id="3" xr3:uid="{D103B49D-E446-4D15-A632-945E3FE8651A}" name="Net cash inflow or (outflow) from investment activities" dataDxfId="1"/>
    <tableColumn id="4" xr3:uid="{0AA75697-DC8E-44E5-97D4-D90810865739}" name="Net cash inflow or (outflow) from financing activities"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conomictimes.indiatimes.com/bharat-electronics-ltd/infocompanydividends/companyid-11945.c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FD6C7-5C6C-4B41-A900-15A0C14655E4}">
  <dimension ref="B1:AA185"/>
  <sheetViews>
    <sheetView topLeftCell="J73" zoomScale="85" zoomScaleNormal="85" workbookViewId="0">
      <selection activeCell="N88" sqref="N88:R90"/>
    </sheetView>
  </sheetViews>
  <sheetFormatPr defaultRowHeight="15.6" x14ac:dyDescent="0.3"/>
  <cols>
    <col min="1" max="1" width="8.88671875" style="62"/>
    <col min="2" max="2" width="71.21875" style="62" customWidth="1"/>
    <col min="3" max="3" width="17.77734375" style="160" customWidth="1"/>
    <col min="4" max="4" width="17.44140625" style="160" customWidth="1"/>
    <col min="5" max="5" width="17.88671875" style="160" customWidth="1"/>
    <col min="6" max="6" width="17.5546875" style="160" customWidth="1"/>
    <col min="7" max="7" width="16.44140625" style="160" customWidth="1"/>
    <col min="8" max="11" width="8.88671875" style="62"/>
    <col min="12" max="12" width="63.33203125" style="62" bestFit="1" customWidth="1"/>
    <col min="13" max="13" width="44.33203125" style="62" customWidth="1"/>
    <col min="14" max="15" width="15.21875" style="62" customWidth="1"/>
    <col min="16" max="16" width="15.77734375" style="62" customWidth="1"/>
    <col min="17" max="18" width="15.21875" style="62" customWidth="1"/>
    <col min="19" max="21" width="8.88671875" style="62"/>
    <col min="22" max="22" width="81.77734375" style="110" bestFit="1" customWidth="1"/>
    <col min="23" max="23" width="12.44140625" style="111" customWidth="1"/>
    <col min="24" max="24" width="12.44140625" style="112" customWidth="1"/>
    <col min="25" max="25" width="16.77734375" style="112" bestFit="1" customWidth="1"/>
    <col min="26" max="27" width="12.44140625" style="113" customWidth="1"/>
    <col min="28" max="16384" width="8.88671875" style="62"/>
  </cols>
  <sheetData>
    <row r="1" spans="2:27" ht="17.399999999999999" x14ac:dyDescent="0.3">
      <c r="B1" s="299" t="s">
        <v>179</v>
      </c>
      <c r="C1" s="299"/>
      <c r="D1" s="299"/>
      <c r="E1" s="299"/>
      <c r="F1" s="299"/>
      <c r="G1" s="299"/>
      <c r="V1" s="79"/>
      <c r="W1" s="106"/>
      <c r="X1" s="107"/>
      <c r="Y1" s="107"/>
      <c r="Z1" s="107"/>
      <c r="AA1" s="107"/>
    </row>
    <row r="2" spans="2:27" x14ac:dyDescent="0.3">
      <c r="B2" s="300" t="s">
        <v>184</v>
      </c>
      <c r="C2" s="300"/>
      <c r="D2" s="300"/>
      <c r="E2" s="300"/>
      <c r="F2" s="300"/>
      <c r="G2" s="300"/>
      <c r="L2" s="57" t="s">
        <v>0</v>
      </c>
      <c r="M2" s="57"/>
      <c r="N2" s="57"/>
      <c r="O2" s="57"/>
      <c r="P2" s="57"/>
      <c r="Q2" s="57"/>
      <c r="R2" s="57"/>
      <c r="V2" s="294" t="s">
        <v>1</v>
      </c>
      <c r="W2" s="294"/>
      <c r="X2" s="294"/>
      <c r="Y2" s="294"/>
      <c r="Z2" s="294"/>
      <c r="AA2" s="294"/>
    </row>
    <row r="3" spans="2:27" ht="46.8" x14ac:dyDescent="0.3">
      <c r="B3" s="58" t="s">
        <v>169</v>
      </c>
      <c r="C3" s="127" t="s">
        <v>188</v>
      </c>
      <c r="D3" s="127" t="s">
        <v>189</v>
      </c>
      <c r="E3" s="127" t="s">
        <v>190</v>
      </c>
      <c r="F3" s="127" t="s">
        <v>191</v>
      </c>
      <c r="G3" s="168" t="s">
        <v>187</v>
      </c>
      <c r="L3" s="272" t="s">
        <v>311</v>
      </c>
      <c r="M3" s="272"/>
      <c r="N3" s="271">
        <v>2018</v>
      </c>
      <c r="O3" s="271">
        <v>2019</v>
      </c>
      <c r="P3" s="271">
        <v>2020</v>
      </c>
      <c r="Q3" s="271">
        <v>2021</v>
      </c>
      <c r="R3" s="271">
        <v>2022</v>
      </c>
      <c r="V3" s="51" t="str">
        <f>L3</f>
        <v>Particulars (₹ in lakhs)</v>
      </c>
      <c r="W3" s="211">
        <v>2018</v>
      </c>
      <c r="X3" s="211">
        <f>Q3</f>
        <v>2021</v>
      </c>
      <c r="Y3" s="211">
        <f>R3</f>
        <v>2022</v>
      </c>
      <c r="Z3" s="211">
        <v>2021</v>
      </c>
      <c r="AA3" s="212">
        <v>2022</v>
      </c>
    </row>
    <row r="4" spans="2:27" x14ac:dyDescent="0.3">
      <c r="B4" s="63" t="s">
        <v>183</v>
      </c>
      <c r="C4" s="128">
        <v>1048516</v>
      </c>
      <c r="D4" s="128">
        <v>1216417</v>
      </c>
      <c r="E4" s="128">
        <v>1296767</v>
      </c>
      <c r="F4" s="128">
        <v>1410869</v>
      </c>
      <c r="G4" s="169">
        <v>1536818</v>
      </c>
      <c r="L4" s="1" t="s">
        <v>2</v>
      </c>
      <c r="M4" s="1"/>
      <c r="N4" s="190">
        <f>C4</f>
        <v>1048516</v>
      </c>
      <c r="O4" s="190">
        <f t="shared" ref="O4:R5" si="0">D4</f>
        <v>1216417</v>
      </c>
      <c r="P4" s="190">
        <f t="shared" si="0"/>
        <v>1296767</v>
      </c>
      <c r="Q4" s="190">
        <f t="shared" si="0"/>
        <v>1410869</v>
      </c>
      <c r="R4" s="190">
        <f t="shared" si="0"/>
        <v>1536818</v>
      </c>
      <c r="V4" s="51" t="str">
        <f>L4</f>
        <v>Revenue from Operations (Sales/Turnover)</v>
      </c>
      <c r="W4" s="108">
        <f>N4/N$6</f>
        <v>0.98167474807810962</v>
      </c>
      <c r="X4" s="108">
        <f t="shared" ref="X4:Z18" si="1">O4/O$6</f>
        <v>0.99403538075828046</v>
      </c>
      <c r="Y4" s="108">
        <f t="shared" si="1"/>
        <v>0.99239309194792713</v>
      </c>
      <c r="Z4" s="108">
        <f t="shared" si="1"/>
        <v>0.99122080422098335</v>
      </c>
      <c r="AA4" s="210">
        <f>R4/$R$6</f>
        <v>0.9851574259025162</v>
      </c>
    </row>
    <row r="5" spans="2:27" x14ac:dyDescent="0.3">
      <c r="B5" s="68" t="s">
        <v>185</v>
      </c>
      <c r="C5" s="128">
        <v>19573</v>
      </c>
      <c r="D5" s="128">
        <v>7299</v>
      </c>
      <c r="E5" s="128">
        <v>9940</v>
      </c>
      <c r="F5" s="128">
        <v>12496</v>
      </c>
      <c r="G5" s="169">
        <v>23154</v>
      </c>
      <c r="L5" s="2" t="s">
        <v>3</v>
      </c>
      <c r="M5" s="2"/>
      <c r="N5" s="191">
        <f>C5</f>
        <v>19573</v>
      </c>
      <c r="O5" s="191">
        <f t="shared" si="0"/>
        <v>7299</v>
      </c>
      <c r="P5" s="191">
        <f t="shared" si="0"/>
        <v>9940</v>
      </c>
      <c r="Q5" s="191">
        <f t="shared" si="0"/>
        <v>12496</v>
      </c>
      <c r="R5" s="191">
        <f t="shared" si="0"/>
        <v>23154</v>
      </c>
      <c r="V5" s="52" t="str">
        <f t="shared" ref="V5:V21" si="2">L5</f>
        <v>Other Income</v>
      </c>
      <c r="W5" s="109">
        <f t="shared" ref="W5:W21" si="3">N5/N$6</f>
        <v>1.8325251921890405E-2</v>
      </c>
      <c r="X5" s="109">
        <f t="shared" si="1"/>
        <v>5.9646192417194838E-3</v>
      </c>
      <c r="Y5" s="109">
        <f t="shared" si="1"/>
        <v>7.6069080520728824E-3</v>
      </c>
      <c r="Z5" s="194">
        <f t="shared" si="1"/>
        <v>8.7791957790166256E-3</v>
      </c>
      <c r="AA5" s="210">
        <f t="shared" ref="AA5:AA21" si="4">R5/$R$6</f>
        <v>1.4842574097483801E-2</v>
      </c>
    </row>
    <row r="6" spans="2:27" ht="16.2" thickBot="1" x14ac:dyDescent="0.35">
      <c r="B6" s="69" t="s">
        <v>201</v>
      </c>
      <c r="C6" s="129">
        <f>SUM(C4:C5)</f>
        <v>1068089</v>
      </c>
      <c r="D6" s="129">
        <f t="shared" ref="D6:G6" si="5">SUM(D4:D5)</f>
        <v>1223716</v>
      </c>
      <c r="E6" s="129">
        <f t="shared" si="5"/>
        <v>1306707</v>
      </c>
      <c r="F6" s="129">
        <f t="shared" si="5"/>
        <v>1423365</v>
      </c>
      <c r="G6" s="170">
        <f t="shared" si="5"/>
        <v>1559972</v>
      </c>
      <c r="L6" s="1" t="s">
        <v>4</v>
      </c>
      <c r="M6" s="1"/>
      <c r="N6" s="190">
        <f>SUM(N4:N5)</f>
        <v>1068089</v>
      </c>
      <c r="O6" s="190">
        <f t="shared" ref="O6:R6" si="6">SUM(O4:O5)</f>
        <v>1223716</v>
      </c>
      <c r="P6" s="190">
        <f t="shared" si="6"/>
        <v>1306707</v>
      </c>
      <c r="Q6" s="190">
        <f t="shared" si="6"/>
        <v>1423365</v>
      </c>
      <c r="R6" s="190">
        <f t="shared" si="6"/>
        <v>1559972</v>
      </c>
      <c r="V6" s="51" t="str">
        <f t="shared" si="2"/>
        <v>Total Revenue</v>
      </c>
      <c r="W6" s="108">
        <f t="shared" si="3"/>
        <v>1</v>
      </c>
      <c r="X6" s="108">
        <f t="shared" si="1"/>
        <v>1</v>
      </c>
      <c r="Y6" s="108">
        <f t="shared" si="1"/>
        <v>1</v>
      </c>
      <c r="Z6" s="108">
        <f t="shared" si="1"/>
        <v>1</v>
      </c>
      <c r="AA6" s="210">
        <f t="shared" si="4"/>
        <v>1</v>
      </c>
    </row>
    <row r="7" spans="2:27" x14ac:dyDescent="0.3">
      <c r="B7" s="70" t="s">
        <v>186</v>
      </c>
      <c r="C7" s="130"/>
      <c r="D7" s="130"/>
      <c r="E7" s="130"/>
      <c r="F7" s="130"/>
      <c r="G7" s="171"/>
      <c r="L7" s="1" t="s">
        <v>5</v>
      </c>
      <c r="M7" s="1"/>
      <c r="N7" s="190"/>
      <c r="O7" s="190"/>
      <c r="P7" s="190"/>
      <c r="Q7" s="190"/>
      <c r="R7" s="190"/>
      <c r="V7" s="51" t="str">
        <f t="shared" si="2"/>
        <v>Operating Expenses:</v>
      </c>
      <c r="W7" s="108"/>
      <c r="X7" s="108"/>
      <c r="Y7" s="108"/>
      <c r="Z7" s="108"/>
      <c r="AA7" s="210"/>
    </row>
    <row r="8" spans="2:27" x14ac:dyDescent="0.3">
      <c r="B8" s="67" t="s">
        <v>192</v>
      </c>
      <c r="C8" s="128">
        <v>457394</v>
      </c>
      <c r="D8" s="128">
        <v>527858</v>
      </c>
      <c r="E8" s="128">
        <v>586926</v>
      </c>
      <c r="F8" s="128">
        <v>667816</v>
      </c>
      <c r="G8" s="169">
        <v>809336</v>
      </c>
      <c r="L8" s="1" t="s">
        <v>6</v>
      </c>
      <c r="M8" s="1"/>
      <c r="N8" s="190">
        <f>C8+C9+C10+C11</f>
        <v>552252</v>
      </c>
      <c r="O8" s="190">
        <f t="shared" ref="O8:R8" si="7">D8+D9+D10+D11</f>
        <v>594430</v>
      </c>
      <c r="P8" s="190">
        <f t="shared" si="7"/>
        <v>709728</v>
      </c>
      <c r="Q8" s="190">
        <f t="shared" si="7"/>
        <v>782604</v>
      </c>
      <c r="R8" s="190">
        <f t="shared" si="7"/>
        <v>889716</v>
      </c>
      <c r="V8" s="51" t="str">
        <f t="shared" si="2"/>
        <v>Cost of Material Consumed</v>
      </c>
      <c r="W8" s="108">
        <f t="shared" si="3"/>
        <v>0.51704680040708217</v>
      </c>
      <c r="X8" s="108">
        <f t="shared" si="1"/>
        <v>0.48575813342311452</v>
      </c>
      <c r="Y8" s="108">
        <f t="shared" si="1"/>
        <v>0.54314241830800636</v>
      </c>
      <c r="Z8" s="108">
        <f t="shared" si="1"/>
        <v>0.5498266432011466</v>
      </c>
      <c r="AA8" s="210">
        <f t="shared" si="4"/>
        <v>0.57034100612062266</v>
      </c>
    </row>
    <row r="9" spans="2:27" x14ac:dyDescent="0.3">
      <c r="B9" s="67" t="s">
        <v>193</v>
      </c>
      <c r="C9" s="128">
        <v>4089</v>
      </c>
      <c r="D9" s="128">
        <v>3734</v>
      </c>
      <c r="E9" s="128">
        <v>2774</v>
      </c>
      <c r="F9" s="128">
        <v>3936</v>
      </c>
      <c r="G9" s="169">
        <v>3059</v>
      </c>
      <c r="L9" s="1" t="s">
        <v>313</v>
      </c>
      <c r="M9" s="1"/>
      <c r="N9" s="190">
        <f>C13</f>
        <v>178757</v>
      </c>
      <c r="O9" s="190">
        <f t="shared" ref="O9:R9" si="8">D13</f>
        <v>189514</v>
      </c>
      <c r="P9" s="190">
        <f t="shared" si="8"/>
        <v>207474</v>
      </c>
      <c r="Q9" s="190">
        <f t="shared" si="8"/>
        <v>195589</v>
      </c>
      <c r="R9" s="190">
        <f t="shared" si="8"/>
        <v>212801</v>
      </c>
      <c r="V9" s="51" t="str">
        <f t="shared" si="2"/>
        <v>Employees Benefit expenses</v>
      </c>
      <c r="W9" s="108">
        <f t="shared" si="3"/>
        <v>0.16736152137134638</v>
      </c>
      <c r="X9" s="108">
        <f t="shared" si="1"/>
        <v>0.15486763268601539</v>
      </c>
      <c r="Y9" s="108">
        <f t="shared" si="1"/>
        <v>0.15877622144826653</v>
      </c>
      <c r="Z9" s="108">
        <f t="shared" si="1"/>
        <v>0.13741310205042276</v>
      </c>
      <c r="AA9" s="210">
        <f t="shared" si="4"/>
        <v>0.13641334588056708</v>
      </c>
    </row>
    <row r="10" spans="2:27" x14ac:dyDescent="0.3">
      <c r="B10" s="67" t="s">
        <v>194</v>
      </c>
      <c r="C10" s="128">
        <v>49680</v>
      </c>
      <c r="D10" s="128">
        <v>75906</v>
      </c>
      <c r="E10" s="128">
        <v>95097</v>
      </c>
      <c r="F10" s="128">
        <v>123321</v>
      </c>
      <c r="G10" s="169">
        <v>105349</v>
      </c>
      <c r="L10" s="1" t="s">
        <v>314</v>
      </c>
      <c r="M10" s="1"/>
      <c r="N10" s="190">
        <f>C16</f>
        <v>105550</v>
      </c>
      <c r="O10" s="190">
        <f t="shared" ref="O10:R10" si="9">D16</f>
        <v>141850</v>
      </c>
      <c r="P10" s="190">
        <f t="shared" si="9"/>
        <v>104119</v>
      </c>
      <c r="Q10" s="190">
        <f t="shared" si="9"/>
        <v>111625</v>
      </c>
      <c r="R10" s="190">
        <f t="shared" si="9"/>
        <v>100213</v>
      </c>
      <c r="V10" s="51" t="str">
        <f t="shared" si="2"/>
        <v>Other Expenses</v>
      </c>
      <c r="W10" s="109">
        <f t="shared" si="3"/>
        <v>9.8821352902239423E-2</v>
      </c>
      <c r="X10" s="109">
        <f t="shared" si="1"/>
        <v>0.11591741874748716</v>
      </c>
      <c r="Y10" s="109">
        <f t="shared" si="1"/>
        <v>7.968044863921292E-2</v>
      </c>
      <c r="Z10" s="194">
        <f t="shared" si="1"/>
        <v>7.8423313767023925E-2</v>
      </c>
      <c r="AA10" s="210">
        <f t="shared" si="4"/>
        <v>6.4240255594331178E-2</v>
      </c>
    </row>
    <row r="11" spans="2:27" x14ac:dyDescent="0.3">
      <c r="B11" s="67" t="s">
        <v>195</v>
      </c>
      <c r="C11" s="131">
        <v>41089</v>
      </c>
      <c r="D11" s="131">
        <v>-13068</v>
      </c>
      <c r="E11" s="131">
        <v>24931</v>
      </c>
      <c r="F11" s="131">
        <v>-12469</v>
      </c>
      <c r="G11" s="172">
        <v>-28028</v>
      </c>
      <c r="L11" s="3" t="s">
        <v>7</v>
      </c>
      <c r="M11" s="3"/>
      <c r="N11" s="192">
        <f>N6-N8-N9-N10</f>
        <v>231530</v>
      </c>
      <c r="O11" s="192">
        <f t="shared" ref="O11:R11" si="10">O6-O8-O9-O10</f>
        <v>297922</v>
      </c>
      <c r="P11" s="192">
        <f t="shared" si="10"/>
        <v>285386</v>
      </c>
      <c r="Q11" s="192">
        <f t="shared" si="10"/>
        <v>333547</v>
      </c>
      <c r="R11" s="192">
        <f t="shared" si="10"/>
        <v>357242</v>
      </c>
      <c r="V11" s="193" t="str">
        <f t="shared" si="2"/>
        <v>EBITDA (Earning before interest, tax, depreciation and amortisation)</v>
      </c>
      <c r="W11" s="108">
        <f t="shared" si="3"/>
        <v>0.21677032531933199</v>
      </c>
      <c r="X11" s="108">
        <f t="shared" si="1"/>
        <v>0.24345681514338294</v>
      </c>
      <c r="Y11" s="108">
        <f t="shared" si="1"/>
        <v>0.21840091160451425</v>
      </c>
      <c r="Z11" s="108">
        <f t="shared" si="1"/>
        <v>0.23433694098140673</v>
      </c>
      <c r="AA11" s="210">
        <f t="shared" si="4"/>
        <v>0.22900539240447906</v>
      </c>
    </row>
    <row r="12" spans="2:27" x14ac:dyDescent="0.3">
      <c r="B12" s="67" t="s">
        <v>308</v>
      </c>
      <c r="C12" s="131">
        <v>8436</v>
      </c>
      <c r="D12" s="131">
        <v>0</v>
      </c>
      <c r="E12" s="131">
        <v>0</v>
      </c>
      <c r="F12" s="131">
        <v>0</v>
      </c>
      <c r="G12" s="172">
        <v>0</v>
      </c>
      <c r="L12" s="2" t="s">
        <v>8</v>
      </c>
      <c r="M12" s="2"/>
      <c r="N12" s="191">
        <f>C15</f>
        <v>27172</v>
      </c>
      <c r="O12" s="191">
        <f t="shared" ref="O12:R12" si="11">D15</f>
        <v>33813</v>
      </c>
      <c r="P12" s="191">
        <f t="shared" si="11"/>
        <v>37186</v>
      </c>
      <c r="Q12" s="191">
        <f t="shared" si="11"/>
        <v>38732</v>
      </c>
      <c r="R12" s="191">
        <f t="shared" si="11"/>
        <v>40113</v>
      </c>
      <c r="V12" s="52" t="str">
        <f t="shared" si="2"/>
        <v>Less: D&amp;A</v>
      </c>
      <c r="W12" s="109">
        <f t="shared" si="3"/>
        <v>2.5439827579911412E-2</v>
      </c>
      <c r="X12" s="109">
        <f t="shared" si="1"/>
        <v>2.7631411209790506E-2</v>
      </c>
      <c r="Y12" s="109">
        <f t="shared" si="1"/>
        <v>2.8457795052754749E-2</v>
      </c>
      <c r="Z12" s="194">
        <f t="shared" si="1"/>
        <v>2.7211572576254159E-2</v>
      </c>
      <c r="AA12" s="210">
        <f t="shared" si="4"/>
        <v>2.5713923070414084E-2</v>
      </c>
    </row>
    <row r="13" spans="2:27" x14ac:dyDescent="0.3">
      <c r="B13" s="67" t="s">
        <v>196</v>
      </c>
      <c r="C13" s="131">
        <v>178757</v>
      </c>
      <c r="D13" s="131">
        <v>189514</v>
      </c>
      <c r="E13" s="131">
        <v>207474</v>
      </c>
      <c r="F13" s="131">
        <v>195589</v>
      </c>
      <c r="G13" s="172">
        <v>212801</v>
      </c>
      <c r="L13" s="3" t="s">
        <v>9</v>
      </c>
      <c r="M13" s="3"/>
      <c r="N13" s="192">
        <f>N11-N12</f>
        <v>204358</v>
      </c>
      <c r="O13" s="192">
        <f t="shared" ref="O13:R13" si="12">O11-O12</f>
        <v>264109</v>
      </c>
      <c r="P13" s="192">
        <f t="shared" si="12"/>
        <v>248200</v>
      </c>
      <c r="Q13" s="192">
        <f t="shared" si="12"/>
        <v>294815</v>
      </c>
      <c r="R13" s="192">
        <f t="shared" si="12"/>
        <v>317129</v>
      </c>
      <c r="V13" s="51" t="str">
        <f t="shared" si="2"/>
        <v>EBIT (Earning before interest and Tax)</v>
      </c>
      <c r="W13" s="108">
        <f t="shared" si="3"/>
        <v>0.1913304977394206</v>
      </c>
      <c r="X13" s="108">
        <f t="shared" si="1"/>
        <v>0.21582540393359242</v>
      </c>
      <c r="Y13" s="108">
        <f t="shared" si="1"/>
        <v>0.18994311655175949</v>
      </c>
      <c r="Z13" s="108">
        <f t="shared" si="1"/>
        <v>0.20712536840515258</v>
      </c>
      <c r="AA13" s="210">
        <f t="shared" si="4"/>
        <v>0.20329146933406497</v>
      </c>
    </row>
    <row r="14" spans="2:27" x14ac:dyDescent="0.3">
      <c r="B14" s="67" t="s">
        <v>197</v>
      </c>
      <c r="C14" s="131">
        <v>219</v>
      </c>
      <c r="D14" s="131">
        <v>1275</v>
      </c>
      <c r="E14" s="131">
        <v>360</v>
      </c>
      <c r="F14" s="131">
        <v>637</v>
      </c>
      <c r="G14" s="172">
        <v>505</v>
      </c>
      <c r="L14" s="2" t="s">
        <v>10</v>
      </c>
      <c r="M14" s="2"/>
      <c r="N14" s="191">
        <f>C14</f>
        <v>219</v>
      </c>
      <c r="O14" s="191">
        <f t="shared" ref="O14:R14" si="13">D14</f>
        <v>1275</v>
      </c>
      <c r="P14" s="191">
        <f t="shared" si="13"/>
        <v>360</v>
      </c>
      <c r="Q14" s="191">
        <f t="shared" si="13"/>
        <v>637</v>
      </c>
      <c r="R14" s="191">
        <f t="shared" si="13"/>
        <v>505</v>
      </c>
      <c r="V14" s="52" t="str">
        <f t="shared" si="2"/>
        <v>Less: Finance Cost (interest)</v>
      </c>
      <c r="W14" s="109">
        <f t="shared" si="3"/>
        <v>2.0503909318418223E-4</v>
      </c>
      <c r="X14" s="109">
        <f t="shared" si="1"/>
        <v>1.0419084166587672E-3</v>
      </c>
      <c r="Y14" s="109">
        <f t="shared" si="1"/>
        <v>2.7550170007507424E-4</v>
      </c>
      <c r="Z14" s="194">
        <f t="shared" si="1"/>
        <v>4.4753102682727199E-4</v>
      </c>
      <c r="AA14" s="210">
        <f t="shared" si="4"/>
        <v>3.2372375914439491E-4</v>
      </c>
    </row>
    <row r="15" spans="2:27" x14ac:dyDescent="0.3">
      <c r="B15" s="67" t="s">
        <v>198</v>
      </c>
      <c r="C15" s="131">
        <v>27172</v>
      </c>
      <c r="D15" s="131">
        <v>33813</v>
      </c>
      <c r="E15" s="131">
        <v>37186</v>
      </c>
      <c r="F15" s="131">
        <v>38732</v>
      </c>
      <c r="G15" s="172">
        <v>40113</v>
      </c>
      <c r="L15" s="3" t="s">
        <v>11</v>
      </c>
      <c r="M15" s="3"/>
      <c r="N15" s="192">
        <f>N13-N14</f>
        <v>204139</v>
      </c>
      <c r="O15" s="192">
        <f t="shared" ref="O15:R15" si="14">O13-O14</f>
        <v>262834</v>
      </c>
      <c r="P15" s="192">
        <f t="shared" si="14"/>
        <v>247840</v>
      </c>
      <c r="Q15" s="192">
        <f t="shared" si="14"/>
        <v>294178</v>
      </c>
      <c r="R15" s="192">
        <f t="shared" si="14"/>
        <v>316624</v>
      </c>
      <c r="V15" s="51" t="str">
        <f t="shared" si="2"/>
        <v>EBT (Earning before tax/Profit before tax)</v>
      </c>
      <c r="W15" s="108">
        <f t="shared" si="3"/>
        <v>0.1911254586462364</v>
      </c>
      <c r="X15" s="108">
        <f t="shared" si="1"/>
        <v>0.21478349551693368</v>
      </c>
      <c r="Y15" s="108">
        <f t="shared" si="1"/>
        <v>0.18966761485168443</v>
      </c>
      <c r="Z15" s="108">
        <f t="shared" si="1"/>
        <v>0.20667783737832532</v>
      </c>
      <c r="AA15" s="210">
        <f t="shared" si="4"/>
        <v>0.20296774557492059</v>
      </c>
    </row>
    <row r="16" spans="2:27" x14ac:dyDescent="0.3">
      <c r="B16" s="67" t="s">
        <v>199</v>
      </c>
      <c r="C16" s="131">
        <v>105550</v>
      </c>
      <c r="D16" s="131">
        <v>141850</v>
      </c>
      <c r="E16" s="131">
        <v>104119</v>
      </c>
      <c r="F16" s="131">
        <v>111625</v>
      </c>
      <c r="G16" s="172">
        <v>100213</v>
      </c>
      <c r="L16" s="2" t="s">
        <v>316</v>
      </c>
      <c r="M16" s="2"/>
      <c r="N16" s="191">
        <f>N15*N18</f>
        <v>47394.570364276478</v>
      </c>
      <c r="O16" s="191">
        <f t="shared" ref="O16:R16" si="15">O15*O18</f>
        <v>80483</v>
      </c>
      <c r="P16" s="191">
        <f t="shared" si="15"/>
        <v>75767</v>
      </c>
      <c r="Q16" s="191">
        <f t="shared" si="15"/>
        <v>82654</v>
      </c>
      <c r="R16" s="191">
        <f t="shared" si="15"/>
        <v>91431</v>
      </c>
      <c r="V16" s="52" t="str">
        <f t="shared" si="2"/>
        <v>Less: Tax</v>
      </c>
      <c r="W16" s="109">
        <f t="shared" si="3"/>
        <v>4.4373240773265599E-2</v>
      </c>
      <c r="X16" s="109">
        <f t="shared" si="1"/>
        <v>6.5769345174860827E-2</v>
      </c>
      <c r="Y16" s="109">
        <f t="shared" si="1"/>
        <v>5.798315919330041E-2</v>
      </c>
      <c r="Z16" s="194">
        <f t="shared" si="1"/>
        <v>5.8069434052403987E-2</v>
      </c>
      <c r="AA16" s="210">
        <f t="shared" si="4"/>
        <v>5.8610667370952815E-2</v>
      </c>
    </row>
    <row r="17" spans="2:27" ht="16.2" thickBot="1" x14ac:dyDescent="0.35">
      <c r="B17" s="69" t="s">
        <v>200</v>
      </c>
      <c r="C17" s="129">
        <f>SUM(C8:C16)</f>
        <v>872386</v>
      </c>
      <c r="D17" s="129">
        <f t="shared" ref="D17:G17" si="16">SUM(D8:D16)</f>
        <v>960882</v>
      </c>
      <c r="E17" s="129">
        <f t="shared" si="16"/>
        <v>1058867</v>
      </c>
      <c r="F17" s="129">
        <f t="shared" si="16"/>
        <v>1129187</v>
      </c>
      <c r="G17" s="170">
        <f t="shared" si="16"/>
        <v>1243348</v>
      </c>
      <c r="L17" s="1" t="s">
        <v>12</v>
      </c>
      <c r="M17" s="1"/>
      <c r="N17" s="190">
        <f>N15-N16</f>
        <v>156744.42963572353</v>
      </c>
      <c r="O17" s="190">
        <f t="shared" ref="O17:R17" si="17">O15-O16</f>
        <v>182351</v>
      </c>
      <c r="P17" s="190">
        <f t="shared" si="17"/>
        <v>172073</v>
      </c>
      <c r="Q17" s="190">
        <f t="shared" si="17"/>
        <v>211524</v>
      </c>
      <c r="R17" s="190">
        <f t="shared" si="17"/>
        <v>225193</v>
      </c>
      <c r="V17" s="51" t="str">
        <f t="shared" si="2"/>
        <v>NI/PAT (Net Income/Profit after tax)</v>
      </c>
      <c r="W17" s="108">
        <f t="shared" si="3"/>
        <v>0.14675221787297082</v>
      </c>
      <c r="X17" s="108">
        <f t="shared" si="1"/>
        <v>0.14901415034207283</v>
      </c>
      <c r="Y17" s="108">
        <f t="shared" si="1"/>
        <v>0.13168445565838402</v>
      </c>
      <c r="Z17" s="108">
        <f t="shared" si="1"/>
        <v>0.14860840332592132</v>
      </c>
      <c r="AA17" s="210">
        <f t="shared" si="4"/>
        <v>0.14435707820396776</v>
      </c>
    </row>
    <row r="18" spans="2:27" ht="36.6" customHeight="1" thickBot="1" x14ac:dyDescent="0.35">
      <c r="B18" s="117" t="s">
        <v>315</v>
      </c>
      <c r="C18" s="137">
        <f t="shared" ref="C18:F18" si="18">C6-C17</f>
        <v>195703</v>
      </c>
      <c r="D18" s="137">
        <f t="shared" si="18"/>
        <v>262834</v>
      </c>
      <c r="E18" s="137">
        <f t="shared" si="18"/>
        <v>247840</v>
      </c>
      <c r="F18" s="137">
        <f t="shared" si="18"/>
        <v>294178</v>
      </c>
      <c r="G18" s="173">
        <f>G6-G17</f>
        <v>316624</v>
      </c>
      <c r="L18" s="1" t="s">
        <v>13</v>
      </c>
      <c r="M18" s="1"/>
      <c r="N18" s="105">
        <f>C22/C20</f>
        <v>0.23216813232295877</v>
      </c>
      <c r="O18" s="105">
        <f t="shared" ref="O18:R18" si="19">D22/D20</f>
        <v>0.30621228608170936</v>
      </c>
      <c r="P18" s="105">
        <f t="shared" si="19"/>
        <v>0.30570932859909616</v>
      </c>
      <c r="Q18" s="105">
        <f t="shared" si="19"/>
        <v>0.28096594578792433</v>
      </c>
      <c r="R18" s="105">
        <f t="shared" si="19"/>
        <v>0.28876838142402345</v>
      </c>
      <c r="V18" s="51" t="str">
        <f t="shared" si="2"/>
        <v>Effective Tax Rate (Current Tax/PBT)</v>
      </c>
      <c r="W18" s="108">
        <f t="shared" si="3"/>
        <v>2.1736777770668809E-7</v>
      </c>
      <c r="X18" s="108">
        <f t="shared" si="1"/>
        <v>2.5023149659047473E-7</v>
      </c>
      <c r="Y18" s="108">
        <f t="shared" si="1"/>
        <v>2.3395399932739028E-7</v>
      </c>
      <c r="Z18" s="108">
        <f t="shared" si="1"/>
        <v>1.9739557020716706E-7</v>
      </c>
      <c r="AA18" s="210">
        <f t="shared" si="4"/>
        <v>1.8511125932005411E-7</v>
      </c>
    </row>
    <row r="19" spans="2:27" x14ac:dyDescent="0.3">
      <c r="B19" s="70" t="s">
        <v>202</v>
      </c>
      <c r="C19" s="130">
        <v>0</v>
      </c>
      <c r="D19" s="130">
        <v>0</v>
      </c>
      <c r="E19" s="130">
        <v>0</v>
      </c>
      <c r="F19" s="130">
        <v>0</v>
      </c>
      <c r="G19" s="171">
        <v>0</v>
      </c>
      <c r="L19" s="2"/>
      <c r="M19" s="2"/>
      <c r="N19" s="104"/>
      <c r="O19" s="104"/>
      <c r="P19" s="104"/>
      <c r="Q19" s="104"/>
      <c r="R19" s="104"/>
      <c r="V19" s="52"/>
      <c r="W19" s="109"/>
      <c r="X19" s="109"/>
      <c r="Y19" s="109"/>
      <c r="Z19" s="194"/>
      <c r="AA19" s="210"/>
    </row>
    <row r="20" spans="2:27" ht="31.8" thickBot="1" x14ac:dyDescent="0.35">
      <c r="B20" s="117" t="s">
        <v>203</v>
      </c>
      <c r="C20" s="129">
        <f t="shared" ref="C20:F20" si="20">C18-C19</f>
        <v>195703</v>
      </c>
      <c r="D20" s="129">
        <f t="shared" si="20"/>
        <v>262834</v>
      </c>
      <c r="E20" s="129">
        <f t="shared" si="20"/>
        <v>247840</v>
      </c>
      <c r="F20" s="129">
        <f t="shared" si="20"/>
        <v>294178</v>
      </c>
      <c r="G20" s="170">
        <f>G18-G19</f>
        <v>316624</v>
      </c>
      <c r="L20" s="1" t="s">
        <v>14</v>
      </c>
      <c r="M20" s="1"/>
      <c r="N20" s="190">
        <f>N4-N8-N9-N10-N12</f>
        <v>184785</v>
      </c>
      <c r="O20" s="190">
        <f t="shared" ref="O20:R20" si="21">O4-O8-O9-O10-O12</f>
        <v>256810</v>
      </c>
      <c r="P20" s="190">
        <f t="shared" si="21"/>
        <v>238260</v>
      </c>
      <c r="Q20" s="190">
        <f t="shared" si="21"/>
        <v>282319</v>
      </c>
      <c r="R20" s="190">
        <f t="shared" si="21"/>
        <v>293975</v>
      </c>
      <c r="V20" s="51" t="str">
        <f t="shared" si="2"/>
        <v>EBIT (Operating Income)/Core earning</v>
      </c>
      <c r="W20" s="108">
        <f t="shared" si="3"/>
        <v>0.17300524581753018</v>
      </c>
      <c r="X20" s="108">
        <f t="shared" ref="X20:X21" si="22">O20/O$6</f>
        <v>0.20986078469187294</v>
      </c>
      <c r="Y20" s="108">
        <f t="shared" ref="Y20:Y21" si="23">P20/P$6</f>
        <v>0.18233620849968663</v>
      </c>
      <c r="Z20" s="108">
        <f t="shared" ref="Z20:Z21" si="24">Q20/Q$6</f>
        <v>0.19834617262613596</v>
      </c>
      <c r="AA20" s="210">
        <f t="shared" si="4"/>
        <v>0.18844889523658118</v>
      </c>
    </row>
    <row r="21" spans="2:27" x14ac:dyDescent="0.3">
      <c r="B21" s="118" t="s">
        <v>204</v>
      </c>
      <c r="C21" s="130"/>
      <c r="D21" s="130"/>
      <c r="E21" s="130"/>
      <c r="F21" s="130"/>
      <c r="G21" s="171"/>
      <c r="L21" s="1" t="s">
        <v>15</v>
      </c>
      <c r="M21" s="1"/>
      <c r="N21" s="190">
        <f>N20*(1-N18)</f>
        <v>141883.81166870208</v>
      </c>
      <c r="O21" s="190">
        <f t="shared" ref="O21:R21" si="25">O20*(1-O18)</f>
        <v>178171.62281135621</v>
      </c>
      <c r="P21" s="190">
        <f t="shared" si="25"/>
        <v>165421.69536797935</v>
      </c>
      <c r="Q21" s="190">
        <f t="shared" si="25"/>
        <v>202996.975151099</v>
      </c>
      <c r="R21" s="190">
        <f t="shared" si="25"/>
        <v>209084.31507087272</v>
      </c>
      <c r="V21" s="51" t="str">
        <f t="shared" si="2"/>
        <v>NOPAT (Net Operating profit after tax)(EBIT*(1-t))</v>
      </c>
      <c r="W21" s="108">
        <f t="shared" si="3"/>
        <v>0.13283894101399984</v>
      </c>
      <c r="X21" s="108">
        <f t="shared" si="22"/>
        <v>0.14559883405247312</v>
      </c>
      <c r="Y21" s="108">
        <f t="shared" si="23"/>
        <v>0.1265943286199426</v>
      </c>
      <c r="Z21" s="108">
        <f t="shared" si="24"/>
        <v>0.14261765264081877</v>
      </c>
      <c r="AA21" s="210">
        <f t="shared" si="4"/>
        <v>0.13403081277796827</v>
      </c>
    </row>
    <row r="22" spans="2:27" x14ac:dyDescent="0.3">
      <c r="B22" s="116" t="s">
        <v>205</v>
      </c>
      <c r="C22" s="128">
        <v>45436</v>
      </c>
      <c r="D22" s="128">
        <v>80483</v>
      </c>
      <c r="E22" s="128">
        <v>75767</v>
      </c>
      <c r="F22" s="128">
        <v>82654</v>
      </c>
      <c r="G22" s="169">
        <v>91431</v>
      </c>
      <c r="L22" s="4" t="s">
        <v>16</v>
      </c>
      <c r="M22" s="4"/>
      <c r="N22" s="5"/>
      <c r="O22" s="5"/>
      <c r="P22" s="5"/>
      <c r="Q22" s="5"/>
      <c r="R22" s="5"/>
      <c r="V22" s="295" t="s">
        <v>17</v>
      </c>
      <c r="W22" s="295"/>
      <c r="X22" s="295"/>
      <c r="Y22" s="295"/>
      <c r="Z22" s="295"/>
      <c r="AA22" s="295"/>
    </row>
    <row r="23" spans="2:27" x14ac:dyDescent="0.3">
      <c r="B23" s="116" t="s">
        <v>206</v>
      </c>
      <c r="C23" s="128">
        <v>-481</v>
      </c>
      <c r="D23" s="128">
        <v>-118</v>
      </c>
      <c r="E23" s="128">
        <v>-4047</v>
      </c>
      <c r="F23" s="128">
        <v>-2492</v>
      </c>
      <c r="G23" s="169">
        <v>6</v>
      </c>
      <c r="L23" s="6" t="s">
        <v>18</v>
      </c>
      <c r="M23" s="6" t="s">
        <v>19</v>
      </c>
      <c r="N23" s="7">
        <f>N13/C85</f>
        <v>0.10778085610566382</v>
      </c>
      <c r="O23" s="7">
        <f t="shared" ref="O23:R23" si="26">O13/D85</f>
        <v>0.12684997247915283</v>
      </c>
      <c r="P23" s="7">
        <f t="shared" si="26"/>
        <v>0.10193725971124895</v>
      </c>
      <c r="Q23" s="7">
        <f t="shared" si="26"/>
        <v>9.9972295383434273E-2</v>
      </c>
      <c r="R23" s="7">
        <f t="shared" si="26"/>
        <v>9.3519190765831789E-2</v>
      </c>
      <c r="V23" s="296" t="s">
        <v>172</v>
      </c>
      <c r="W23" s="297"/>
      <c r="X23" s="297"/>
      <c r="Y23" s="297"/>
      <c r="Z23" s="297"/>
      <c r="AA23" s="298"/>
    </row>
    <row r="24" spans="2:27" x14ac:dyDescent="0.3">
      <c r="B24" s="116" t="s">
        <v>207</v>
      </c>
      <c r="C24" s="128">
        <v>10023</v>
      </c>
      <c r="D24" s="128">
        <v>-2334</v>
      </c>
      <c r="E24" s="128">
        <v>-3143</v>
      </c>
      <c r="F24" s="128">
        <v>7082</v>
      </c>
      <c r="G24" s="169">
        <v>-10259</v>
      </c>
      <c r="L24" s="6" t="s">
        <v>20</v>
      </c>
      <c r="M24" s="6" t="s">
        <v>21</v>
      </c>
      <c r="N24" s="7">
        <f>N13*(1-N18)/C85</f>
        <v>8.2757576043442291E-2</v>
      </c>
      <c r="O24" s="7">
        <f t="shared" ref="O24:R24" si="27">O13*(1-O18)/D85</f>
        <v>8.8006952416909534E-2</v>
      </c>
      <c r="P24" s="7">
        <f t="shared" si="27"/>
        <v>7.0774088485691333E-2</v>
      </c>
      <c r="Q24" s="7">
        <f t="shared" si="27"/>
        <v>7.1883484858437915E-2</v>
      </c>
      <c r="R24" s="7">
        <f t="shared" si="27"/>
        <v>6.6513805416298061E-2</v>
      </c>
      <c r="V24" s="70" t="s">
        <v>228</v>
      </c>
      <c r="W24" s="128"/>
      <c r="X24" s="128"/>
      <c r="Y24" s="128"/>
      <c r="Z24" s="128"/>
      <c r="AA24" s="169"/>
    </row>
    <row r="25" spans="2:27" x14ac:dyDescent="0.3">
      <c r="B25" s="119" t="s">
        <v>208</v>
      </c>
      <c r="C25" s="132">
        <f t="shared" ref="C25:F25" si="28">SUM(C22:C24)</f>
        <v>54978</v>
      </c>
      <c r="D25" s="132">
        <f t="shared" si="28"/>
        <v>78031</v>
      </c>
      <c r="E25" s="132">
        <f t="shared" si="28"/>
        <v>68577</v>
      </c>
      <c r="F25" s="132">
        <f t="shared" si="28"/>
        <v>87244</v>
      </c>
      <c r="G25" s="174">
        <f>SUM(G22:G24)</f>
        <v>81178</v>
      </c>
      <c r="L25" s="6" t="s">
        <v>22</v>
      </c>
      <c r="M25" s="6" t="s">
        <v>23</v>
      </c>
      <c r="N25" s="7">
        <f>N17/C94</f>
        <v>0.19522990572049997</v>
      </c>
      <c r="O25" s="7">
        <f t="shared" ref="O25:R25" si="29">O17/D94</f>
        <v>0.19767474633596394</v>
      </c>
      <c r="P25" s="7">
        <f t="shared" si="29"/>
        <v>0.17061086488791061</v>
      </c>
      <c r="Q25" s="7">
        <f t="shared" si="29"/>
        <v>0.19099974084772592</v>
      </c>
      <c r="R25" s="7">
        <f t="shared" si="29"/>
        <v>0.18304995744687769</v>
      </c>
      <c r="V25" s="67" t="s">
        <v>229</v>
      </c>
      <c r="W25" s="195">
        <f>C58/C$85</f>
        <v>8.9112581887301548E-2</v>
      </c>
      <c r="X25" s="195">
        <f t="shared" ref="X25:AA39" si="30">D58/D$85</f>
        <v>0.10272432372200967</v>
      </c>
      <c r="Y25" s="195">
        <f t="shared" si="30"/>
        <v>0.10545988612762036</v>
      </c>
      <c r="Z25" s="195">
        <f t="shared" si="30"/>
        <v>8.4283750886327308E-2</v>
      </c>
      <c r="AA25" s="196">
        <f t="shared" si="30"/>
        <v>7.3999618997964645E-2</v>
      </c>
    </row>
    <row r="26" spans="2:27" ht="31.8" thickBot="1" x14ac:dyDescent="0.35">
      <c r="B26" s="117" t="s">
        <v>209</v>
      </c>
      <c r="C26" s="129">
        <f t="shared" ref="C26:F26" si="31">C20-C25</f>
        <v>140725</v>
      </c>
      <c r="D26" s="129">
        <f t="shared" si="31"/>
        <v>184803</v>
      </c>
      <c r="E26" s="129">
        <f t="shared" si="31"/>
        <v>179263</v>
      </c>
      <c r="F26" s="129">
        <f t="shared" si="31"/>
        <v>206934</v>
      </c>
      <c r="G26" s="170">
        <f>G20-G25</f>
        <v>235446</v>
      </c>
      <c r="L26" s="6" t="s">
        <v>24</v>
      </c>
      <c r="M26" s="6" t="s">
        <v>25</v>
      </c>
      <c r="N26" s="7">
        <f>N13/(C85-C121)</f>
        <v>0.22545295680982488</v>
      </c>
      <c r="O26" s="7">
        <f t="shared" ref="O26:R26" si="32">O13/(D85-D121)</f>
        <v>0.25464069503645931</v>
      </c>
      <c r="P26" s="7">
        <f t="shared" si="32"/>
        <v>0.21615332429356096</v>
      </c>
      <c r="Q26" s="7">
        <f t="shared" si="32"/>
        <v>0.23286904073579082</v>
      </c>
      <c r="R26" s="7">
        <f t="shared" si="32"/>
        <v>0.22131136100670362</v>
      </c>
      <c r="V26" s="67" t="s">
        <v>230</v>
      </c>
      <c r="W26" s="195">
        <f t="shared" ref="W26:W52" si="33">C59/C$85</f>
        <v>2.3415509392943543E-2</v>
      </c>
      <c r="X26" s="195">
        <f t="shared" si="30"/>
        <v>1.5506292331913904E-2</v>
      </c>
      <c r="Y26" s="195">
        <f t="shared" si="30"/>
        <v>1.0132530758808312E-2</v>
      </c>
      <c r="Z26" s="195">
        <f t="shared" si="30"/>
        <v>1.3478279004139416E-2</v>
      </c>
      <c r="AA26" s="196">
        <f t="shared" si="30"/>
        <v>1.3150173190785885E-2</v>
      </c>
    </row>
    <row r="27" spans="2:27" x14ac:dyDescent="0.3">
      <c r="B27" s="64" t="s">
        <v>210</v>
      </c>
      <c r="C27" s="130">
        <v>2378</v>
      </c>
      <c r="D27" s="130">
        <v>3864</v>
      </c>
      <c r="E27" s="130">
        <v>3209</v>
      </c>
      <c r="F27" s="130">
        <v>3042</v>
      </c>
      <c r="G27" s="171">
        <v>4576</v>
      </c>
      <c r="L27" s="6" t="s">
        <v>26</v>
      </c>
      <c r="M27" s="6" t="s">
        <v>27</v>
      </c>
      <c r="N27" s="7">
        <f>N13*(1-N18)/(C85-C121)</f>
        <v>0.17310996490059916</v>
      </c>
      <c r="O27" s="7">
        <f t="shared" ref="O27:R27" si="34">O13*(1-O18)/(D85-D121)</f>
        <v>0.17666658567990975</v>
      </c>
      <c r="P27" s="7">
        <f t="shared" si="34"/>
        <v>0.15007323664931371</v>
      </c>
      <c r="Q27" s="7">
        <f t="shared" si="34"/>
        <v>0.16744077046073269</v>
      </c>
      <c r="R27" s="7">
        <f t="shared" si="34"/>
        <v>0.15740363749805011</v>
      </c>
      <c r="V27" s="67" t="s">
        <v>231</v>
      </c>
      <c r="W27" s="195">
        <f t="shared" si="33"/>
        <v>5.8015317098537965E-6</v>
      </c>
      <c r="X27" s="195">
        <f t="shared" si="30"/>
        <v>4.8029401678531527E-6</v>
      </c>
      <c r="Y27" s="195">
        <f t="shared" si="30"/>
        <v>3.6963551063708322E-6</v>
      </c>
      <c r="Z27" s="195">
        <f t="shared" si="30"/>
        <v>2.7128143516017641E-6</v>
      </c>
      <c r="AA27" s="196">
        <f t="shared" si="30"/>
        <v>2.0642525135223282E-6</v>
      </c>
    </row>
    <row r="28" spans="2:27" ht="16.2" thickBot="1" x14ac:dyDescent="0.35">
      <c r="B28" s="69" t="s">
        <v>211</v>
      </c>
      <c r="C28" s="129">
        <f t="shared" ref="C28:F28" si="35">C26+C27</f>
        <v>143103</v>
      </c>
      <c r="D28" s="129">
        <f t="shared" si="35"/>
        <v>188667</v>
      </c>
      <c r="E28" s="129">
        <f t="shared" si="35"/>
        <v>182472</v>
      </c>
      <c r="F28" s="129">
        <f t="shared" si="35"/>
        <v>209976</v>
      </c>
      <c r="G28" s="170">
        <f>G26+G27</f>
        <v>240022</v>
      </c>
      <c r="L28" s="8" t="s">
        <v>28</v>
      </c>
      <c r="M28" s="9"/>
      <c r="N28" s="10"/>
      <c r="O28" s="10"/>
      <c r="P28" s="10"/>
      <c r="Q28" s="10"/>
      <c r="R28" s="10"/>
      <c r="V28" s="67" t="s">
        <v>232</v>
      </c>
      <c r="W28" s="195">
        <f t="shared" si="33"/>
        <v>7.8753155901397174E-3</v>
      </c>
      <c r="X28" s="195">
        <f t="shared" si="30"/>
        <v>7.6232266344165248E-3</v>
      </c>
      <c r="Y28" s="195">
        <f t="shared" si="30"/>
        <v>5.9441497171672285E-3</v>
      </c>
      <c r="Z28" s="195">
        <f t="shared" si="30"/>
        <v>5.6480794800348733E-3</v>
      </c>
      <c r="AA28" s="196">
        <f t="shared" si="30"/>
        <v>4.8899193113181782E-3</v>
      </c>
    </row>
    <row r="29" spans="2:27" x14ac:dyDescent="0.3">
      <c r="B29" s="70" t="s">
        <v>212</v>
      </c>
      <c r="C29" s="130"/>
      <c r="D29" s="130"/>
      <c r="E29" s="130"/>
      <c r="F29" s="130"/>
      <c r="G29" s="171"/>
      <c r="L29" s="9" t="s">
        <v>29</v>
      </c>
      <c r="M29" s="9" t="s">
        <v>30</v>
      </c>
      <c r="N29" s="11">
        <f>N11/N6</f>
        <v>0.21677032531933199</v>
      </c>
      <c r="O29" s="11">
        <f t="shared" ref="O29:R29" si="36">O11/O6</f>
        <v>0.24345681514338294</v>
      </c>
      <c r="P29" s="11">
        <f t="shared" si="36"/>
        <v>0.21840091160451425</v>
      </c>
      <c r="Q29" s="11">
        <f t="shared" si="36"/>
        <v>0.23433694098140673</v>
      </c>
      <c r="R29" s="11">
        <f t="shared" si="36"/>
        <v>0.22900539240447906</v>
      </c>
      <c r="V29" s="67" t="s">
        <v>233</v>
      </c>
      <c r="W29" s="195">
        <f t="shared" si="33"/>
        <v>2.6163853187493376E-2</v>
      </c>
      <c r="X29" s="195">
        <f t="shared" si="30"/>
        <v>2.5272110575209721E-2</v>
      </c>
      <c r="Y29" s="195">
        <f t="shared" si="30"/>
        <v>2.3873114807557487E-2</v>
      </c>
      <c r="Z29" s="195">
        <f t="shared" si="30"/>
        <v>1.645355814425865E-2</v>
      </c>
      <c r="AA29" s="196">
        <f t="shared" si="30"/>
        <v>1.6517263933557021E-2</v>
      </c>
    </row>
    <row r="30" spans="2:27" x14ac:dyDescent="0.3">
      <c r="B30" s="63" t="s">
        <v>168</v>
      </c>
      <c r="C30" s="128"/>
      <c r="D30" s="128"/>
      <c r="E30" s="128"/>
      <c r="F30" s="128"/>
      <c r="G30" s="169"/>
      <c r="L30" s="9" t="s">
        <v>31</v>
      </c>
      <c r="M30" s="9" t="s">
        <v>32</v>
      </c>
      <c r="N30" s="11">
        <f>N13/N6</f>
        <v>0.1913304977394206</v>
      </c>
      <c r="O30" s="11">
        <f t="shared" ref="O30:R30" si="37">O13/O6</f>
        <v>0.21582540393359242</v>
      </c>
      <c r="P30" s="11">
        <f t="shared" si="37"/>
        <v>0.18994311655175949</v>
      </c>
      <c r="Q30" s="11">
        <f t="shared" si="37"/>
        <v>0.20712536840515258</v>
      </c>
      <c r="R30" s="11">
        <f t="shared" si="37"/>
        <v>0.20329146933406497</v>
      </c>
      <c r="V30" s="67" t="s">
        <v>234</v>
      </c>
      <c r="W30" s="195">
        <f t="shared" si="33"/>
        <v>1.0789794156380815E-2</v>
      </c>
      <c r="X30" s="195">
        <f t="shared" si="30"/>
        <v>6.2553492746119464E-3</v>
      </c>
      <c r="Y30" s="195">
        <f t="shared" si="30"/>
        <v>6.6571355465738693E-3</v>
      </c>
      <c r="Z30" s="195">
        <f t="shared" si="30"/>
        <v>6.4392039653207375E-3</v>
      </c>
      <c r="AA30" s="196">
        <f t="shared" si="30"/>
        <v>6.8686527921374392E-3</v>
      </c>
    </row>
    <row r="31" spans="2:27" x14ac:dyDescent="0.3">
      <c r="B31" s="114" t="s">
        <v>213</v>
      </c>
      <c r="C31" s="128"/>
      <c r="D31" s="128"/>
      <c r="E31" s="128"/>
      <c r="F31" s="128"/>
      <c r="G31" s="169"/>
      <c r="L31" s="9" t="s">
        <v>33</v>
      </c>
      <c r="M31" s="9" t="s">
        <v>34</v>
      </c>
      <c r="N31" s="11">
        <f>N15/N6</f>
        <v>0.1911254586462364</v>
      </c>
      <c r="O31" s="11">
        <f t="shared" ref="O31:R31" si="38">O15/O6</f>
        <v>0.21478349551693368</v>
      </c>
      <c r="P31" s="11">
        <f t="shared" si="38"/>
        <v>0.18966761485168443</v>
      </c>
      <c r="Q31" s="11">
        <f t="shared" si="38"/>
        <v>0.20667783737832532</v>
      </c>
      <c r="R31" s="11">
        <f t="shared" si="38"/>
        <v>0.20296774557492059</v>
      </c>
      <c r="V31" s="67" t="s">
        <v>235</v>
      </c>
      <c r="W31" s="195">
        <f t="shared" si="33"/>
        <v>0</v>
      </c>
      <c r="X31" s="195">
        <f t="shared" si="30"/>
        <v>0</v>
      </c>
      <c r="Y31" s="195">
        <f t="shared" si="30"/>
        <v>0</v>
      </c>
      <c r="Z31" s="195">
        <f t="shared" si="30"/>
        <v>0</v>
      </c>
      <c r="AA31" s="196">
        <f t="shared" si="30"/>
        <v>0</v>
      </c>
    </row>
    <row r="32" spans="2:27" x14ac:dyDescent="0.3">
      <c r="B32" s="115" t="s">
        <v>214</v>
      </c>
      <c r="C32" s="128">
        <v>236</v>
      </c>
      <c r="D32" s="128">
        <v>-6311</v>
      </c>
      <c r="E32" s="128">
        <v>-6128</v>
      </c>
      <c r="F32" s="128">
        <v>-11703</v>
      </c>
      <c r="G32" s="169">
        <v>-19926</v>
      </c>
      <c r="L32" s="9" t="s">
        <v>35</v>
      </c>
      <c r="M32" s="9" t="s">
        <v>36</v>
      </c>
      <c r="N32" s="11">
        <f>N17/N6</f>
        <v>0.14675221787297082</v>
      </c>
      <c r="O32" s="11">
        <f t="shared" ref="O32:R32" si="39">O17/O6</f>
        <v>0.14901415034207283</v>
      </c>
      <c r="P32" s="11">
        <f t="shared" si="39"/>
        <v>0.13168445565838402</v>
      </c>
      <c r="Q32" s="11">
        <f t="shared" si="39"/>
        <v>0.14860840332592132</v>
      </c>
      <c r="R32" s="11">
        <f t="shared" si="39"/>
        <v>0.14435707820396776</v>
      </c>
      <c r="V32" s="115" t="s">
        <v>236</v>
      </c>
      <c r="W32" s="195">
        <f t="shared" si="33"/>
        <v>3.8646639779204253E-2</v>
      </c>
      <c r="X32" s="195">
        <f t="shared" si="30"/>
        <v>4.0065166292197432E-2</v>
      </c>
      <c r="Y32" s="195">
        <f t="shared" si="30"/>
        <v>3.894438669460016E-2</v>
      </c>
      <c r="Z32" s="195">
        <f t="shared" si="30"/>
        <v>3.7845455713814362E-2</v>
      </c>
      <c r="AA32" s="196">
        <f t="shared" si="30"/>
        <v>3.9489150583682145E-2</v>
      </c>
    </row>
    <row r="33" spans="2:27" x14ac:dyDescent="0.3">
      <c r="B33" s="115" t="s">
        <v>215</v>
      </c>
      <c r="C33" s="128">
        <v>1</v>
      </c>
      <c r="D33" s="128">
        <v>2</v>
      </c>
      <c r="E33" s="128">
        <v>2</v>
      </c>
      <c r="F33" s="128">
        <v>1</v>
      </c>
      <c r="G33" s="169">
        <v>1</v>
      </c>
      <c r="L33" s="9" t="s">
        <v>37</v>
      </c>
      <c r="M33" s="9" t="s">
        <v>38</v>
      </c>
      <c r="N33" s="12">
        <f>N6/C85</f>
        <v>0.56332292749509372</v>
      </c>
      <c r="O33" s="12">
        <f t="shared" ref="O33:R33" si="40">O6/D85</f>
        <v>0.58774347304445884</v>
      </c>
      <c r="P33" s="12">
        <f t="shared" si="40"/>
        <v>0.5366725657756124</v>
      </c>
      <c r="Q33" s="12">
        <f t="shared" si="40"/>
        <v>0.48266562494595566</v>
      </c>
      <c r="R33" s="12">
        <f t="shared" si="40"/>
        <v>0.4600251602892077</v>
      </c>
      <c r="V33" s="115" t="s">
        <v>237</v>
      </c>
      <c r="W33" s="195">
        <f t="shared" si="33"/>
        <v>0</v>
      </c>
      <c r="X33" s="195">
        <f t="shared" si="30"/>
        <v>0</v>
      </c>
      <c r="Y33" s="195">
        <f t="shared" si="30"/>
        <v>0</v>
      </c>
      <c r="Z33" s="195">
        <f t="shared" si="30"/>
        <v>0</v>
      </c>
      <c r="AA33" s="196">
        <f t="shared" si="30"/>
        <v>0</v>
      </c>
    </row>
    <row r="34" spans="2:27" ht="31.2" x14ac:dyDescent="0.3">
      <c r="B34" s="120" t="s">
        <v>217</v>
      </c>
      <c r="C34" s="128">
        <v>7</v>
      </c>
      <c r="D34" s="128">
        <v>-15</v>
      </c>
      <c r="E34" s="128">
        <v>-24</v>
      </c>
      <c r="F34" s="128">
        <v>4</v>
      </c>
      <c r="G34" s="169">
        <v>-6</v>
      </c>
      <c r="L34" s="13"/>
      <c r="M34" s="13"/>
      <c r="N34" s="14"/>
      <c r="O34" s="14"/>
      <c r="P34" s="14"/>
      <c r="Q34" s="14"/>
      <c r="R34" s="14"/>
      <c r="V34" s="115" t="s">
        <v>238</v>
      </c>
      <c r="W34" s="195">
        <f t="shared" si="33"/>
        <v>1.3285507615565194E-3</v>
      </c>
      <c r="X34" s="195">
        <f t="shared" si="30"/>
        <v>1.3198479581260465E-3</v>
      </c>
      <c r="Y34" s="195">
        <f t="shared" si="30"/>
        <v>1.3278128954329891E-3</v>
      </c>
      <c r="Z34" s="195">
        <f t="shared" si="30"/>
        <v>2.4957892034736231E-4</v>
      </c>
      <c r="AA34" s="196">
        <f t="shared" si="30"/>
        <v>2.1468226140632215E-4</v>
      </c>
    </row>
    <row r="35" spans="2:27" x14ac:dyDescent="0.3">
      <c r="B35" s="115" t="s">
        <v>216</v>
      </c>
      <c r="C35" s="128">
        <v>-77</v>
      </c>
      <c r="D35" s="128">
        <v>2197</v>
      </c>
      <c r="E35" s="128">
        <v>2048</v>
      </c>
      <c r="F35" s="128">
        <v>2947</v>
      </c>
      <c r="G35" s="169">
        <v>5014</v>
      </c>
      <c r="L35" s="15" t="s">
        <v>39</v>
      </c>
      <c r="M35" s="13"/>
      <c r="N35" s="14"/>
      <c r="O35" s="14"/>
      <c r="P35" s="14"/>
      <c r="Q35" s="14"/>
      <c r="R35" s="14"/>
      <c r="V35" s="115" t="s">
        <v>239</v>
      </c>
      <c r="W35" s="195">
        <f t="shared" si="33"/>
        <v>1.5247480157443022E-3</v>
      </c>
      <c r="X35" s="195">
        <f t="shared" si="30"/>
        <v>1.3904511785934879E-3</v>
      </c>
      <c r="Y35" s="195">
        <f t="shared" si="30"/>
        <v>1.19926187895587E-3</v>
      </c>
      <c r="Z35" s="195">
        <f t="shared" si="30"/>
        <v>9.7356125043108316E-4</v>
      </c>
      <c r="AA35" s="196">
        <f t="shared" si="30"/>
        <v>7.1275690359763827E-4</v>
      </c>
    </row>
    <row r="36" spans="2:27" x14ac:dyDescent="0.3">
      <c r="B36" s="69" t="s">
        <v>218</v>
      </c>
      <c r="C36" s="132">
        <f t="shared" ref="C36:F36" si="41">SUM(C32:C35)</f>
        <v>167</v>
      </c>
      <c r="D36" s="132">
        <f t="shared" si="41"/>
        <v>-4127</v>
      </c>
      <c r="E36" s="132">
        <f t="shared" si="41"/>
        <v>-4102</v>
      </c>
      <c r="F36" s="132">
        <f t="shared" si="41"/>
        <v>-8751</v>
      </c>
      <c r="G36" s="174">
        <f>SUM(G32:G35)</f>
        <v>-14917</v>
      </c>
      <c r="L36" s="13" t="s">
        <v>40</v>
      </c>
      <c r="M36" s="13" t="s">
        <v>41</v>
      </c>
      <c r="N36" s="16">
        <f>N30*N33</f>
        <v>0.10778085610566382</v>
      </c>
      <c r="O36" s="16">
        <f t="shared" ref="O36:R36" si="42">O30*O33</f>
        <v>0.12684997247915283</v>
      </c>
      <c r="P36" s="16">
        <f t="shared" si="42"/>
        <v>0.10193725971124896</v>
      </c>
      <c r="Q36" s="16">
        <f t="shared" si="42"/>
        <v>9.9972295383434273E-2</v>
      </c>
      <c r="R36" s="16">
        <f t="shared" si="42"/>
        <v>9.3519190765831789E-2</v>
      </c>
      <c r="V36" s="67" t="s">
        <v>240</v>
      </c>
      <c r="W36" s="195">
        <f t="shared" si="33"/>
        <v>2.268187933763385E-2</v>
      </c>
      <c r="X36" s="195">
        <f t="shared" si="30"/>
        <v>2.2670357886283667E-2</v>
      </c>
      <c r="Y36" s="195">
        <f t="shared" si="30"/>
        <v>2.0481914350523711E-2</v>
      </c>
      <c r="Z36" s="195">
        <f t="shared" si="30"/>
        <v>1.5716011742416922E-2</v>
      </c>
      <c r="AA36" s="196">
        <f t="shared" si="30"/>
        <v>1.8311099367807924E-2</v>
      </c>
    </row>
    <row r="37" spans="2:27" ht="31.2" x14ac:dyDescent="0.3">
      <c r="B37" s="117" t="s">
        <v>219</v>
      </c>
      <c r="C37" s="132">
        <f t="shared" ref="C37:F37" si="43">C28+C36</f>
        <v>143270</v>
      </c>
      <c r="D37" s="132">
        <f t="shared" si="43"/>
        <v>184540</v>
      </c>
      <c r="E37" s="132">
        <f t="shared" si="43"/>
        <v>178370</v>
      </c>
      <c r="F37" s="132">
        <f t="shared" si="43"/>
        <v>201225</v>
      </c>
      <c r="G37" s="174">
        <f>G28+G36</f>
        <v>225105</v>
      </c>
      <c r="L37" s="17" t="s">
        <v>42</v>
      </c>
      <c r="M37" s="18"/>
      <c r="N37" s="19"/>
      <c r="O37" s="19"/>
      <c r="P37" s="19"/>
      <c r="Q37" s="19"/>
      <c r="R37" s="19"/>
      <c r="V37" s="67" t="s">
        <v>167</v>
      </c>
      <c r="W37" s="195">
        <f t="shared" si="33"/>
        <v>9.9047968646413E-3</v>
      </c>
      <c r="X37" s="195">
        <f t="shared" si="30"/>
        <v>1.9759295850547871E-3</v>
      </c>
      <c r="Y37" s="195">
        <f t="shared" si="30"/>
        <v>2.1582606759976359E-3</v>
      </c>
      <c r="Z37" s="195">
        <f t="shared" si="30"/>
        <v>1.3353828645759685E-3</v>
      </c>
      <c r="AA37" s="196">
        <f t="shared" si="30"/>
        <v>8.0623805313857798E-4</v>
      </c>
    </row>
    <row r="38" spans="2:27" x14ac:dyDescent="0.3">
      <c r="B38" s="117"/>
      <c r="C38" s="128"/>
      <c r="D38" s="128"/>
      <c r="E38" s="128"/>
      <c r="F38" s="128"/>
      <c r="G38" s="169"/>
      <c r="L38" s="18" t="s">
        <v>43</v>
      </c>
      <c r="M38" s="18" t="s">
        <v>44</v>
      </c>
      <c r="N38" s="20">
        <f>N17/N6</f>
        <v>0.14675221787297082</v>
      </c>
      <c r="O38" s="20">
        <f t="shared" ref="O38:R38" si="44">O17/O6</f>
        <v>0.14901415034207283</v>
      </c>
      <c r="P38" s="20">
        <f t="shared" si="44"/>
        <v>0.13168445565838402</v>
      </c>
      <c r="Q38" s="20">
        <f t="shared" si="44"/>
        <v>0.14860840332592132</v>
      </c>
      <c r="R38" s="20">
        <f t="shared" si="44"/>
        <v>0.14435707820396776</v>
      </c>
      <c r="V38" s="67" t="s">
        <v>241</v>
      </c>
      <c r="W38" s="195">
        <f t="shared" si="33"/>
        <v>1.4113017002179793E-2</v>
      </c>
      <c r="X38" s="195">
        <f t="shared" si="30"/>
        <v>1.2752286439666907E-2</v>
      </c>
      <c r="Y38" s="195">
        <f t="shared" si="30"/>
        <v>1.4233020690142355E-2</v>
      </c>
      <c r="Z38" s="195">
        <f t="shared" si="30"/>
        <v>1.3451829064211298E-2</v>
      </c>
      <c r="AA38" s="196">
        <f t="shared" si="30"/>
        <v>2.016538791138341E-2</v>
      </c>
    </row>
    <row r="39" spans="2:27" ht="16.2" thickBot="1" x14ac:dyDescent="0.35">
      <c r="B39" s="118" t="s">
        <v>220</v>
      </c>
      <c r="C39" s="133"/>
      <c r="D39" s="133"/>
      <c r="E39" s="133"/>
      <c r="F39" s="133"/>
      <c r="G39" s="175"/>
      <c r="L39" s="18" t="s">
        <v>45</v>
      </c>
      <c r="M39" s="18" t="s">
        <v>38</v>
      </c>
      <c r="N39" s="21">
        <f>N6/C85</f>
        <v>0.56332292749509372</v>
      </c>
      <c r="O39" s="21">
        <f t="shared" ref="O39:R39" si="45">O6/D85</f>
        <v>0.58774347304445884</v>
      </c>
      <c r="P39" s="21">
        <f t="shared" si="45"/>
        <v>0.5366725657756124</v>
      </c>
      <c r="Q39" s="21">
        <f t="shared" si="45"/>
        <v>0.48266562494595566</v>
      </c>
      <c r="R39" s="21">
        <f t="shared" si="45"/>
        <v>0.4600251602892077</v>
      </c>
      <c r="V39" s="69" t="s">
        <v>242</v>
      </c>
      <c r="W39" s="204">
        <f t="shared" si="33"/>
        <v>0.24556248750692888</v>
      </c>
      <c r="X39" s="204">
        <f t="shared" si="30"/>
        <v>0.23756014481825194</v>
      </c>
      <c r="Y39" s="204">
        <f t="shared" si="30"/>
        <v>0.23041517049848634</v>
      </c>
      <c r="Z39" s="204">
        <f t="shared" si="30"/>
        <v>0.19587740385022959</v>
      </c>
      <c r="AA39" s="207">
        <f t="shared" si="30"/>
        <v>0.19512700755929271</v>
      </c>
    </row>
    <row r="40" spans="2:27" x14ac:dyDescent="0.3">
      <c r="B40" s="67" t="s">
        <v>221</v>
      </c>
      <c r="C40" s="128">
        <v>143172</v>
      </c>
      <c r="D40" s="128">
        <v>188640</v>
      </c>
      <c r="E40" s="128">
        <v>182385</v>
      </c>
      <c r="F40" s="128">
        <v>209894</v>
      </c>
      <c r="G40" s="169">
        <v>239887</v>
      </c>
      <c r="L40" s="18" t="s">
        <v>46</v>
      </c>
      <c r="M40" s="18" t="s">
        <v>47</v>
      </c>
      <c r="N40" s="21">
        <f>C85/C94</f>
        <v>2.3615885989156413</v>
      </c>
      <c r="O40" s="21">
        <f t="shared" ref="O40:R40" si="46">D85/D94</f>
        <v>2.2570223744688231</v>
      </c>
      <c r="P40" s="21">
        <f t="shared" si="46"/>
        <v>2.4141418047334344</v>
      </c>
      <c r="Q40" s="21">
        <f t="shared" si="46"/>
        <v>2.6628275409338693</v>
      </c>
      <c r="R40" s="21">
        <f t="shared" si="46"/>
        <v>2.7564490130683201</v>
      </c>
      <c r="V40" s="63"/>
      <c r="W40" s="197"/>
      <c r="X40" s="197"/>
      <c r="Y40" s="197"/>
      <c r="Z40" s="197"/>
      <c r="AA40" s="198"/>
    </row>
    <row r="41" spans="2:27" x14ac:dyDescent="0.3">
      <c r="B41" s="67" t="s">
        <v>222</v>
      </c>
      <c r="C41" s="128">
        <v>-69</v>
      </c>
      <c r="D41" s="128">
        <v>27</v>
      </c>
      <c r="E41" s="128">
        <v>87</v>
      </c>
      <c r="F41" s="128">
        <v>82</v>
      </c>
      <c r="G41" s="169">
        <v>135</v>
      </c>
      <c r="L41" s="18" t="s">
        <v>22</v>
      </c>
      <c r="M41" s="18" t="s">
        <v>48</v>
      </c>
      <c r="N41" s="22">
        <f>N38*N39*N40</f>
        <v>0.19522990572049995</v>
      </c>
      <c r="O41" s="22">
        <f t="shared" ref="O41:R41" si="47">O38*O39*O40</f>
        <v>0.19767474633596388</v>
      </c>
      <c r="P41" s="22">
        <f t="shared" si="47"/>
        <v>0.17061086488791063</v>
      </c>
      <c r="Q41" s="22">
        <f t="shared" si="47"/>
        <v>0.19099974084772595</v>
      </c>
      <c r="R41" s="22">
        <f t="shared" si="47"/>
        <v>0.18304995744687771</v>
      </c>
      <c r="V41" s="63" t="s">
        <v>243</v>
      </c>
      <c r="W41" s="195"/>
      <c r="X41" s="195"/>
      <c r="Y41" s="195"/>
      <c r="Z41" s="195"/>
      <c r="AA41" s="196"/>
    </row>
    <row r="42" spans="2:27" x14ac:dyDescent="0.3">
      <c r="B42" s="121" t="s">
        <v>223</v>
      </c>
      <c r="C42" s="128"/>
      <c r="D42" s="128"/>
      <c r="E42" s="128"/>
      <c r="F42" s="128"/>
      <c r="G42" s="169"/>
      <c r="L42" s="23" t="s">
        <v>49</v>
      </c>
      <c r="M42" s="24"/>
      <c r="N42" s="25"/>
      <c r="O42" s="25"/>
      <c r="P42" s="25"/>
      <c r="Q42" s="25"/>
      <c r="R42" s="25"/>
      <c r="V42" s="67" t="s">
        <v>167</v>
      </c>
      <c r="W42" s="195">
        <f t="shared" si="33"/>
        <v>0.24152092955305526</v>
      </c>
      <c r="X42" s="195">
        <f t="shared" ref="X42:X52" si="48">D75/D$85</f>
        <v>0.21341144194830308</v>
      </c>
      <c r="Y42" s="195">
        <f t="shared" ref="Y42:Y52" si="49">E75/E$85</f>
        <v>0.1625698046394185</v>
      </c>
      <c r="Z42" s="195">
        <f t="shared" ref="Z42:Z52" si="50">F75/F$85</f>
        <v>0.16846509303088167</v>
      </c>
      <c r="AA42" s="196">
        <f t="shared" ref="AA42:AA52" si="51">G75/G$85</f>
        <v>0.16490133757665013</v>
      </c>
    </row>
    <row r="43" spans="2:27" x14ac:dyDescent="0.3">
      <c r="B43" s="115" t="s">
        <v>221</v>
      </c>
      <c r="C43" s="128">
        <v>167</v>
      </c>
      <c r="D43" s="128">
        <v>-4127</v>
      </c>
      <c r="E43" s="128">
        <v>-4102</v>
      </c>
      <c r="F43" s="128">
        <v>-8751</v>
      </c>
      <c r="G43" s="169">
        <v>-14917</v>
      </c>
      <c r="L43" s="24" t="s">
        <v>50</v>
      </c>
      <c r="M43" s="24" t="s">
        <v>51</v>
      </c>
      <c r="N43" s="26">
        <f>C26/C20</f>
        <v>0.71907431158439061</v>
      </c>
      <c r="O43" s="26">
        <f t="shared" ref="O43:R43" si="52">D26/D20</f>
        <v>0.70311679615270473</v>
      </c>
      <c r="P43" s="26">
        <f t="shared" si="52"/>
        <v>0.72330132343447384</v>
      </c>
      <c r="Q43" s="26">
        <f t="shared" si="52"/>
        <v>0.70343125590628808</v>
      </c>
      <c r="R43" s="26">
        <f t="shared" si="52"/>
        <v>0.74361387639597754</v>
      </c>
      <c r="V43" s="67" t="s">
        <v>235</v>
      </c>
      <c r="W43" s="195">
        <f t="shared" si="33"/>
        <v>0</v>
      </c>
      <c r="X43" s="195">
        <f t="shared" si="48"/>
        <v>0</v>
      </c>
      <c r="Y43" s="195">
        <f t="shared" si="49"/>
        <v>0</v>
      </c>
      <c r="Z43" s="195">
        <f t="shared" si="50"/>
        <v>0</v>
      </c>
      <c r="AA43" s="196">
        <f t="shared" si="51"/>
        <v>0</v>
      </c>
    </row>
    <row r="44" spans="2:27" x14ac:dyDescent="0.3">
      <c r="B44" s="115" t="s">
        <v>222</v>
      </c>
      <c r="C44" s="128">
        <v>0</v>
      </c>
      <c r="D44" s="128">
        <v>0</v>
      </c>
      <c r="E44" s="128">
        <v>0</v>
      </c>
      <c r="F44" s="128">
        <v>0</v>
      </c>
      <c r="G44" s="169">
        <v>0</v>
      </c>
      <c r="L44" s="24" t="s">
        <v>52</v>
      </c>
      <c r="M44" s="24" t="s">
        <v>53</v>
      </c>
      <c r="N44" s="26">
        <f>N15/N13</f>
        <v>0.99892835122676871</v>
      </c>
      <c r="O44" s="26">
        <f t="shared" ref="O44:R44" si="53">O15/O13</f>
        <v>0.99517244773938029</v>
      </c>
      <c r="P44" s="26">
        <f t="shared" si="53"/>
        <v>0.99854955680902502</v>
      </c>
      <c r="Q44" s="26">
        <f t="shared" si="53"/>
        <v>0.99783932296524935</v>
      </c>
      <c r="R44" s="26">
        <f t="shared" si="53"/>
        <v>0.99840758807929897</v>
      </c>
      <c r="V44" s="115" t="s">
        <v>237</v>
      </c>
      <c r="W44" s="195">
        <f t="shared" si="33"/>
        <v>0.2644601859338172</v>
      </c>
      <c r="X44" s="195">
        <f t="shared" si="48"/>
        <v>0.25809415491787452</v>
      </c>
      <c r="Y44" s="195">
        <f t="shared" si="49"/>
        <v>0.27615961847044002</v>
      </c>
      <c r="Z44" s="195">
        <f t="shared" si="50"/>
        <v>0.22251825808834078</v>
      </c>
      <c r="AA44" s="196">
        <f t="shared" si="51"/>
        <v>0.18012343050457999</v>
      </c>
    </row>
    <row r="45" spans="2:27" x14ac:dyDescent="0.3">
      <c r="B45" s="121" t="s">
        <v>224</v>
      </c>
      <c r="C45" s="128"/>
      <c r="D45" s="128"/>
      <c r="E45" s="128"/>
      <c r="F45" s="128"/>
      <c r="G45" s="169"/>
      <c r="L45" s="24" t="s">
        <v>54</v>
      </c>
      <c r="M45" s="24" t="s">
        <v>32</v>
      </c>
      <c r="N45" s="26">
        <f>N13/N6</f>
        <v>0.1913304977394206</v>
      </c>
      <c r="O45" s="26">
        <f t="shared" ref="O45:R45" si="54">O13/O6</f>
        <v>0.21582540393359242</v>
      </c>
      <c r="P45" s="26">
        <f t="shared" si="54"/>
        <v>0.18994311655175949</v>
      </c>
      <c r="Q45" s="26">
        <f t="shared" si="54"/>
        <v>0.20712536840515258</v>
      </c>
      <c r="R45" s="26">
        <f t="shared" si="54"/>
        <v>0.20329146933406497</v>
      </c>
      <c r="V45" s="115" t="s">
        <v>244</v>
      </c>
      <c r="W45" s="195">
        <f t="shared" si="33"/>
        <v>4.2426601394160809E-2</v>
      </c>
      <c r="X45" s="195">
        <f t="shared" si="48"/>
        <v>3.6487936455180406E-2</v>
      </c>
      <c r="Y45" s="195">
        <f t="shared" si="49"/>
        <v>6.6560266400419579E-2</v>
      </c>
      <c r="Z45" s="195">
        <f t="shared" si="50"/>
        <v>0.1031852848811126</v>
      </c>
      <c r="AA45" s="196">
        <f t="shared" si="51"/>
        <v>3.8361478924866514E-2</v>
      </c>
    </row>
    <row r="46" spans="2:27" x14ac:dyDescent="0.3">
      <c r="B46" s="115" t="s">
        <v>221</v>
      </c>
      <c r="C46" s="128">
        <v>143339</v>
      </c>
      <c r="D46" s="128">
        <v>184513</v>
      </c>
      <c r="E46" s="128">
        <v>178283</v>
      </c>
      <c r="F46" s="128">
        <v>201143</v>
      </c>
      <c r="G46" s="169">
        <v>224970</v>
      </c>
      <c r="L46" s="24" t="s">
        <v>45</v>
      </c>
      <c r="M46" s="24" t="s">
        <v>55</v>
      </c>
      <c r="N46" s="27">
        <f>N39</f>
        <v>0.56332292749509372</v>
      </c>
      <c r="O46" s="27">
        <f t="shared" ref="O46:R46" si="55">O39</f>
        <v>0.58774347304445884</v>
      </c>
      <c r="P46" s="27">
        <f t="shared" si="55"/>
        <v>0.5366725657756124</v>
      </c>
      <c r="Q46" s="27">
        <f t="shared" si="55"/>
        <v>0.48266562494595566</v>
      </c>
      <c r="R46" s="27">
        <f t="shared" si="55"/>
        <v>0.4600251602892077</v>
      </c>
      <c r="V46" s="115" t="s">
        <v>245</v>
      </c>
      <c r="W46" s="195">
        <f t="shared" si="33"/>
        <v>1.9324374713549372E-3</v>
      </c>
      <c r="X46" s="195">
        <f t="shared" si="48"/>
        <v>1.0190398154134035E-2</v>
      </c>
      <c r="Y46" s="195">
        <f t="shared" si="49"/>
        <v>1.6374853121222787E-3</v>
      </c>
      <c r="Z46" s="195">
        <f t="shared" si="50"/>
        <v>6.886682692617449E-2</v>
      </c>
      <c r="AA46" s="196">
        <f t="shared" si="51"/>
        <v>0.1846880825984103</v>
      </c>
    </row>
    <row r="47" spans="2:27" x14ac:dyDescent="0.3">
      <c r="B47" s="115" t="s">
        <v>222</v>
      </c>
      <c r="C47" s="128">
        <v>-69</v>
      </c>
      <c r="D47" s="128">
        <v>27</v>
      </c>
      <c r="E47" s="128">
        <v>87</v>
      </c>
      <c r="F47" s="128">
        <v>82</v>
      </c>
      <c r="G47" s="169">
        <v>135</v>
      </c>
      <c r="L47" s="24" t="s">
        <v>56</v>
      </c>
      <c r="M47" s="24" t="s">
        <v>57</v>
      </c>
      <c r="N47" s="27">
        <f>N40</f>
        <v>2.3615885989156413</v>
      </c>
      <c r="O47" s="27">
        <f t="shared" ref="O47:R47" si="56">O40</f>
        <v>2.2570223744688231</v>
      </c>
      <c r="P47" s="27">
        <f t="shared" si="56"/>
        <v>2.4141418047334344</v>
      </c>
      <c r="Q47" s="27">
        <f t="shared" si="56"/>
        <v>2.6628275409338693</v>
      </c>
      <c r="R47" s="27">
        <f t="shared" si="56"/>
        <v>2.7564490130683201</v>
      </c>
      <c r="V47" s="115" t="s">
        <v>238</v>
      </c>
      <c r="W47" s="195">
        <f t="shared" si="33"/>
        <v>7.6896665754243949E-4</v>
      </c>
      <c r="X47" s="195">
        <f t="shared" si="48"/>
        <v>7.790368952257814E-4</v>
      </c>
      <c r="Y47" s="195">
        <f t="shared" si="49"/>
        <v>7.1216441716078036E-4</v>
      </c>
      <c r="Z47" s="195">
        <f t="shared" si="50"/>
        <v>5.1543472680433522E-5</v>
      </c>
      <c r="AA47" s="196">
        <f t="shared" si="51"/>
        <v>4.3644196000186375E-5</v>
      </c>
    </row>
    <row r="48" spans="2:27" x14ac:dyDescent="0.3">
      <c r="B48" s="118" t="s">
        <v>225</v>
      </c>
      <c r="C48" s="128"/>
      <c r="D48" s="128"/>
      <c r="E48" s="128"/>
      <c r="F48" s="128"/>
      <c r="G48" s="169"/>
      <c r="L48" s="24" t="s">
        <v>22</v>
      </c>
      <c r="M48" s="24" t="s">
        <v>58</v>
      </c>
      <c r="N48" s="26">
        <f>PRODUCT(N43:N47)</f>
        <v>0.18283274759273394</v>
      </c>
      <c r="O48" s="26">
        <f t="shared" ref="O48:R48" si="57">PRODUCT(O43:O47)</f>
        <v>0.20033279854305777</v>
      </c>
      <c r="P48" s="26">
        <f t="shared" si="57"/>
        <v>0.17773977016964615</v>
      </c>
      <c r="Q48" s="26">
        <f t="shared" si="57"/>
        <v>0.18685511040157765</v>
      </c>
      <c r="R48" s="26">
        <f t="shared" si="57"/>
        <v>0.19138419169795495</v>
      </c>
      <c r="V48" s="115" t="s">
        <v>239</v>
      </c>
      <c r="W48" s="195">
        <f t="shared" si="33"/>
        <v>3.0874696935894656E-3</v>
      </c>
      <c r="X48" s="195">
        <f t="shared" si="48"/>
        <v>1.7415461048635532E-3</v>
      </c>
      <c r="Y48" s="195">
        <f t="shared" si="49"/>
        <v>1.306045470917694E-3</v>
      </c>
      <c r="Z48" s="195">
        <f t="shared" si="50"/>
        <v>2.0569914821020377E-3</v>
      </c>
      <c r="AA48" s="196">
        <f t="shared" si="51"/>
        <v>3.0238350390939936E-3</v>
      </c>
    </row>
    <row r="49" spans="2:27" x14ac:dyDescent="0.3">
      <c r="B49" s="67" t="s">
        <v>226</v>
      </c>
      <c r="C49" s="164">
        <v>5.83</v>
      </c>
      <c r="D49" s="164">
        <v>7.74</v>
      </c>
      <c r="E49" s="164">
        <v>7.49</v>
      </c>
      <c r="F49" s="164">
        <v>8.6199999999999992</v>
      </c>
      <c r="G49" s="176">
        <v>9.85</v>
      </c>
      <c r="L49" s="28" t="s">
        <v>59</v>
      </c>
      <c r="M49" s="29"/>
      <c r="N49" s="30"/>
      <c r="O49" s="30"/>
      <c r="P49" s="30"/>
      <c r="Q49" s="30"/>
      <c r="R49" s="30"/>
      <c r="S49" s="65"/>
      <c r="T49" s="65"/>
      <c r="U49" s="65"/>
      <c r="V49" s="67" t="s">
        <v>246</v>
      </c>
      <c r="W49" s="195">
        <f t="shared" si="33"/>
        <v>1.3124119551636533E-2</v>
      </c>
      <c r="X49" s="195">
        <f t="shared" si="48"/>
        <v>1.1702844012990992E-2</v>
      </c>
      <c r="Y49" s="195">
        <f t="shared" si="49"/>
        <v>1.1703070972892984E-2</v>
      </c>
      <c r="Z49" s="195">
        <f t="shared" si="50"/>
        <v>4.5317563743507471E-3</v>
      </c>
      <c r="AA49" s="196">
        <f t="shared" si="51"/>
        <v>4.2682844115317399E-3</v>
      </c>
    </row>
    <row r="50" spans="2:27" x14ac:dyDescent="0.3">
      <c r="B50" s="67" t="s">
        <v>227</v>
      </c>
      <c r="C50" s="164">
        <v>5.83</v>
      </c>
      <c r="D50" s="164">
        <v>7.74</v>
      </c>
      <c r="E50" s="164">
        <v>7.49</v>
      </c>
      <c r="F50" s="164">
        <v>8.6199999999999992</v>
      </c>
      <c r="G50" s="176">
        <v>9.85</v>
      </c>
      <c r="L50" s="29" t="s">
        <v>60</v>
      </c>
      <c r="M50" s="29" t="s">
        <v>61</v>
      </c>
      <c r="N50" s="31">
        <f>N6/C72</f>
        <v>2.2940105111909603</v>
      </c>
      <c r="O50" s="31">
        <f t="shared" ref="O50:R50" si="58">O6/D72</f>
        <v>2.4740828201385323</v>
      </c>
      <c r="P50" s="31">
        <f t="shared" si="58"/>
        <v>2.3291546499067772</v>
      </c>
      <c r="Q50" s="31">
        <f t="shared" si="58"/>
        <v>2.4641210035385606</v>
      </c>
      <c r="R50" s="31">
        <f t="shared" si="58"/>
        <v>2.3575678530785704</v>
      </c>
      <c r="S50" s="65"/>
      <c r="T50" s="65"/>
      <c r="U50" s="65"/>
      <c r="V50" s="67" t="s">
        <v>171</v>
      </c>
      <c r="W50" s="195">
        <f t="shared" si="33"/>
        <v>0.18711680223791449</v>
      </c>
      <c r="X50" s="195">
        <f t="shared" si="48"/>
        <v>0.23003249669317569</v>
      </c>
      <c r="Y50" s="195">
        <f t="shared" si="49"/>
        <v>0.24893637381814179</v>
      </c>
      <c r="Z50" s="195">
        <f t="shared" si="50"/>
        <v>0.23444684189412768</v>
      </c>
      <c r="AA50" s="196">
        <f t="shared" si="51"/>
        <v>0.22946289918957447</v>
      </c>
    </row>
    <row r="51" spans="2:27" s="65" customFormat="1" x14ac:dyDescent="0.3">
      <c r="B51" s="304"/>
      <c r="C51" s="304"/>
      <c r="D51" s="304"/>
      <c r="E51" s="304"/>
      <c r="F51" s="304"/>
      <c r="G51" s="304"/>
      <c r="L51" s="29" t="s">
        <v>62</v>
      </c>
      <c r="M51" s="29" t="s">
        <v>63</v>
      </c>
      <c r="N51" s="31">
        <f>N4/C58</f>
        <v>6.2056320356056389</v>
      </c>
      <c r="O51" s="31">
        <f t="shared" ref="O51:R51" si="59">O4/D58</f>
        <v>5.6874339576768067</v>
      </c>
      <c r="P51" s="31">
        <f t="shared" si="59"/>
        <v>5.0501680446457433</v>
      </c>
      <c r="Q51" s="31">
        <f t="shared" si="59"/>
        <v>5.6763991148662241</v>
      </c>
      <c r="R51" s="31">
        <f t="shared" si="59"/>
        <v>6.1243180559263877</v>
      </c>
      <c r="S51" s="62"/>
      <c r="T51" s="62"/>
      <c r="U51" s="62"/>
      <c r="V51" s="69" t="s">
        <v>247</v>
      </c>
      <c r="W51" s="206">
        <f t="shared" si="33"/>
        <v>0.75443751249307112</v>
      </c>
      <c r="X51" s="206">
        <f t="shared" si="48"/>
        <v>0.76243985518174806</v>
      </c>
      <c r="Y51" s="206">
        <f t="shared" si="49"/>
        <v>0.76958482950151363</v>
      </c>
      <c r="Z51" s="206">
        <f t="shared" si="50"/>
        <v>0.80412259614977044</v>
      </c>
      <c r="AA51" s="208">
        <f t="shared" si="51"/>
        <v>0.80487299244070731</v>
      </c>
    </row>
    <row r="52" spans="2:27" s="65" customFormat="1" ht="16.2" thickBot="1" x14ac:dyDescent="0.35">
      <c r="C52" s="134"/>
      <c r="D52" s="134"/>
      <c r="E52" s="134"/>
      <c r="F52" s="134"/>
      <c r="G52" s="134"/>
      <c r="L52" s="29" t="s">
        <v>64</v>
      </c>
      <c r="M52" s="29" t="s">
        <v>65</v>
      </c>
      <c r="N52" s="31">
        <f>N6/C84</f>
        <v>0.74667937127565276</v>
      </c>
      <c r="O52" s="31">
        <f t="shared" ref="O52:R52" si="60">O6/D84</f>
        <v>0.77087191737157346</v>
      </c>
      <c r="P52" s="31">
        <f t="shared" si="60"/>
        <v>0.69735335885354377</v>
      </c>
      <c r="Q52" s="31">
        <f t="shared" si="60"/>
        <v>0.60023885320100823</v>
      </c>
      <c r="R52" s="31">
        <f t="shared" si="60"/>
        <v>0.57155000181360471</v>
      </c>
      <c r="S52" s="62"/>
      <c r="T52" s="62"/>
      <c r="U52" s="62"/>
      <c r="V52" s="69" t="s">
        <v>248</v>
      </c>
      <c r="W52" s="204">
        <f t="shared" si="33"/>
        <v>1</v>
      </c>
      <c r="X52" s="204">
        <f t="shared" si="48"/>
        <v>1</v>
      </c>
      <c r="Y52" s="204">
        <f t="shared" si="49"/>
        <v>1</v>
      </c>
      <c r="Z52" s="204">
        <f t="shared" si="50"/>
        <v>1</v>
      </c>
      <c r="AA52" s="207">
        <f t="shared" si="51"/>
        <v>1</v>
      </c>
    </row>
    <row r="53" spans="2:27" ht="17.399999999999999" x14ac:dyDescent="0.3">
      <c r="B53" s="299" t="s">
        <v>178</v>
      </c>
      <c r="C53" s="299"/>
      <c r="D53" s="299"/>
      <c r="E53" s="299"/>
      <c r="F53" s="299"/>
      <c r="G53" s="299"/>
      <c r="L53" s="29" t="s">
        <v>66</v>
      </c>
      <c r="M53" s="29" t="s">
        <v>67</v>
      </c>
      <c r="N53" s="31">
        <f>N6/C94</f>
        <v>1.330337003080196</v>
      </c>
      <c r="O53" s="31">
        <f t="shared" ref="O53:R53" si="61">O6/D94</f>
        <v>1.3265501691093573</v>
      </c>
      <c r="P53" s="31">
        <f t="shared" si="61"/>
        <v>1.2956036764924597</v>
      </c>
      <c r="Q53" s="31">
        <f t="shared" si="61"/>
        <v>1.2852553191681484</v>
      </c>
      <c r="R53" s="31">
        <f t="shared" si="61"/>
        <v>1.2680358990657821</v>
      </c>
      <c r="V53" s="63"/>
      <c r="W53" s="197"/>
      <c r="X53" s="197"/>
      <c r="Y53" s="197"/>
      <c r="Z53" s="197"/>
      <c r="AA53" s="198"/>
    </row>
    <row r="54" spans="2:27" x14ac:dyDescent="0.3">
      <c r="B54" s="300" t="s">
        <v>184</v>
      </c>
      <c r="C54" s="300"/>
      <c r="D54" s="300"/>
      <c r="E54" s="300"/>
      <c r="F54" s="300"/>
      <c r="G54" s="300"/>
      <c r="L54" s="28" t="s">
        <v>182</v>
      </c>
      <c r="M54" s="29"/>
      <c r="N54" s="31"/>
      <c r="O54" s="31"/>
      <c r="P54" s="31"/>
      <c r="Q54" s="31"/>
      <c r="R54" s="31"/>
      <c r="V54" s="296" t="s">
        <v>249</v>
      </c>
      <c r="W54" s="297"/>
      <c r="X54" s="297"/>
      <c r="Y54" s="297"/>
      <c r="Z54" s="297"/>
      <c r="AA54" s="298"/>
    </row>
    <row r="55" spans="2:27" ht="46.8" x14ac:dyDescent="0.3">
      <c r="B55" s="58" t="s">
        <v>169</v>
      </c>
      <c r="C55" s="127" t="s">
        <v>188</v>
      </c>
      <c r="D55" s="127" t="s">
        <v>189</v>
      </c>
      <c r="E55" s="127" t="s">
        <v>190</v>
      </c>
      <c r="F55" s="127" t="s">
        <v>191</v>
      </c>
      <c r="G55" s="168" t="s">
        <v>187</v>
      </c>
      <c r="L55" s="29" t="s">
        <v>68</v>
      </c>
      <c r="M55" s="29" t="s">
        <v>69</v>
      </c>
      <c r="N55" s="31">
        <f>N6/(C84-C121)</f>
        <v>2.4228825362834989</v>
      </c>
      <c r="O55" s="31">
        <f t="shared" ref="O55:R55" si="62">O6/(D84-D121)</f>
        <v>2.2554108325392717</v>
      </c>
      <c r="P55" s="31">
        <f t="shared" si="62"/>
        <v>2.2251782500080886</v>
      </c>
      <c r="Q55" s="31">
        <f t="shared" si="62"/>
        <v>2.0677144467558426</v>
      </c>
      <c r="R55" s="31">
        <f t="shared" si="62"/>
        <v>2.0226095502595078</v>
      </c>
      <c r="V55" s="226" t="s">
        <v>250</v>
      </c>
      <c r="W55" s="199"/>
      <c r="X55" s="200"/>
      <c r="Y55" s="201"/>
      <c r="Z55" s="202"/>
      <c r="AA55" s="203"/>
    </row>
    <row r="56" spans="2:27" x14ac:dyDescent="0.3">
      <c r="B56" s="296" t="s">
        <v>170</v>
      </c>
      <c r="C56" s="297"/>
      <c r="D56" s="297"/>
      <c r="E56" s="297"/>
      <c r="F56" s="297"/>
      <c r="G56" s="298"/>
      <c r="L56" s="29" t="s">
        <v>70</v>
      </c>
      <c r="M56" s="29" t="s">
        <v>71</v>
      </c>
      <c r="N56" s="31">
        <f>N4/C75</f>
        <v>2.2896561964990743</v>
      </c>
      <c r="O56" s="31">
        <f t="shared" ref="O56:R56" si="63">O4/D75</f>
        <v>2.7376123870503113</v>
      </c>
      <c r="P56" s="31">
        <f t="shared" si="63"/>
        <v>3.2760705353308239</v>
      </c>
      <c r="Q56" s="31">
        <f t="shared" si="63"/>
        <v>2.8399248789246334</v>
      </c>
      <c r="R56" s="31">
        <f t="shared" si="63"/>
        <v>2.7482930667572738</v>
      </c>
      <c r="V56" s="71" t="s">
        <v>177</v>
      </c>
      <c r="W56" s="199"/>
      <c r="X56" s="200"/>
      <c r="Y56" s="201"/>
      <c r="Z56" s="202"/>
      <c r="AA56" s="203"/>
    </row>
    <row r="57" spans="2:27" x14ac:dyDescent="0.3">
      <c r="B57" s="70" t="s">
        <v>228</v>
      </c>
      <c r="C57" s="128"/>
      <c r="D57" s="128"/>
      <c r="E57" s="128"/>
      <c r="F57" s="128"/>
      <c r="G57" s="169"/>
      <c r="L57" s="29" t="s">
        <v>72</v>
      </c>
      <c r="M57" s="29" t="s">
        <v>73</v>
      </c>
      <c r="N57" s="31">
        <f>365/N56</f>
        <v>159.41257930255713</v>
      </c>
      <c r="O57" s="31">
        <f t="shared" ref="O57:R57" si="64">365/O56</f>
        <v>133.32785960735504</v>
      </c>
      <c r="P57" s="31">
        <f t="shared" si="64"/>
        <v>111.41396256999137</v>
      </c>
      <c r="Q57" s="31">
        <f t="shared" si="64"/>
        <v>128.52452637346204</v>
      </c>
      <c r="R57" s="31">
        <f t="shared" si="64"/>
        <v>132.80970811117518</v>
      </c>
      <c r="V57" s="72" t="s">
        <v>176</v>
      </c>
      <c r="W57" s="195">
        <f t="shared" ref="W57:W89" si="65">C90/C$85</f>
        <v>1.2850920149299781E-2</v>
      </c>
      <c r="X57" s="195">
        <f t="shared" ref="X57:X89" si="66">D90/D$85</f>
        <v>1.1702844012990992E-2</v>
      </c>
      <c r="Y57" s="195">
        <f t="shared" ref="Y57:Y89" si="67">E90/E$85</f>
        <v>1.0007265391314633E-2</v>
      </c>
      <c r="Z57" s="195">
        <f t="shared" ref="Z57:Z89" si="68">F90/F$85</f>
        <v>8.2625543113910727E-3</v>
      </c>
      <c r="AA57" s="196">
        <f t="shared" ref="AA57:AA89" si="69">G90/G$85</f>
        <v>7.1853681063550074E-3</v>
      </c>
    </row>
    <row r="58" spans="2:27" x14ac:dyDescent="0.3">
      <c r="B58" s="67" t="s">
        <v>229</v>
      </c>
      <c r="C58" s="128">
        <v>168962</v>
      </c>
      <c r="D58" s="128">
        <v>213878</v>
      </c>
      <c r="E58" s="135">
        <v>256777</v>
      </c>
      <c r="F58" s="136">
        <v>248550</v>
      </c>
      <c r="G58" s="169">
        <v>250937</v>
      </c>
      <c r="L58" s="29" t="s">
        <v>74</v>
      </c>
      <c r="M58" s="29" t="s">
        <v>75</v>
      </c>
      <c r="N58" s="31">
        <f>N4/C77</f>
        <v>2.0910515924456057</v>
      </c>
      <c r="O58" s="31">
        <f t="shared" ref="O58:R58" si="70">O4/D77</f>
        <v>2.2636615199668011</v>
      </c>
      <c r="P58" s="31">
        <f t="shared" si="70"/>
        <v>1.9285591060109875</v>
      </c>
      <c r="Q58" s="31">
        <f t="shared" si="70"/>
        <v>2.1500627096353391</v>
      </c>
      <c r="R58" s="31">
        <f t="shared" si="70"/>
        <v>2.5160369280740786</v>
      </c>
      <c r="V58" s="72" t="s">
        <v>251</v>
      </c>
      <c r="W58" s="195">
        <f t="shared" si="65"/>
        <v>0.40990564072379909</v>
      </c>
      <c r="X58" s="195">
        <f t="shared" si="66"/>
        <v>0.4307199895488022</v>
      </c>
      <c r="Y58" s="195">
        <f t="shared" si="67"/>
        <v>0.40363663843609682</v>
      </c>
      <c r="Z58" s="195">
        <f t="shared" si="68"/>
        <v>0.3667697875222069</v>
      </c>
      <c r="AA58" s="196">
        <f t="shared" si="69"/>
        <v>0.35511837308592187</v>
      </c>
    </row>
    <row r="59" spans="2:27" x14ac:dyDescent="0.3">
      <c r="B59" s="67" t="s">
        <v>230</v>
      </c>
      <c r="C59" s="128">
        <v>44397</v>
      </c>
      <c r="D59" s="128">
        <v>32285</v>
      </c>
      <c r="E59" s="135">
        <v>24671</v>
      </c>
      <c r="F59" s="136">
        <v>39747</v>
      </c>
      <c r="G59" s="169">
        <v>44593</v>
      </c>
      <c r="L59" s="29" t="s">
        <v>76</v>
      </c>
      <c r="M59" s="29" t="s">
        <v>77</v>
      </c>
      <c r="N59" s="31">
        <f>365/N58</f>
        <v>174.55332107473799</v>
      </c>
      <c r="O59" s="31">
        <f t="shared" ref="O59:R59" si="71">365/O58</f>
        <v>161.243187985699</v>
      </c>
      <c r="P59" s="31">
        <f t="shared" si="71"/>
        <v>189.26046853443989</v>
      </c>
      <c r="Q59" s="31">
        <f t="shared" si="71"/>
        <v>169.76249035169107</v>
      </c>
      <c r="R59" s="31">
        <f t="shared" si="71"/>
        <v>145.06941290380516</v>
      </c>
      <c r="V59" s="73" t="s">
        <v>252</v>
      </c>
      <c r="W59" s="195">
        <f t="shared" si="65"/>
        <v>0.42275656087309887</v>
      </c>
      <c r="X59" s="195">
        <f t="shared" si="66"/>
        <v>0.44242283356179318</v>
      </c>
      <c r="Y59" s="195">
        <f t="shared" si="67"/>
        <v>0.41364390382741145</v>
      </c>
      <c r="Z59" s="195">
        <f t="shared" si="68"/>
        <v>0.37503234183359802</v>
      </c>
      <c r="AA59" s="196">
        <f t="shared" si="69"/>
        <v>0.36230374119227687</v>
      </c>
    </row>
    <row r="60" spans="2:27" x14ac:dyDescent="0.3">
      <c r="B60" s="67" t="s">
        <v>231</v>
      </c>
      <c r="C60" s="128">
        <v>11</v>
      </c>
      <c r="D60" s="128">
        <v>10</v>
      </c>
      <c r="E60" s="135">
        <v>9</v>
      </c>
      <c r="F60" s="136">
        <v>8</v>
      </c>
      <c r="G60" s="169">
        <v>7</v>
      </c>
      <c r="L60" s="29" t="s">
        <v>78</v>
      </c>
      <c r="M60" s="29" t="s">
        <v>371</v>
      </c>
      <c r="N60" s="31">
        <f>N4/(C115+C116)</f>
        <v>7.659047911233829</v>
      </c>
      <c r="O60" s="31">
        <f t="shared" ref="O60:R60" si="72">O8/(D115+D116)</f>
        <v>4.1451134897667448</v>
      </c>
      <c r="P60" s="31">
        <f t="shared" si="72"/>
        <v>2.8966952773934445</v>
      </c>
      <c r="Q60" s="31">
        <f t="shared" si="72"/>
        <v>2.3723180454090755</v>
      </c>
      <c r="R60" s="31">
        <f t="shared" si="72"/>
        <v>2.6406553290000891</v>
      </c>
      <c r="V60" s="71" t="s">
        <v>222</v>
      </c>
      <c r="W60" s="195">
        <f t="shared" si="65"/>
        <v>6.8721780163086331E-4</v>
      </c>
      <c r="X60" s="195">
        <f t="shared" si="66"/>
        <v>6.3879104232446933E-4</v>
      </c>
      <c r="Y60" s="195">
        <f t="shared" si="67"/>
        <v>5.8197057619194107E-4</v>
      </c>
      <c r="Z60" s="195">
        <f t="shared" si="68"/>
        <v>5.0831358913138054E-4</v>
      </c>
      <c r="AA60" s="196">
        <f t="shared" si="69"/>
        <v>4.8185551529935494E-4</v>
      </c>
    </row>
    <row r="61" spans="2:27" ht="16.2" thickBot="1" x14ac:dyDescent="0.35">
      <c r="B61" s="67" t="s">
        <v>232</v>
      </c>
      <c r="C61" s="128">
        <v>14932</v>
      </c>
      <c r="D61" s="128">
        <v>15872</v>
      </c>
      <c r="E61" s="135">
        <v>14473</v>
      </c>
      <c r="F61" s="136">
        <v>16656</v>
      </c>
      <c r="G61" s="169">
        <v>16582</v>
      </c>
      <c r="L61" s="29" t="s">
        <v>80</v>
      </c>
      <c r="M61" s="29" t="s">
        <v>81</v>
      </c>
      <c r="N61" s="31">
        <f>365/N60</f>
        <v>47.656053889497159</v>
      </c>
      <c r="O61" s="31">
        <f t="shared" ref="O61:R61" si="73">365/O60</f>
        <v>88.055490133405101</v>
      </c>
      <c r="P61" s="31">
        <f t="shared" si="73"/>
        <v>126.00565991478426</v>
      </c>
      <c r="Q61" s="31">
        <f t="shared" si="73"/>
        <v>153.85795370327779</v>
      </c>
      <c r="R61" s="31">
        <f t="shared" si="73"/>
        <v>138.22326450238052</v>
      </c>
      <c r="V61" s="73" t="s">
        <v>253</v>
      </c>
      <c r="W61" s="204">
        <f t="shared" si="65"/>
        <v>0.42344377867472976</v>
      </c>
      <c r="X61" s="204">
        <f t="shared" si="66"/>
        <v>0.44306162460411763</v>
      </c>
      <c r="Y61" s="204">
        <f t="shared" si="67"/>
        <v>0.41422587440360337</v>
      </c>
      <c r="Z61" s="204">
        <f t="shared" si="68"/>
        <v>0.37554065542272941</v>
      </c>
      <c r="AA61" s="207">
        <f t="shared" si="69"/>
        <v>0.36278559670757621</v>
      </c>
    </row>
    <row r="62" spans="2:27" x14ac:dyDescent="0.3">
      <c r="B62" s="67" t="s">
        <v>233</v>
      </c>
      <c r="C62" s="128">
        <v>49608</v>
      </c>
      <c r="D62" s="128">
        <v>52618</v>
      </c>
      <c r="E62" s="135">
        <v>58127</v>
      </c>
      <c r="F62" s="136">
        <v>48521</v>
      </c>
      <c r="G62" s="169">
        <v>56011</v>
      </c>
      <c r="L62" s="29" t="s">
        <v>82</v>
      </c>
      <c r="M62" s="29" t="s">
        <v>83</v>
      </c>
      <c r="N62" s="31">
        <f>N57+N59-N61</f>
        <v>286.30984648779798</v>
      </c>
      <c r="O62" s="31">
        <f t="shared" ref="O62:R62" si="74">O57+O59-O61</f>
        <v>206.5155574596489</v>
      </c>
      <c r="P62" s="31">
        <f t="shared" si="74"/>
        <v>174.66877118964703</v>
      </c>
      <c r="Q62" s="31">
        <f t="shared" si="74"/>
        <v>144.42906302187529</v>
      </c>
      <c r="R62" s="31">
        <f t="shared" si="74"/>
        <v>139.65585651259983</v>
      </c>
      <c r="V62" s="59" t="s">
        <v>254</v>
      </c>
      <c r="W62" s="197"/>
      <c r="X62" s="197"/>
      <c r="Y62" s="197"/>
      <c r="Z62" s="197"/>
      <c r="AA62" s="198"/>
    </row>
    <row r="63" spans="2:27" x14ac:dyDescent="0.3">
      <c r="B63" s="67" t="s">
        <v>234</v>
      </c>
      <c r="C63" s="128">
        <v>20458</v>
      </c>
      <c r="D63" s="128">
        <v>13024</v>
      </c>
      <c r="E63" s="135">
        <v>16209</v>
      </c>
      <c r="F63" s="136">
        <v>18989</v>
      </c>
      <c r="G63" s="169">
        <v>23292</v>
      </c>
      <c r="L63" s="32" t="s">
        <v>84</v>
      </c>
      <c r="M63" s="33"/>
      <c r="N63" s="34"/>
      <c r="O63" s="34"/>
      <c r="P63" s="34"/>
      <c r="Q63" s="34"/>
      <c r="R63" s="34"/>
      <c r="V63" s="123" t="s">
        <v>255</v>
      </c>
      <c r="W63" s="195"/>
      <c r="X63" s="195"/>
      <c r="Y63" s="195"/>
      <c r="Z63" s="195"/>
      <c r="AA63" s="196"/>
    </row>
    <row r="64" spans="2:27" x14ac:dyDescent="0.3">
      <c r="B64" s="67" t="s">
        <v>235</v>
      </c>
      <c r="C64" s="128"/>
      <c r="D64" s="128"/>
      <c r="E64" s="135"/>
      <c r="F64" s="136"/>
      <c r="G64" s="169"/>
      <c r="L64" s="33" t="s">
        <v>85</v>
      </c>
      <c r="M64" s="33" t="s">
        <v>86</v>
      </c>
      <c r="N64" s="35">
        <f>C99+C100+C112+C113</f>
        <v>4703</v>
      </c>
      <c r="O64" s="35">
        <f t="shared" ref="O64:R64" si="75">D99+D100+D112+D113</f>
        <v>0</v>
      </c>
      <c r="P64" s="35">
        <f t="shared" si="75"/>
        <v>0</v>
      </c>
      <c r="Q64" s="35">
        <f t="shared" si="75"/>
        <v>252</v>
      </c>
      <c r="R64" s="35">
        <f t="shared" si="75"/>
        <v>5270</v>
      </c>
      <c r="V64" s="122" t="s">
        <v>256</v>
      </c>
      <c r="W64" s="195">
        <f t="shared" si="65"/>
        <v>9.1089321964440834E-3</v>
      </c>
      <c r="X64" s="195">
        <f t="shared" si="66"/>
        <v>9.0338501617149951E-3</v>
      </c>
      <c r="Y64" s="195">
        <f t="shared" si="67"/>
        <v>7.4732086128359628E-3</v>
      </c>
      <c r="Z64" s="195">
        <f t="shared" si="68"/>
        <v>5.5948404983846888E-3</v>
      </c>
      <c r="AA64" s="196">
        <f t="shared" si="69"/>
        <v>4.3771000083159886E-3</v>
      </c>
    </row>
    <row r="65" spans="2:27" x14ac:dyDescent="0.3">
      <c r="B65" s="115" t="s">
        <v>236</v>
      </c>
      <c r="C65" s="128">
        <v>73276</v>
      </c>
      <c r="D65" s="128">
        <v>83418</v>
      </c>
      <c r="E65" s="135">
        <v>94823</v>
      </c>
      <c r="F65" s="136">
        <v>111605</v>
      </c>
      <c r="G65" s="169">
        <v>133910</v>
      </c>
      <c r="L65" s="33" t="s">
        <v>87</v>
      </c>
      <c r="M65" s="33" t="s">
        <v>88</v>
      </c>
      <c r="N65" s="233">
        <f>N64/C94</f>
        <v>5.8577280783587895E-3</v>
      </c>
      <c r="O65" s="36">
        <f t="shared" ref="O65:R65" si="76">O64/D94</f>
        <v>0</v>
      </c>
      <c r="P65" s="36">
        <f t="shared" si="76"/>
        <v>0</v>
      </c>
      <c r="Q65" s="36">
        <f t="shared" si="76"/>
        <v>2.275483382199038E-4</v>
      </c>
      <c r="R65" s="233">
        <f t="shared" si="76"/>
        <v>4.2837622650128797E-3</v>
      </c>
      <c r="V65" s="122" t="s">
        <v>175</v>
      </c>
      <c r="W65" s="195">
        <f t="shared" si="65"/>
        <v>0</v>
      </c>
      <c r="X65" s="195">
        <f t="shared" si="66"/>
        <v>0</v>
      </c>
      <c r="Y65" s="195">
        <f t="shared" si="67"/>
        <v>0</v>
      </c>
      <c r="Z65" s="195">
        <f t="shared" si="68"/>
        <v>0</v>
      </c>
      <c r="AA65" s="196">
        <f t="shared" si="69"/>
        <v>0</v>
      </c>
    </row>
    <row r="66" spans="2:27" x14ac:dyDescent="0.3">
      <c r="B66" s="115" t="s">
        <v>237</v>
      </c>
      <c r="C66" s="128">
        <v>0</v>
      </c>
      <c r="D66" s="128">
        <v>0</v>
      </c>
      <c r="E66" s="135">
        <v>0</v>
      </c>
      <c r="F66" s="136">
        <v>0</v>
      </c>
      <c r="G66" s="169">
        <v>0</v>
      </c>
      <c r="L66" s="33" t="s">
        <v>89</v>
      </c>
      <c r="M66" s="33" t="s">
        <v>90</v>
      </c>
      <c r="N66" s="233">
        <f>N64/(N64+C94)</f>
        <v>5.8236149256910199E-3</v>
      </c>
      <c r="O66" s="36">
        <f t="shared" ref="O66:R66" si="77">O64/(O64+D94)</f>
        <v>0</v>
      </c>
      <c r="P66" s="36">
        <f t="shared" si="77"/>
        <v>0</v>
      </c>
      <c r="Q66" s="36">
        <f t="shared" si="77"/>
        <v>2.2749657175305066E-4</v>
      </c>
      <c r="R66" s="233">
        <f t="shared" si="77"/>
        <v>4.2654899202507167E-3</v>
      </c>
      <c r="V66" s="124" t="s">
        <v>257</v>
      </c>
      <c r="W66" s="195">
        <f t="shared" si="65"/>
        <v>1.7578641080857002E-3</v>
      </c>
      <c r="X66" s="195">
        <f t="shared" si="66"/>
        <v>0</v>
      </c>
      <c r="Y66" s="195">
        <f t="shared" si="67"/>
        <v>0</v>
      </c>
      <c r="Z66" s="195">
        <f t="shared" si="68"/>
        <v>0</v>
      </c>
      <c r="AA66" s="196">
        <f t="shared" si="69"/>
        <v>0</v>
      </c>
    </row>
    <row r="67" spans="2:27" x14ac:dyDescent="0.3">
      <c r="B67" s="115" t="s">
        <v>238</v>
      </c>
      <c r="C67" s="128">
        <v>2519</v>
      </c>
      <c r="D67" s="128">
        <v>2748</v>
      </c>
      <c r="E67" s="135">
        <v>3233</v>
      </c>
      <c r="F67" s="136">
        <v>736</v>
      </c>
      <c r="G67" s="169">
        <v>728</v>
      </c>
      <c r="L67" s="33" t="s">
        <v>91</v>
      </c>
      <c r="M67" s="33" t="s">
        <v>92</v>
      </c>
      <c r="N67" s="233">
        <f>C94/(N64+C94)</f>
        <v>0.99417638507430894</v>
      </c>
      <c r="O67" s="36">
        <f t="shared" ref="O67:R67" si="78">D94/(O64+D94)</f>
        <v>1</v>
      </c>
      <c r="P67" s="36">
        <f t="shared" si="78"/>
        <v>1</v>
      </c>
      <c r="Q67" s="36">
        <f t="shared" si="78"/>
        <v>0.99977250342824697</v>
      </c>
      <c r="R67" s="233">
        <f t="shared" si="78"/>
        <v>0.99573451007974934</v>
      </c>
      <c r="V67" s="124" t="s">
        <v>258</v>
      </c>
      <c r="W67" s="195">
        <f t="shared" si="65"/>
        <v>0</v>
      </c>
      <c r="X67" s="195">
        <f t="shared" si="66"/>
        <v>0</v>
      </c>
      <c r="Y67" s="195">
        <f t="shared" si="67"/>
        <v>0</v>
      </c>
      <c r="Z67" s="195">
        <f t="shared" si="68"/>
        <v>3.9674909892175805E-5</v>
      </c>
      <c r="AA67" s="196">
        <f t="shared" si="69"/>
        <v>1.5189949567362161E-3</v>
      </c>
    </row>
    <row r="68" spans="2:27" x14ac:dyDescent="0.3">
      <c r="B68" s="115" t="s">
        <v>239</v>
      </c>
      <c r="C68" s="128">
        <v>2891</v>
      </c>
      <c r="D68" s="128">
        <v>2895</v>
      </c>
      <c r="E68" s="135">
        <v>2920</v>
      </c>
      <c r="F68" s="136">
        <v>2871</v>
      </c>
      <c r="G68" s="169">
        <v>2417</v>
      </c>
      <c r="L68" s="33" t="s">
        <v>93</v>
      </c>
      <c r="M68" s="33" t="s">
        <v>94</v>
      </c>
      <c r="N68" s="36">
        <f>N13/N14</f>
        <v>933.14155251141551</v>
      </c>
      <c r="O68" s="36">
        <f t="shared" ref="O68:R68" si="79">O13/O14</f>
        <v>207.14431372549021</v>
      </c>
      <c r="P68" s="36">
        <f t="shared" si="79"/>
        <v>689.44444444444446</v>
      </c>
      <c r="Q68" s="36">
        <f t="shared" si="79"/>
        <v>462.81789638932497</v>
      </c>
      <c r="R68" s="36">
        <f t="shared" si="79"/>
        <v>627.97821782178221</v>
      </c>
      <c r="V68" s="124" t="s">
        <v>259</v>
      </c>
      <c r="W68" s="195">
        <f t="shared" si="65"/>
        <v>0</v>
      </c>
      <c r="X68" s="195">
        <f t="shared" si="66"/>
        <v>0</v>
      </c>
      <c r="Y68" s="195">
        <f t="shared" si="67"/>
        <v>0</v>
      </c>
      <c r="Z68" s="195">
        <f t="shared" si="68"/>
        <v>0</v>
      </c>
      <c r="AA68" s="196">
        <f t="shared" si="69"/>
        <v>0</v>
      </c>
    </row>
    <row r="69" spans="2:27" x14ac:dyDescent="0.3">
      <c r="B69" s="67" t="s">
        <v>240</v>
      </c>
      <c r="C69" s="128">
        <v>43006</v>
      </c>
      <c r="D69" s="128">
        <v>47201</v>
      </c>
      <c r="E69" s="135">
        <v>49870</v>
      </c>
      <c r="F69" s="136">
        <v>46346</v>
      </c>
      <c r="G69" s="169">
        <v>62094</v>
      </c>
      <c r="L69" s="33" t="s">
        <v>95</v>
      </c>
      <c r="M69" s="33" t="s">
        <v>96</v>
      </c>
      <c r="N69" s="36">
        <f>N13/(N14+N64)</f>
        <v>41.519301097114997</v>
      </c>
      <c r="O69" s="36">
        <f t="shared" ref="O69:R69" si="80">O13/(O14+O64)</f>
        <v>207.14431372549021</v>
      </c>
      <c r="P69" s="36">
        <f t="shared" si="80"/>
        <v>689.44444444444446</v>
      </c>
      <c r="Q69" s="36">
        <f t="shared" si="80"/>
        <v>331.62542182227224</v>
      </c>
      <c r="R69" s="36">
        <f t="shared" si="80"/>
        <v>54.914112554112556</v>
      </c>
      <c r="V69" s="125" t="s">
        <v>260</v>
      </c>
      <c r="W69" s="195">
        <f t="shared" si="65"/>
        <v>0</v>
      </c>
      <c r="X69" s="195">
        <f t="shared" si="66"/>
        <v>0</v>
      </c>
      <c r="Y69" s="195">
        <f t="shared" si="67"/>
        <v>0</v>
      </c>
      <c r="Z69" s="195">
        <f t="shared" si="68"/>
        <v>0</v>
      </c>
      <c r="AA69" s="196">
        <f t="shared" si="69"/>
        <v>0</v>
      </c>
    </row>
    <row r="70" spans="2:27" ht="31.2" x14ac:dyDescent="0.3">
      <c r="B70" s="67" t="s">
        <v>167</v>
      </c>
      <c r="C70" s="128">
        <v>18780</v>
      </c>
      <c r="D70" s="128">
        <v>4114</v>
      </c>
      <c r="E70" s="135">
        <v>5255</v>
      </c>
      <c r="F70" s="136">
        <v>3938</v>
      </c>
      <c r="G70" s="169">
        <v>2734</v>
      </c>
      <c r="L70" s="37" t="s">
        <v>97</v>
      </c>
      <c r="M70" s="38"/>
      <c r="N70" s="39"/>
      <c r="O70" s="39"/>
      <c r="P70" s="39"/>
      <c r="Q70" s="39"/>
      <c r="R70" s="39"/>
      <c r="V70" s="125" t="s">
        <v>261</v>
      </c>
      <c r="W70" s="195">
        <f t="shared" si="65"/>
        <v>2.6370598681153619E-6</v>
      </c>
      <c r="X70" s="195">
        <f t="shared" si="66"/>
        <v>1.2487644436418197E-5</v>
      </c>
      <c r="Y70" s="195">
        <f t="shared" si="67"/>
        <v>8.2141224586018489E-6</v>
      </c>
      <c r="Z70" s="195">
        <f t="shared" si="68"/>
        <v>9.8339520245563963E-6</v>
      </c>
      <c r="AA70" s="196">
        <f t="shared" si="69"/>
        <v>1.0026369351394167E-5</v>
      </c>
    </row>
    <row r="71" spans="2:27" x14ac:dyDescent="0.3">
      <c r="B71" s="67" t="s">
        <v>241</v>
      </c>
      <c r="C71" s="128">
        <v>26759</v>
      </c>
      <c r="D71" s="128">
        <v>26551</v>
      </c>
      <c r="E71" s="135">
        <v>34655</v>
      </c>
      <c r="F71" s="136">
        <v>39669</v>
      </c>
      <c r="G71" s="169">
        <v>68382</v>
      </c>
      <c r="L71" s="38" t="s">
        <v>98</v>
      </c>
      <c r="M71" s="38" t="s">
        <v>99</v>
      </c>
      <c r="N71" s="39"/>
      <c r="O71" s="39"/>
      <c r="P71" s="39"/>
      <c r="Q71" s="39"/>
      <c r="R71" s="39">
        <v>1.5</v>
      </c>
      <c r="S71" s="227" t="s">
        <v>317</v>
      </c>
      <c r="V71" s="125" t="s">
        <v>262</v>
      </c>
      <c r="W71" s="195">
        <f t="shared" si="65"/>
        <v>1.1392098630258364E-4</v>
      </c>
      <c r="X71" s="195">
        <f t="shared" si="66"/>
        <v>1.45481057684272E-3</v>
      </c>
      <c r="Y71" s="195">
        <f t="shared" si="67"/>
        <v>2.0264240105370762E-3</v>
      </c>
      <c r="Z71" s="195">
        <f t="shared" si="68"/>
        <v>2.2753730374059798E-4</v>
      </c>
      <c r="AA71" s="196">
        <f t="shared" si="69"/>
        <v>5.9627408319173545E-4</v>
      </c>
    </row>
    <row r="72" spans="2:27" ht="16.2" thickBot="1" x14ac:dyDescent="0.35">
      <c r="B72" s="69" t="s">
        <v>242</v>
      </c>
      <c r="C72" s="129">
        <f t="shared" ref="C72:F72" si="81">SUM(C58:C71)</f>
        <v>465599</v>
      </c>
      <c r="D72" s="129">
        <f t="shared" si="81"/>
        <v>494614</v>
      </c>
      <c r="E72" s="129">
        <f t="shared" si="81"/>
        <v>561022</v>
      </c>
      <c r="F72" s="129">
        <f t="shared" si="81"/>
        <v>577636</v>
      </c>
      <c r="G72" s="170">
        <f>SUM(G58:G71)</f>
        <v>661687</v>
      </c>
      <c r="L72" s="38" t="s">
        <v>100</v>
      </c>
      <c r="M72" s="38" t="s">
        <v>101</v>
      </c>
      <c r="N72" s="40"/>
      <c r="O72" s="40"/>
      <c r="P72" s="40"/>
      <c r="Q72" s="40"/>
      <c r="R72" s="40">
        <f>G49</f>
        <v>9.85</v>
      </c>
      <c r="V72" s="126" t="s">
        <v>263</v>
      </c>
      <c r="W72" s="195">
        <f t="shared" si="65"/>
        <v>4.3173944160784704E-2</v>
      </c>
      <c r="X72" s="195">
        <f t="shared" si="66"/>
        <v>4.4361876566358864E-2</v>
      </c>
      <c r="Y72" s="195">
        <f t="shared" si="67"/>
        <v>4.7817281774381874E-2</v>
      </c>
      <c r="Z72" s="195">
        <f t="shared" si="68"/>
        <v>4.7882190611152987E-2</v>
      </c>
      <c r="AA72" s="196">
        <f t="shared" si="69"/>
        <v>5.3237662110173285E-2</v>
      </c>
    </row>
    <row r="73" spans="2:27" x14ac:dyDescent="0.3">
      <c r="B73" s="63"/>
      <c r="C73" s="130"/>
      <c r="D73" s="130"/>
      <c r="E73" s="130"/>
      <c r="F73" s="130"/>
      <c r="G73" s="171"/>
      <c r="L73" s="38" t="s">
        <v>102</v>
      </c>
      <c r="M73" s="38" t="s">
        <v>318</v>
      </c>
      <c r="N73" s="40"/>
      <c r="O73" s="40"/>
      <c r="P73" s="40"/>
      <c r="Q73" s="40"/>
      <c r="R73" s="40">
        <v>107.85</v>
      </c>
      <c r="V73" s="126" t="s">
        <v>264</v>
      </c>
      <c r="W73" s="195">
        <f t="shared" si="65"/>
        <v>0</v>
      </c>
      <c r="X73" s="195">
        <f t="shared" si="66"/>
        <v>0</v>
      </c>
      <c r="Y73" s="195">
        <f t="shared" si="67"/>
        <v>0</v>
      </c>
      <c r="Z73" s="195">
        <f t="shared" si="68"/>
        <v>1.2207664582207939E-5</v>
      </c>
      <c r="AA73" s="196">
        <f t="shared" si="69"/>
        <v>4.2759516351533947E-5</v>
      </c>
    </row>
    <row r="74" spans="2:27" x14ac:dyDescent="0.3">
      <c r="B74" s="63" t="s">
        <v>243</v>
      </c>
      <c r="C74" s="128"/>
      <c r="D74" s="128"/>
      <c r="E74" s="128"/>
      <c r="F74" s="128"/>
      <c r="G74" s="169"/>
      <c r="L74" s="38" t="s">
        <v>103</v>
      </c>
      <c r="M74" s="38" t="s">
        <v>104</v>
      </c>
      <c r="N74" s="39"/>
      <c r="O74" s="39"/>
      <c r="P74" s="39"/>
      <c r="Q74" s="39"/>
      <c r="R74" s="41">
        <f>R71/R73</f>
        <v>1.3908205841446454E-2</v>
      </c>
      <c r="V74" s="126" t="s">
        <v>174</v>
      </c>
      <c r="W74" s="195">
        <f t="shared" si="65"/>
        <v>4.6254030086743448E-4</v>
      </c>
      <c r="X74" s="195">
        <f t="shared" si="66"/>
        <v>2.2813965797302476E-4</v>
      </c>
      <c r="Y74" s="195">
        <f t="shared" si="67"/>
        <v>4.5999085768170355E-5</v>
      </c>
      <c r="Z74" s="195">
        <f t="shared" si="68"/>
        <v>0</v>
      </c>
      <c r="AA74" s="196">
        <f t="shared" si="69"/>
        <v>0</v>
      </c>
    </row>
    <row r="75" spans="2:27" ht="16.2" thickBot="1" x14ac:dyDescent="0.35">
      <c r="B75" s="67" t="s">
        <v>167</v>
      </c>
      <c r="C75" s="128">
        <v>457936</v>
      </c>
      <c r="D75" s="128">
        <v>444335</v>
      </c>
      <c r="E75" s="135">
        <v>395830</v>
      </c>
      <c r="F75" s="136">
        <v>496798</v>
      </c>
      <c r="G75" s="169">
        <v>559190</v>
      </c>
      <c r="L75" s="38" t="s">
        <v>105</v>
      </c>
      <c r="M75" s="38" t="s">
        <v>106</v>
      </c>
      <c r="N75" s="42"/>
      <c r="O75" s="42"/>
      <c r="P75" s="42"/>
      <c r="Q75" s="42"/>
      <c r="R75" s="42">
        <f>1-R76</f>
        <v>0.84771573604060912</v>
      </c>
      <c r="V75" s="73" t="s">
        <v>265</v>
      </c>
      <c r="W75" s="204">
        <f t="shared" si="65"/>
        <v>5.461983881235262E-2</v>
      </c>
      <c r="X75" s="204">
        <f t="shared" si="66"/>
        <v>5.5091164607326021E-2</v>
      </c>
      <c r="Y75" s="204">
        <f t="shared" si="67"/>
        <v>5.7371127605981689E-2</v>
      </c>
      <c r="Z75" s="204">
        <f t="shared" si="68"/>
        <v>5.3766284939777219E-2</v>
      </c>
      <c r="AA75" s="207">
        <f t="shared" si="69"/>
        <v>5.9782817044120154E-2</v>
      </c>
    </row>
    <row r="76" spans="2:27" x14ac:dyDescent="0.3">
      <c r="B76" s="67" t="s">
        <v>235</v>
      </c>
      <c r="C76" s="128"/>
      <c r="D76" s="128"/>
      <c r="E76" s="135"/>
      <c r="F76" s="136"/>
      <c r="G76" s="169"/>
      <c r="L76" s="38" t="s">
        <v>107</v>
      </c>
      <c r="M76" s="38" t="s">
        <v>108</v>
      </c>
      <c r="N76" s="41"/>
      <c r="O76" s="41"/>
      <c r="P76" s="41"/>
      <c r="Q76" s="41"/>
      <c r="R76" s="41">
        <f>R71/R72</f>
        <v>0.15228426395939088</v>
      </c>
      <c r="V76" s="123" t="s">
        <v>266</v>
      </c>
      <c r="W76" s="197"/>
      <c r="X76" s="197"/>
      <c r="Y76" s="197"/>
      <c r="Z76" s="197"/>
      <c r="AA76" s="198"/>
    </row>
    <row r="77" spans="2:27" x14ac:dyDescent="0.3">
      <c r="B77" s="115" t="s">
        <v>237</v>
      </c>
      <c r="C77" s="128">
        <v>501430</v>
      </c>
      <c r="D77" s="128">
        <v>537367</v>
      </c>
      <c r="E77" s="135">
        <v>672402</v>
      </c>
      <c r="F77" s="136">
        <v>656199</v>
      </c>
      <c r="G77" s="169">
        <v>610809</v>
      </c>
      <c r="L77" s="43" t="s">
        <v>109</v>
      </c>
      <c r="M77" s="44"/>
      <c r="N77" s="45"/>
      <c r="O77" s="45"/>
      <c r="P77" s="45"/>
      <c r="Q77" s="45"/>
      <c r="R77" s="45"/>
      <c r="V77" s="122" t="s">
        <v>256</v>
      </c>
      <c r="W77" s="195">
        <f t="shared" si="65"/>
        <v>7.4576053070302432E-4</v>
      </c>
      <c r="X77" s="195">
        <f t="shared" si="66"/>
        <v>7.55502488403301E-4</v>
      </c>
      <c r="Y77" s="195">
        <f t="shared" si="67"/>
        <v>7.1873571512766181E-4</v>
      </c>
      <c r="Z77" s="195">
        <f t="shared" si="68"/>
        <v>5.8020316944882731E-4</v>
      </c>
      <c r="AA77" s="196">
        <f t="shared" si="69"/>
        <v>4.8775337962370444E-4</v>
      </c>
    </row>
    <row r="78" spans="2:27" x14ac:dyDescent="0.3">
      <c r="B78" s="115" t="s">
        <v>244</v>
      </c>
      <c r="C78" s="128">
        <v>80443</v>
      </c>
      <c r="D78" s="128">
        <v>75970</v>
      </c>
      <c r="E78" s="135">
        <v>162063</v>
      </c>
      <c r="F78" s="136">
        <v>304290</v>
      </c>
      <c r="G78" s="169">
        <v>130086</v>
      </c>
      <c r="L78" s="44" t="s">
        <v>110</v>
      </c>
      <c r="M78" s="44" t="s">
        <v>111</v>
      </c>
      <c r="N78" s="46">
        <f t="shared" ref="N78:Q78" si="82">C84/C121</f>
        <v>1.4454587527712714</v>
      </c>
      <c r="O78" s="46">
        <f t="shared" si="82"/>
        <v>1.5192668979543007</v>
      </c>
      <c r="P78" s="46">
        <f t="shared" si="82"/>
        <v>1.4564353957648697</v>
      </c>
      <c r="Q78" s="46">
        <f t="shared" si="82"/>
        <v>1.4090281677169028</v>
      </c>
      <c r="R78" s="46">
        <f>G84/G121</f>
        <v>1.3938845944852776</v>
      </c>
      <c r="V78" s="122" t="s">
        <v>267</v>
      </c>
      <c r="W78" s="195">
        <f t="shared" si="65"/>
        <v>0</v>
      </c>
      <c r="X78" s="195">
        <f t="shared" si="66"/>
        <v>0</v>
      </c>
      <c r="Y78" s="195">
        <f t="shared" si="67"/>
        <v>0</v>
      </c>
      <c r="Z78" s="195">
        <f t="shared" si="68"/>
        <v>0</v>
      </c>
      <c r="AA78" s="196">
        <f t="shared" si="69"/>
        <v>0</v>
      </c>
    </row>
    <row r="79" spans="2:27" x14ac:dyDescent="0.3">
      <c r="B79" s="115" t="s">
        <v>245</v>
      </c>
      <c r="C79" s="128">
        <v>3664</v>
      </c>
      <c r="D79" s="128">
        <v>21217</v>
      </c>
      <c r="E79" s="135">
        <v>3987</v>
      </c>
      <c r="F79" s="136">
        <v>203086</v>
      </c>
      <c r="G79" s="169">
        <v>626288</v>
      </c>
      <c r="L79" s="44" t="s">
        <v>112</v>
      </c>
      <c r="M79" s="44" t="s">
        <v>113</v>
      </c>
      <c r="N79" s="46">
        <f t="shared" ref="N79:Q79" si="83">(C84-C75)/C121</f>
        <v>0.98271858434264536</v>
      </c>
      <c r="O79" s="46">
        <f t="shared" si="83"/>
        <v>1.094015073573394</v>
      </c>
      <c r="P79" s="46">
        <f t="shared" si="83"/>
        <v>1.1487728630811178</v>
      </c>
      <c r="Q79" s="46">
        <f t="shared" si="83"/>
        <v>1.1138342974113984</v>
      </c>
      <c r="R79" s="46">
        <f>(G84-G75)/G121</f>
        <v>1.1083073217765758</v>
      </c>
      <c r="V79" s="124" t="s">
        <v>257</v>
      </c>
      <c r="W79" s="195">
        <f t="shared" si="65"/>
        <v>7.2255440386360915E-4</v>
      </c>
      <c r="X79" s="195">
        <f t="shared" si="66"/>
        <v>0</v>
      </c>
      <c r="Y79" s="195">
        <f t="shared" si="67"/>
        <v>0</v>
      </c>
      <c r="Z79" s="195">
        <f t="shared" si="68"/>
        <v>0</v>
      </c>
      <c r="AA79" s="196">
        <f t="shared" si="69"/>
        <v>0</v>
      </c>
    </row>
    <row r="80" spans="2:27" x14ac:dyDescent="0.3">
      <c r="B80" s="115" t="s">
        <v>238</v>
      </c>
      <c r="C80" s="128">
        <v>1458</v>
      </c>
      <c r="D80" s="128">
        <v>1622</v>
      </c>
      <c r="E80" s="135">
        <v>1734</v>
      </c>
      <c r="F80" s="136">
        <v>152</v>
      </c>
      <c r="G80" s="169">
        <v>148</v>
      </c>
      <c r="L80" s="47" t="s">
        <v>114</v>
      </c>
      <c r="M80" s="48"/>
      <c r="N80" s="49"/>
      <c r="O80" s="49"/>
      <c r="P80" s="49"/>
      <c r="Q80" s="49"/>
      <c r="R80" s="49"/>
      <c r="V80" s="124" t="s">
        <v>258</v>
      </c>
      <c r="W80" s="195">
        <f t="shared" si="65"/>
        <v>0</v>
      </c>
      <c r="X80" s="195">
        <f t="shared" si="66"/>
        <v>0</v>
      </c>
      <c r="Y80" s="195">
        <f t="shared" si="67"/>
        <v>0</v>
      </c>
      <c r="Z80" s="195">
        <f t="shared" si="68"/>
        <v>4.5778742183279774E-5</v>
      </c>
      <c r="AA80" s="196">
        <f t="shared" si="69"/>
        <v>3.5092292729879584E-5</v>
      </c>
    </row>
    <row r="81" spans="2:27" x14ac:dyDescent="0.3">
      <c r="B81" s="115" t="s">
        <v>239</v>
      </c>
      <c r="C81" s="128">
        <v>5854</v>
      </c>
      <c r="D81" s="128">
        <v>3626</v>
      </c>
      <c r="E81" s="135">
        <v>3180</v>
      </c>
      <c r="F81" s="136">
        <v>6066</v>
      </c>
      <c r="G81" s="169">
        <v>10254</v>
      </c>
      <c r="L81" s="48" t="s">
        <v>115</v>
      </c>
      <c r="M81" s="48" t="s">
        <v>116</v>
      </c>
      <c r="N81" s="50">
        <f t="shared" ref="N81:Q81" si="84">(C90+C91)/N86</f>
        <v>32.896987605680046</v>
      </c>
      <c r="O81" s="50">
        <f t="shared" si="84"/>
        <v>37.804727899532132</v>
      </c>
      <c r="P81" s="50">
        <f t="shared" si="84"/>
        <v>41.33435935319708</v>
      </c>
      <c r="Q81" s="50">
        <f t="shared" si="84"/>
        <v>45.389395058688336</v>
      </c>
      <c r="R81" s="50">
        <f>(G90+G91)/R86</f>
        <v>50.422432898300912</v>
      </c>
      <c r="V81" s="124" t="s">
        <v>259</v>
      </c>
      <c r="W81" s="195">
        <f t="shared" si="65"/>
        <v>0</v>
      </c>
      <c r="X81" s="195">
        <f t="shared" si="66"/>
        <v>0</v>
      </c>
      <c r="Y81" s="195">
        <f t="shared" si="67"/>
        <v>0</v>
      </c>
      <c r="Z81" s="195">
        <f t="shared" si="68"/>
        <v>0</v>
      </c>
      <c r="AA81" s="196">
        <f t="shared" si="69"/>
        <v>0</v>
      </c>
    </row>
    <row r="82" spans="2:27" x14ac:dyDescent="0.3">
      <c r="B82" s="67" t="s">
        <v>246</v>
      </c>
      <c r="C82" s="128">
        <v>24884</v>
      </c>
      <c r="D82" s="128">
        <v>24366</v>
      </c>
      <c r="E82" s="135">
        <v>28495</v>
      </c>
      <c r="F82" s="136">
        <v>13364</v>
      </c>
      <c r="G82" s="169">
        <v>14474</v>
      </c>
      <c r="L82" s="48" t="s">
        <v>319</v>
      </c>
      <c r="M82" s="48" t="s">
        <v>117</v>
      </c>
      <c r="N82" s="50"/>
      <c r="O82" s="50"/>
      <c r="P82" s="50"/>
      <c r="Q82" s="50"/>
      <c r="R82" s="50">
        <f>R73</f>
        <v>107.85</v>
      </c>
      <c r="V82" s="125" t="s">
        <v>260</v>
      </c>
      <c r="W82" s="195">
        <f t="shared" si="65"/>
        <v>1.1328809193423594E-3</v>
      </c>
      <c r="X82" s="195">
        <f t="shared" si="66"/>
        <v>2.2203992395985125E-3</v>
      </c>
      <c r="Y82" s="195">
        <f t="shared" si="67"/>
        <v>2.6708219174143913E-3</v>
      </c>
      <c r="Z82" s="195">
        <f t="shared" si="68"/>
        <v>5.2028388245782334E-3</v>
      </c>
      <c r="AA82" s="196">
        <f t="shared" si="69"/>
        <v>7.3263270637069612E-3</v>
      </c>
    </row>
    <row r="83" spans="2:27" ht="31.2" x14ac:dyDescent="0.3">
      <c r="B83" s="67" t="s">
        <v>171</v>
      </c>
      <c r="C83" s="128">
        <v>354783</v>
      </c>
      <c r="D83" s="128">
        <v>478941</v>
      </c>
      <c r="E83" s="135">
        <v>606118</v>
      </c>
      <c r="F83" s="136">
        <v>691376</v>
      </c>
      <c r="G83" s="169">
        <v>778122</v>
      </c>
      <c r="L83" s="48" t="s">
        <v>118</v>
      </c>
      <c r="M83" s="48" t="s">
        <v>101</v>
      </c>
      <c r="N83" s="50"/>
      <c r="O83" s="50"/>
      <c r="P83" s="50"/>
      <c r="Q83" s="50"/>
      <c r="R83" s="50">
        <f>R72</f>
        <v>9.85</v>
      </c>
      <c r="V83" s="125" t="s">
        <v>261</v>
      </c>
      <c r="W83" s="195">
        <f t="shared" si="65"/>
        <v>7.1069290857682627E-2</v>
      </c>
      <c r="X83" s="195">
        <f t="shared" si="66"/>
        <v>6.6656164237499621E-2</v>
      </c>
      <c r="Y83" s="195">
        <f t="shared" si="67"/>
        <v>9.7957517380056355E-2</v>
      </c>
      <c r="Z83" s="195">
        <f t="shared" si="68"/>
        <v>0.10666345198166002</v>
      </c>
      <c r="AA83" s="196">
        <f t="shared" si="69"/>
        <v>9.2032044276447053E-2</v>
      </c>
    </row>
    <row r="84" spans="2:27" ht="16.2" thickBot="1" x14ac:dyDescent="0.35">
      <c r="B84" s="69" t="s">
        <v>247</v>
      </c>
      <c r="C84" s="129">
        <f t="shared" ref="C84:F84" si="85">SUM(C75:C83)</f>
        <v>1430452</v>
      </c>
      <c r="D84" s="129">
        <f t="shared" si="85"/>
        <v>1587444</v>
      </c>
      <c r="E84" s="129">
        <f t="shared" si="85"/>
        <v>1873809</v>
      </c>
      <c r="F84" s="129">
        <f t="shared" si="85"/>
        <v>2371331</v>
      </c>
      <c r="G84" s="170">
        <f>SUM(G75:G83)</f>
        <v>2729371</v>
      </c>
      <c r="L84" s="48" t="s">
        <v>119</v>
      </c>
      <c r="M84" s="48" t="s">
        <v>120</v>
      </c>
      <c r="N84" s="50"/>
      <c r="O84" s="50"/>
      <c r="P84" s="50"/>
      <c r="Q84" s="50"/>
      <c r="R84" s="50">
        <f>R82/R83</f>
        <v>10.949238578680204</v>
      </c>
      <c r="V84" s="125" t="s">
        <v>262</v>
      </c>
      <c r="W84" s="195">
        <f t="shared" si="65"/>
        <v>4.6562566091312943E-2</v>
      </c>
      <c r="X84" s="195">
        <f t="shared" si="66"/>
        <v>5.0709442292193589E-2</v>
      </c>
      <c r="Y84" s="195">
        <f t="shared" si="67"/>
        <v>3.4450029591376156E-2</v>
      </c>
      <c r="Z84" s="195">
        <f t="shared" si="68"/>
        <v>3.2518166530856402E-2</v>
      </c>
      <c r="AA84" s="196">
        <f t="shared" si="69"/>
        <v>2.8322429165174998E-2</v>
      </c>
    </row>
    <row r="85" spans="2:27" ht="16.2" thickBot="1" x14ac:dyDescent="0.35">
      <c r="B85" s="69" t="s">
        <v>248</v>
      </c>
      <c r="C85" s="137">
        <f t="shared" ref="C85:F85" si="86">SUM(C72+C84)</f>
        <v>1896051</v>
      </c>
      <c r="D85" s="137">
        <f t="shared" si="86"/>
        <v>2082058</v>
      </c>
      <c r="E85" s="137">
        <f t="shared" si="86"/>
        <v>2434831</v>
      </c>
      <c r="F85" s="137">
        <f t="shared" si="86"/>
        <v>2948967</v>
      </c>
      <c r="G85" s="173">
        <f>SUM(G72+G84)</f>
        <v>3391058</v>
      </c>
      <c r="L85" s="48" t="s">
        <v>121</v>
      </c>
      <c r="M85" s="48" t="s">
        <v>122</v>
      </c>
      <c r="N85" s="50"/>
      <c r="O85" s="50"/>
      <c r="P85" s="50"/>
      <c r="Q85" s="50"/>
      <c r="R85" s="50">
        <f>R82/R81</f>
        <v>2.1389289211317335</v>
      </c>
      <c r="V85" s="126" t="s">
        <v>173</v>
      </c>
      <c r="W85" s="195">
        <f t="shared" si="65"/>
        <v>0.3777567164596311</v>
      </c>
      <c r="X85" s="195">
        <f t="shared" si="66"/>
        <v>0.35841220561578974</v>
      </c>
      <c r="Y85" s="195">
        <f t="shared" si="67"/>
        <v>0.37886736286830586</v>
      </c>
      <c r="Z85" s="195">
        <f t="shared" si="68"/>
        <v>0.41380456275027833</v>
      </c>
      <c r="AA85" s="196">
        <f t="shared" si="69"/>
        <v>0.43670942814897296</v>
      </c>
    </row>
    <row r="86" spans="2:27" x14ac:dyDescent="0.3">
      <c r="B86" s="63"/>
      <c r="C86" s="130"/>
      <c r="D86" s="130"/>
      <c r="E86" s="130"/>
      <c r="F86" s="130"/>
      <c r="G86" s="171"/>
      <c r="L86" s="48" t="s">
        <v>123</v>
      </c>
      <c r="M86" s="48" t="s">
        <v>124</v>
      </c>
      <c r="N86" s="213">
        <f t="shared" ref="N86:Q86" si="87">C90/$R$87</f>
        <v>24366</v>
      </c>
      <c r="O86" s="213">
        <f t="shared" si="87"/>
        <v>24366</v>
      </c>
      <c r="P86" s="213">
        <f t="shared" si="87"/>
        <v>24366</v>
      </c>
      <c r="Q86" s="213">
        <f t="shared" si="87"/>
        <v>24366</v>
      </c>
      <c r="R86" s="213">
        <f>G90/$R$87</f>
        <v>24366</v>
      </c>
      <c r="V86" s="126" t="s">
        <v>263</v>
      </c>
      <c r="W86" s="195">
        <f t="shared" si="65"/>
        <v>2.3946613250381978E-2</v>
      </c>
      <c r="X86" s="195">
        <f t="shared" si="66"/>
        <v>2.3093496915071531E-2</v>
      </c>
      <c r="Y86" s="195">
        <f t="shared" si="67"/>
        <v>1.3738530518134524E-2</v>
      </c>
      <c r="Z86" s="195">
        <f t="shared" si="68"/>
        <v>1.1878057638488326E-2</v>
      </c>
      <c r="AA86" s="196">
        <f t="shared" si="69"/>
        <v>1.2498164289729045E-2</v>
      </c>
    </row>
    <row r="87" spans="2:27" x14ac:dyDescent="0.3">
      <c r="B87" s="296" t="s">
        <v>249</v>
      </c>
      <c r="C87" s="297"/>
      <c r="D87" s="297"/>
      <c r="E87" s="297"/>
      <c r="F87" s="297"/>
      <c r="G87" s="298"/>
      <c r="L87" s="48" t="s">
        <v>125</v>
      </c>
      <c r="M87" s="48"/>
      <c r="N87" s="50"/>
      <c r="O87" s="50"/>
      <c r="P87" s="50"/>
      <c r="Q87" s="50"/>
      <c r="R87" s="50">
        <v>1</v>
      </c>
      <c r="V87" s="126" t="s">
        <v>268</v>
      </c>
      <c r="W87" s="195">
        <f t="shared" si="65"/>
        <v>0</v>
      </c>
      <c r="X87" s="195">
        <f t="shared" si="66"/>
        <v>0</v>
      </c>
      <c r="Y87" s="195">
        <f t="shared" si="67"/>
        <v>0</v>
      </c>
      <c r="Z87" s="195">
        <f t="shared" si="68"/>
        <v>0</v>
      </c>
      <c r="AA87" s="196">
        <f t="shared" si="69"/>
        <v>2.0347631919005807E-5</v>
      </c>
    </row>
    <row r="88" spans="2:27" ht="16.2" thickBot="1" x14ac:dyDescent="0.35">
      <c r="B88" s="226" t="s">
        <v>250</v>
      </c>
      <c r="C88" s="138"/>
      <c r="D88" s="139"/>
      <c r="E88" s="140"/>
      <c r="F88" s="141"/>
      <c r="G88" s="177"/>
      <c r="L88" s="53" t="s">
        <v>126</v>
      </c>
      <c r="M88" s="53" t="s">
        <v>127</v>
      </c>
      <c r="N88" s="54"/>
      <c r="O88" s="55">
        <f>O4/N4-1</f>
        <v>0.16013203422742239</v>
      </c>
      <c r="P88" s="55">
        <f t="shared" ref="P88:R88" si="88">P4/O4-1</f>
        <v>6.6054650666671044E-2</v>
      </c>
      <c r="Q88" s="55">
        <f t="shared" si="88"/>
        <v>8.7989592579083231E-2</v>
      </c>
      <c r="R88" s="55">
        <f t="shared" si="88"/>
        <v>8.9270513421161102E-2</v>
      </c>
      <c r="V88" s="73" t="s">
        <v>269</v>
      </c>
      <c r="W88" s="204">
        <f t="shared" si="65"/>
        <v>0.52193638251291763</v>
      </c>
      <c r="X88" s="204">
        <f t="shared" si="66"/>
        <v>0.50184721078855632</v>
      </c>
      <c r="Y88" s="204">
        <f t="shared" si="67"/>
        <v>0.5284029979904149</v>
      </c>
      <c r="Z88" s="204">
        <f t="shared" si="68"/>
        <v>0.57069305963749339</v>
      </c>
      <c r="AA88" s="207">
        <f t="shared" si="69"/>
        <v>0.5774315862483036</v>
      </c>
    </row>
    <row r="89" spans="2:27" ht="16.2" thickBot="1" x14ac:dyDescent="0.35">
      <c r="B89" s="71" t="s">
        <v>177</v>
      </c>
      <c r="C89" s="138"/>
      <c r="D89" s="139"/>
      <c r="E89" s="140"/>
      <c r="F89" s="141"/>
      <c r="G89" s="177"/>
      <c r="L89" s="53" t="s">
        <v>128</v>
      </c>
      <c r="M89" s="53"/>
      <c r="N89" s="54"/>
      <c r="O89" s="55">
        <f>O17/N17-1</f>
        <v>0.16336510601229359</v>
      </c>
      <c r="P89" s="55">
        <f t="shared" ref="P89:Q89" si="89">P17/O17-1</f>
        <v>-5.6363825808468326E-2</v>
      </c>
      <c r="Q89" s="55">
        <f t="shared" si="89"/>
        <v>0.22926897305213489</v>
      </c>
      <c r="R89" s="55">
        <f>R17/Q17-1</f>
        <v>6.4621508670410943E-2</v>
      </c>
      <c r="V89" s="73" t="s">
        <v>270</v>
      </c>
      <c r="W89" s="205">
        <f t="shared" si="65"/>
        <v>1</v>
      </c>
      <c r="X89" s="205">
        <f t="shared" si="66"/>
        <v>1</v>
      </c>
      <c r="Y89" s="205">
        <f t="shared" si="67"/>
        <v>1</v>
      </c>
      <c r="Z89" s="205">
        <f t="shared" si="68"/>
        <v>1</v>
      </c>
      <c r="AA89" s="209">
        <f t="shared" si="69"/>
        <v>1</v>
      </c>
    </row>
    <row r="90" spans="2:27" x14ac:dyDescent="0.3">
      <c r="B90" s="72" t="s">
        <v>176</v>
      </c>
      <c r="C90" s="138">
        <v>24366</v>
      </c>
      <c r="D90" s="142">
        <v>24366</v>
      </c>
      <c r="E90" s="140">
        <v>24366</v>
      </c>
      <c r="F90" s="141">
        <v>24366</v>
      </c>
      <c r="G90" s="177">
        <v>24366</v>
      </c>
      <c r="L90" s="53" t="s">
        <v>129</v>
      </c>
      <c r="M90" s="53" t="s">
        <v>130</v>
      </c>
      <c r="N90" s="54"/>
      <c r="O90" s="55"/>
      <c r="P90" s="56"/>
      <c r="Q90" s="56"/>
      <c r="R90" s="55">
        <f>((R4/N4)^(1/4))-1</f>
        <v>0.10030185245009759</v>
      </c>
    </row>
    <row r="91" spans="2:27" x14ac:dyDescent="0.3">
      <c r="B91" s="72" t="s">
        <v>251</v>
      </c>
      <c r="C91" s="138">
        <v>777202</v>
      </c>
      <c r="D91" s="142">
        <v>896784</v>
      </c>
      <c r="E91" s="140">
        <v>982787</v>
      </c>
      <c r="F91" s="141">
        <v>1081592</v>
      </c>
      <c r="G91" s="177">
        <v>1204227</v>
      </c>
      <c r="L91" s="37" t="s">
        <v>327</v>
      </c>
      <c r="M91" s="38"/>
      <c r="N91" s="228"/>
      <c r="O91" s="228"/>
      <c r="P91" s="228"/>
      <c r="Q91" s="228"/>
      <c r="R91" s="228"/>
    </row>
    <row r="92" spans="2:27" ht="16.2" thickBot="1" x14ac:dyDescent="0.35">
      <c r="B92" s="73" t="s">
        <v>252</v>
      </c>
      <c r="C92" s="143">
        <f t="shared" ref="C92:F92" si="90">SUM(C90:C91)</f>
        <v>801568</v>
      </c>
      <c r="D92" s="143">
        <f t="shared" si="90"/>
        <v>921150</v>
      </c>
      <c r="E92" s="143">
        <f t="shared" si="90"/>
        <v>1007153</v>
      </c>
      <c r="F92" s="143">
        <f t="shared" si="90"/>
        <v>1105958</v>
      </c>
      <c r="G92" s="178">
        <f>SUM(G90:G91)</f>
        <v>1228593</v>
      </c>
      <c r="L92" s="38" t="s">
        <v>328</v>
      </c>
      <c r="M92" s="38"/>
      <c r="N92" s="228">
        <f>C161</f>
        <v>-68659</v>
      </c>
      <c r="O92" s="228">
        <f t="shared" ref="O92:R92" si="91">D161</f>
        <v>151388</v>
      </c>
      <c r="P92" s="228">
        <f t="shared" si="91"/>
        <v>257041</v>
      </c>
      <c r="Q92" s="228">
        <f t="shared" si="91"/>
        <v>509322</v>
      </c>
      <c r="R92" s="228">
        <f t="shared" si="91"/>
        <v>420722</v>
      </c>
    </row>
    <row r="93" spans="2:27" x14ac:dyDescent="0.3">
      <c r="B93" s="71" t="s">
        <v>222</v>
      </c>
      <c r="C93" s="144">
        <v>1303</v>
      </c>
      <c r="D93" s="145">
        <v>1330</v>
      </c>
      <c r="E93" s="146">
        <v>1417</v>
      </c>
      <c r="F93" s="147">
        <v>1499</v>
      </c>
      <c r="G93" s="179">
        <v>1634</v>
      </c>
      <c r="L93" s="38" t="s">
        <v>329</v>
      </c>
      <c r="M93" s="38"/>
      <c r="N93" s="228">
        <f>C171</f>
        <v>-641</v>
      </c>
      <c r="O93" s="228">
        <f t="shared" ref="O93:R93" si="92">D171</f>
        <v>-89594</v>
      </c>
      <c r="P93" s="228">
        <f t="shared" si="92"/>
        <v>-64896</v>
      </c>
      <c r="Q93" s="228">
        <f t="shared" si="92"/>
        <v>-259522</v>
      </c>
      <c r="R93" s="228">
        <f t="shared" si="92"/>
        <v>-487166</v>
      </c>
      <c r="V93" s="214" t="s">
        <v>131</v>
      </c>
      <c r="W93" s="215"/>
      <c r="X93" s="216"/>
      <c r="Y93" s="217" t="s">
        <v>132</v>
      </c>
    </row>
    <row r="94" spans="2:27" ht="16.2" thickBot="1" x14ac:dyDescent="0.35">
      <c r="B94" s="73" t="s">
        <v>253</v>
      </c>
      <c r="C94" s="143">
        <f t="shared" ref="C94:F94" si="93">SUM(C92:C93)</f>
        <v>802871</v>
      </c>
      <c r="D94" s="143">
        <f t="shared" si="93"/>
        <v>922480</v>
      </c>
      <c r="E94" s="143">
        <f t="shared" si="93"/>
        <v>1008570</v>
      </c>
      <c r="F94" s="143">
        <f t="shared" si="93"/>
        <v>1107457</v>
      </c>
      <c r="G94" s="178">
        <f>SUM(G92:G93)</f>
        <v>1230227</v>
      </c>
      <c r="L94" s="38" t="s">
        <v>330</v>
      </c>
      <c r="M94" s="38"/>
      <c r="N94" s="228">
        <f>C181</f>
        <v>-120238</v>
      </c>
      <c r="O94" s="228">
        <f t="shared" ref="O94:R94" si="94">D181</f>
        <v>-66267</v>
      </c>
      <c r="P94" s="228">
        <f t="shared" si="94"/>
        <v>-106052</v>
      </c>
      <c r="Q94" s="228">
        <f t="shared" si="94"/>
        <v>-107573</v>
      </c>
      <c r="R94" s="228">
        <f t="shared" si="94"/>
        <v>-107760</v>
      </c>
      <c r="V94" s="218" t="s">
        <v>133</v>
      </c>
      <c r="W94" s="219"/>
      <c r="X94" s="220"/>
      <c r="Y94" s="221" t="s">
        <v>134</v>
      </c>
    </row>
    <row r="95" spans="2:27" x14ac:dyDescent="0.3">
      <c r="B95" s="59" t="s">
        <v>254</v>
      </c>
      <c r="C95" s="148"/>
      <c r="D95" s="148"/>
      <c r="E95" s="148"/>
      <c r="F95" s="148"/>
      <c r="G95" s="180"/>
      <c r="L95" s="38" t="s">
        <v>331</v>
      </c>
      <c r="M95" s="38"/>
      <c r="N95" s="42">
        <f>N93/N92</f>
        <v>9.3359938245532268E-3</v>
      </c>
      <c r="O95" s="42">
        <f t="shared" ref="O95:R95" si="95">O93/O92</f>
        <v>-0.59181705287076913</v>
      </c>
      <c r="P95" s="42">
        <f t="shared" si="95"/>
        <v>-0.252473340828895</v>
      </c>
      <c r="Q95" s="42">
        <f t="shared" si="95"/>
        <v>-0.50954406053537837</v>
      </c>
      <c r="R95" s="42">
        <f t="shared" si="95"/>
        <v>-1.15792851336512</v>
      </c>
      <c r="V95" s="218" t="s">
        <v>135</v>
      </c>
      <c r="W95" s="219"/>
      <c r="X95" s="220"/>
      <c r="Y95" s="221" t="s">
        <v>136</v>
      </c>
    </row>
    <row r="96" spans="2:27" ht="16.2" thickBot="1" x14ac:dyDescent="0.35">
      <c r="B96" s="123" t="s">
        <v>255</v>
      </c>
      <c r="C96" s="149"/>
      <c r="D96" s="139"/>
      <c r="E96" s="140"/>
      <c r="F96" s="141"/>
      <c r="G96" s="177"/>
      <c r="L96" s="38" t="s">
        <v>332</v>
      </c>
      <c r="M96" s="38"/>
      <c r="N96" s="41">
        <f>N94/N92</f>
        <v>1.7512343611179888</v>
      </c>
      <c r="O96" s="41">
        <f t="shared" ref="O96:R96" si="96">O94/O92</f>
        <v>-0.43772954263217695</v>
      </c>
      <c r="P96" s="41">
        <f t="shared" si="96"/>
        <v>-0.41258787508607575</v>
      </c>
      <c r="Q96" s="41">
        <f t="shared" si="96"/>
        <v>-0.21120823369106381</v>
      </c>
      <c r="R96" s="41">
        <f t="shared" si="96"/>
        <v>-0.25613112696745122</v>
      </c>
      <c r="V96" s="222" t="s">
        <v>137</v>
      </c>
      <c r="W96" s="223"/>
      <c r="X96" s="224"/>
      <c r="Y96" s="225" t="s">
        <v>138</v>
      </c>
    </row>
    <row r="97" spans="2:7" x14ac:dyDescent="0.3">
      <c r="B97" s="122" t="s">
        <v>256</v>
      </c>
      <c r="C97" s="149">
        <v>17271</v>
      </c>
      <c r="D97" s="139">
        <v>18809</v>
      </c>
      <c r="E97" s="140">
        <v>18196</v>
      </c>
      <c r="F97" s="141">
        <v>16499</v>
      </c>
      <c r="G97" s="177">
        <v>14843</v>
      </c>
    </row>
    <row r="98" spans="2:7" x14ac:dyDescent="0.3">
      <c r="B98" s="122" t="s">
        <v>175</v>
      </c>
      <c r="C98" s="138"/>
      <c r="D98" s="139"/>
      <c r="E98" s="140"/>
      <c r="F98" s="141"/>
      <c r="G98" s="177"/>
    </row>
    <row r="99" spans="2:7" x14ac:dyDescent="0.3">
      <c r="B99" s="124" t="s">
        <v>257</v>
      </c>
      <c r="C99" s="138">
        <v>3333</v>
      </c>
      <c r="D99" s="142">
        <v>0</v>
      </c>
      <c r="E99" s="140">
        <v>0</v>
      </c>
      <c r="F99" s="141">
        <v>0</v>
      </c>
      <c r="G99" s="177">
        <v>0</v>
      </c>
    </row>
    <row r="100" spans="2:7" x14ac:dyDescent="0.3">
      <c r="B100" s="124" t="s">
        <v>258</v>
      </c>
      <c r="C100" s="138">
        <v>0</v>
      </c>
      <c r="D100" s="142">
        <v>0</v>
      </c>
      <c r="E100" s="140">
        <v>0</v>
      </c>
      <c r="F100" s="141">
        <v>117</v>
      </c>
      <c r="G100" s="177">
        <v>5151</v>
      </c>
    </row>
    <row r="101" spans="2:7" x14ac:dyDescent="0.3">
      <c r="B101" s="124" t="s">
        <v>259</v>
      </c>
      <c r="C101" s="138"/>
      <c r="D101" s="142"/>
      <c r="E101" s="140"/>
      <c r="F101" s="141"/>
      <c r="G101" s="177"/>
    </row>
    <row r="102" spans="2:7" x14ac:dyDescent="0.3">
      <c r="B102" s="125" t="s">
        <v>260</v>
      </c>
      <c r="C102" s="138">
        <v>0</v>
      </c>
      <c r="D102" s="142">
        <v>0</v>
      </c>
      <c r="E102" s="140">
        <v>0</v>
      </c>
      <c r="F102" s="141">
        <v>0</v>
      </c>
      <c r="G102" s="177">
        <v>0</v>
      </c>
    </row>
    <row r="103" spans="2:7" ht="36" customHeight="1" x14ac:dyDescent="0.3">
      <c r="B103" s="125" t="s">
        <v>261</v>
      </c>
      <c r="C103" s="138">
        <v>5</v>
      </c>
      <c r="D103" s="142">
        <v>26</v>
      </c>
      <c r="E103" s="140">
        <v>20</v>
      </c>
      <c r="F103" s="141">
        <v>29</v>
      </c>
      <c r="G103" s="177">
        <v>34</v>
      </c>
    </row>
    <row r="104" spans="2:7" x14ac:dyDescent="0.3">
      <c r="B104" s="125" t="s">
        <v>262</v>
      </c>
      <c r="C104" s="150">
        <v>216</v>
      </c>
      <c r="D104" s="151">
        <v>3029</v>
      </c>
      <c r="E104" s="152">
        <v>4934</v>
      </c>
      <c r="F104" s="153">
        <v>671</v>
      </c>
      <c r="G104" s="181">
        <v>2022</v>
      </c>
    </row>
    <row r="105" spans="2:7" x14ac:dyDescent="0.3">
      <c r="B105" s="126" t="s">
        <v>263</v>
      </c>
      <c r="C105" s="150">
        <v>81860</v>
      </c>
      <c r="D105" s="151">
        <v>92364</v>
      </c>
      <c r="E105" s="152">
        <v>116427</v>
      </c>
      <c r="F105" s="153">
        <v>141203</v>
      </c>
      <c r="G105" s="181">
        <v>180532</v>
      </c>
    </row>
    <row r="106" spans="2:7" x14ac:dyDescent="0.3">
      <c r="B106" s="126" t="s">
        <v>264</v>
      </c>
      <c r="C106" s="150">
        <v>0</v>
      </c>
      <c r="D106" s="151">
        <v>0</v>
      </c>
      <c r="E106" s="152">
        <v>0</v>
      </c>
      <c r="F106" s="153">
        <v>36</v>
      </c>
      <c r="G106" s="181">
        <v>145</v>
      </c>
    </row>
    <row r="107" spans="2:7" x14ac:dyDescent="0.3">
      <c r="B107" s="126" t="s">
        <v>174</v>
      </c>
      <c r="C107" s="150">
        <v>877</v>
      </c>
      <c r="D107" s="151">
        <v>475</v>
      </c>
      <c r="E107" s="152">
        <v>112</v>
      </c>
      <c r="F107" s="153">
        <v>0</v>
      </c>
      <c r="G107" s="181">
        <v>0</v>
      </c>
    </row>
    <row r="108" spans="2:7" ht="16.2" thickBot="1" x14ac:dyDescent="0.35">
      <c r="B108" s="73" t="s">
        <v>265</v>
      </c>
      <c r="C108" s="143">
        <f t="shared" ref="C108:F108" si="97">SUM(C97:C107)</f>
        <v>103562</v>
      </c>
      <c r="D108" s="143">
        <f t="shared" si="97"/>
        <v>114703</v>
      </c>
      <c r="E108" s="143">
        <f t="shared" si="97"/>
        <v>139689</v>
      </c>
      <c r="F108" s="143">
        <f t="shared" si="97"/>
        <v>158555</v>
      </c>
      <c r="G108" s="178">
        <f>SUM(G97:G107)</f>
        <v>202727</v>
      </c>
    </row>
    <row r="109" spans="2:7" x14ac:dyDescent="0.3">
      <c r="B109" s="123" t="s">
        <v>266</v>
      </c>
      <c r="C109" s="138"/>
      <c r="D109" s="139"/>
      <c r="E109" s="140"/>
      <c r="F109" s="141"/>
      <c r="G109" s="177"/>
    </row>
    <row r="110" spans="2:7" x14ac:dyDescent="0.3">
      <c r="B110" s="122" t="s">
        <v>256</v>
      </c>
      <c r="C110" s="138">
        <v>1414</v>
      </c>
      <c r="D110" s="139">
        <v>1573</v>
      </c>
      <c r="E110" s="140">
        <v>1750</v>
      </c>
      <c r="F110" s="141">
        <v>1711</v>
      </c>
      <c r="G110" s="177">
        <v>1654</v>
      </c>
    </row>
    <row r="111" spans="2:7" x14ac:dyDescent="0.3">
      <c r="B111" s="122" t="s">
        <v>267</v>
      </c>
      <c r="C111" s="138"/>
      <c r="D111" s="139"/>
      <c r="E111" s="140"/>
      <c r="F111" s="141"/>
      <c r="G111" s="177"/>
    </row>
    <row r="112" spans="2:7" x14ac:dyDescent="0.3">
      <c r="B112" s="124" t="s">
        <v>257</v>
      </c>
      <c r="C112" s="138">
        <v>1370</v>
      </c>
      <c r="D112" s="142">
        <v>0</v>
      </c>
      <c r="E112" s="140">
        <v>0</v>
      </c>
      <c r="F112" s="141">
        <v>0</v>
      </c>
      <c r="G112" s="177">
        <v>0</v>
      </c>
    </row>
    <row r="113" spans="2:7" x14ac:dyDescent="0.3">
      <c r="B113" s="124" t="s">
        <v>258</v>
      </c>
      <c r="C113" s="138">
        <v>0</v>
      </c>
      <c r="D113" s="142">
        <v>0</v>
      </c>
      <c r="E113" s="140">
        <v>0</v>
      </c>
      <c r="F113" s="141">
        <v>135</v>
      </c>
      <c r="G113" s="177">
        <v>119</v>
      </c>
    </row>
    <row r="114" spans="2:7" x14ac:dyDescent="0.3">
      <c r="B114" s="124" t="s">
        <v>259</v>
      </c>
      <c r="C114" s="138"/>
      <c r="D114" s="142"/>
      <c r="E114" s="140"/>
      <c r="F114" s="141"/>
      <c r="G114" s="177"/>
    </row>
    <row r="115" spans="2:7" x14ac:dyDescent="0.3">
      <c r="B115" s="125" t="s">
        <v>260</v>
      </c>
      <c r="C115" s="138">
        <v>2148</v>
      </c>
      <c r="D115" s="142">
        <v>4623</v>
      </c>
      <c r="E115" s="140">
        <v>6503</v>
      </c>
      <c r="F115" s="141">
        <v>15343</v>
      </c>
      <c r="G115" s="177">
        <v>24844</v>
      </c>
    </row>
    <row r="116" spans="2:7" ht="32.4" customHeight="1" x14ac:dyDescent="0.3">
      <c r="B116" s="125" t="s">
        <v>261</v>
      </c>
      <c r="C116" s="138">
        <v>134751</v>
      </c>
      <c r="D116" s="142">
        <v>138782</v>
      </c>
      <c r="E116" s="140">
        <v>238510</v>
      </c>
      <c r="F116" s="141">
        <v>314547</v>
      </c>
      <c r="G116" s="177">
        <v>312086</v>
      </c>
    </row>
    <row r="117" spans="2:7" x14ac:dyDescent="0.3">
      <c r="B117" s="125" t="s">
        <v>262</v>
      </c>
      <c r="C117" s="150">
        <v>88285</v>
      </c>
      <c r="D117" s="151">
        <v>105580</v>
      </c>
      <c r="E117" s="152">
        <v>83880</v>
      </c>
      <c r="F117" s="153">
        <v>95895</v>
      </c>
      <c r="G117" s="181">
        <v>96043</v>
      </c>
    </row>
    <row r="118" spans="2:7" x14ac:dyDescent="0.3">
      <c r="B118" s="126" t="s">
        <v>173</v>
      </c>
      <c r="C118" s="150">
        <v>716246</v>
      </c>
      <c r="D118" s="151">
        <v>746235</v>
      </c>
      <c r="E118" s="152">
        <v>922478</v>
      </c>
      <c r="F118" s="153">
        <v>1220296</v>
      </c>
      <c r="G118" s="181">
        <v>1480907</v>
      </c>
    </row>
    <row r="119" spans="2:7" x14ac:dyDescent="0.3">
      <c r="B119" s="126" t="s">
        <v>263</v>
      </c>
      <c r="C119" s="150">
        <v>45404</v>
      </c>
      <c r="D119" s="151">
        <v>48082</v>
      </c>
      <c r="E119" s="152">
        <v>33451</v>
      </c>
      <c r="F119" s="153">
        <v>35028</v>
      </c>
      <c r="G119" s="181">
        <v>42382</v>
      </c>
    </row>
    <row r="120" spans="2:7" x14ac:dyDescent="0.3">
      <c r="B120" s="126" t="s">
        <v>268</v>
      </c>
      <c r="C120" s="150">
        <v>0</v>
      </c>
      <c r="D120" s="151">
        <v>0</v>
      </c>
      <c r="E120" s="152">
        <v>0</v>
      </c>
      <c r="F120" s="153">
        <v>0</v>
      </c>
      <c r="G120" s="181">
        <v>69</v>
      </c>
    </row>
    <row r="121" spans="2:7" ht="16.2" thickBot="1" x14ac:dyDescent="0.35">
      <c r="B121" s="73" t="s">
        <v>269</v>
      </c>
      <c r="C121" s="143">
        <f t="shared" ref="C121:F121" si="98">SUM(C110:C120)</f>
        <v>989618</v>
      </c>
      <c r="D121" s="143">
        <f t="shared" si="98"/>
        <v>1044875</v>
      </c>
      <c r="E121" s="143">
        <f t="shared" si="98"/>
        <v>1286572</v>
      </c>
      <c r="F121" s="143">
        <f t="shared" si="98"/>
        <v>1682955</v>
      </c>
      <c r="G121" s="178">
        <f>SUM(G110:G120)</f>
        <v>1958104</v>
      </c>
    </row>
    <row r="122" spans="2:7" ht="16.2" thickBot="1" x14ac:dyDescent="0.35">
      <c r="B122" s="73" t="s">
        <v>270</v>
      </c>
      <c r="C122" s="154">
        <f t="shared" ref="C122:F122" si="99">C94+C108+C121</f>
        <v>1896051</v>
      </c>
      <c r="D122" s="154">
        <f t="shared" si="99"/>
        <v>2082058</v>
      </c>
      <c r="E122" s="154">
        <f t="shared" si="99"/>
        <v>2434831</v>
      </c>
      <c r="F122" s="154">
        <f t="shared" si="99"/>
        <v>2948967</v>
      </c>
      <c r="G122" s="182">
        <f>G94+G108+G121</f>
        <v>3391058</v>
      </c>
    </row>
    <row r="123" spans="2:7" x14ac:dyDescent="0.3">
      <c r="B123" s="305"/>
      <c r="C123" s="306"/>
      <c r="D123" s="306"/>
      <c r="E123" s="306"/>
      <c r="F123" s="306"/>
      <c r="G123" s="307"/>
    </row>
    <row r="124" spans="2:7" x14ac:dyDescent="0.3">
      <c r="B124" s="66"/>
      <c r="C124" s="155"/>
      <c r="D124" s="155"/>
      <c r="E124" s="155"/>
      <c r="F124" s="155"/>
      <c r="G124" s="155"/>
    </row>
    <row r="126" spans="2:7" ht="17.399999999999999" x14ac:dyDescent="0.3">
      <c r="B126" s="301" t="s">
        <v>139</v>
      </c>
      <c r="C126" s="302"/>
      <c r="D126" s="302"/>
      <c r="E126" s="302"/>
      <c r="F126" s="302"/>
      <c r="G126" s="303"/>
    </row>
    <row r="127" spans="2:7" x14ac:dyDescent="0.3">
      <c r="B127" s="300" t="s">
        <v>184</v>
      </c>
      <c r="C127" s="300"/>
      <c r="D127" s="300"/>
      <c r="E127" s="300"/>
      <c r="F127" s="300"/>
      <c r="G127" s="300"/>
    </row>
    <row r="128" spans="2:7" ht="46.8" x14ac:dyDescent="0.3">
      <c r="B128" s="58" t="s">
        <v>169</v>
      </c>
      <c r="C128" s="127" t="s">
        <v>188</v>
      </c>
      <c r="D128" s="127" t="s">
        <v>189</v>
      </c>
      <c r="E128" s="127" t="s">
        <v>190</v>
      </c>
      <c r="F128" s="127" t="s">
        <v>191</v>
      </c>
      <c r="G128" s="168" t="s">
        <v>187</v>
      </c>
    </row>
    <row r="129" spans="2:7" x14ac:dyDescent="0.3">
      <c r="B129" s="60" t="s">
        <v>140</v>
      </c>
      <c r="C129" s="156"/>
      <c r="D129" s="156"/>
      <c r="E129" s="156"/>
      <c r="F129" s="156"/>
      <c r="G129" s="183"/>
    </row>
    <row r="130" spans="2:7" x14ac:dyDescent="0.3">
      <c r="B130" s="74" t="s">
        <v>271</v>
      </c>
      <c r="C130" s="157">
        <v>198081</v>
      </c>
      <c r="D130" s="157">
        <v>266698</v>
      </c>
      <c r="E130" s="157">
        <v>251049</v>
      </c>
      <c r="F130" s="157">
        <v>297220</v>
      </c>
      <c r="G130" s="184">
        <v>321200</v>
      </c>
    </row>
    <row r="131" spans="2:7" x14ac:dyDescent="0.3">
      <c r="B131" s="75" t="s">
        <v>272</v>
      </c>
      <c r="C131" s="157"/>
      <c r="D131" s="157"/>
      <c r="E131" s="157"/>
      <c r="F131" s="157"/>
      <c r="G131" s="184"/>
    </row>
    <row r="132" spans="2:7" x14ac:dyDescent="0.3">
      <c r="B132" s="76" t="s">
        <v>198</v>
      </c>
      <c r="C132" s="157">
        <v>27172</v>
      </c>
      <c r="D132" s="157">
        <v>33813</v>
      </c>
      <c r="E132" s="157">
        <v>37186</v>
      </c>
      <c r="F132" s="157">
        <v>38732</v>
      </c>
      <c r="G132" s="184">
        <v>40113</v>
      </c>
    </row>
    <row r="133" spans="2:7" x14ac:dyDescent="0.3">
      <c r="B133" s="76" t="s">
        <v>273</v>
      </c>
      <c r="C133" s="157">
        <v>0</v>
      </c>
      <c r="D133" s="157">
        <v>3707</v>
      </c>
      <c r="E133" s="157">
        <v>0</v>
      </c>
      <c r="F133" s="157">
        <v>7213</v>
      </c>
      <c r="G133" s="184">
        <v>0</v>
      </c>
    </row>
    <row r="134" spans="2:7" x14ac:dyDescent="0.3">
      <c r="B134" s="76" t="s">
        <v>274</v>
      </c>
      <c r="C134" s="157">
        <v>0</v>
      </c>
      <c r="D134" s="157">
        <v>1745</v>
      </c>
      <c r="E134" s="157">
        <v>0</v>
      </c>
      <c r="F134" s="157">
        <v>75</v>
      </c>
      <c r="G134" s="184">
        <v>0</v>
      </c>
    </row>
    <row r="135" spans="2:7" x14ac:dyDescent="0.3">
      <c r="B135" s="76" t="s">
        <v>307</v>
      </c>
      <c r="C135" s="157">
        <v>0</v>
      </c>
      <c r="D135" s="157">
        <v>124</v>
      </c>
      <c r="E135" s="157">
        <v>0</v>
      </c>
      <c r="F135" s="157">
        <v>0</v>
      </c>
      <c r="G135" s="184">
        <v>0</v>
      </c>
    </row>
    <row r="136" spans="2:7" x14ac:dyDescent="0.3">
      <c r="B136" s="76" t="s">
        <v>306</v>
      </c>
      <c r="C136" s="157">
        <v>0</v>
      </c>
      <c r="D136" s="157">
        <v>3348</v>
      </c>
      <c r="E136" s="157">
        <v>1247</v>
      </c>
      <c r="F136" s="157">
        <v>0</v>
      </c>
      <c r="G136" s="184">
        <v>0</v>
      </c>
    </row>
    <row r="137" spans="2:7" x14ac:dyDescent="0.3">
      <c r="B137" s="76" t="s">
        <v>275</v>
      </c>
      <c r="C137" s="157">
        <v>0</v>
      </c>
      <c r="D137" s="157">
        <v>0</v>
      </c>
      <c r="E137" s="157">
        <v>0</v>
      </c>
      <c r="F137" s="157">
        <v>1468</v>
      </c>
      <c r="G137" s="184">
        <v>0</v>
      </c>
    </row>
    <row r="138" spans="2:7" x14ac:dyDescent="0.3">
      <c r="B138" s="76" t="s">
        <v>276</v>
      </c>
      <c r="C138" s="157">
        <v>1638</v>
      </c>
      <c r="D138" s="157">
        <v>2311</v>
      </c>
      <c r="E138" s="157">
        <v>3117</v>
      </c>
      <c r="F138" s="157">
        <v>4711</v>
      </c>
      <c r="G138" s="184">
        <v>5348</v>
      </c>
    </row>
    <row r="139" spans="2:7" x14ac:dyDescent="0.3">
      <c r="B139" s="76" t="s">
        <v>277</v>
      </c>
      <c r="C139" s="157">
        <v>-1515</v>
      </c>
      <c r="D139" s="157">
        <v>-1524</v>
      </c>
      <c r="E139" s="157">
        <v>-1998</v>
      </c>
      <c r="F139" s="157">
        <v>-1736</v>
      </c>
      <c r="G139" s="184">
        <v>-1713</v>
      </c>
    </row>
    <row r="140" spans="2:7" x14ac:dyDescent="0.3">
      <c r="B140" s="76" t="s">
        <v>278</v>
      </c>
      <c r="C140" s="157">
        <v>-15906</v>
      </c>
      <c r="D140" s="157">
        <v>-3560</v>
      </c>
      <c r="E140" s="157">
        <v>-7058</v>
      </c>
      <c r="F140" s="157">
        <v>-6050</v>
      </c>
      <c r="G140" s="184">
        <v>-17645</v>
      </c>
    </row>
    <row r="141" spans="2:7" x14ac:dyDescent="0.3">
      <c r="B141" s="76" t="s">
        <v>279</v>
      </c>
      <c r="C141" s="157">
        <v>0</v>
      </c>
      <c r="D141" s="157">
        <v>0</v>
      </c>
      <c r="E141" s="157">
        <v>28</v>
      </c>
      <c r="F141" s="157">
        <v>24</v>
      </c>
      <c r="G141" s="184">
        <v>306</v>
      </c>
    </row>
    <row r="142" spans="2:7" x14ac:dyDescent="0.3">
      <c r="B142" s="76" t="s">
        <v>197</v>
      </c>
      <c r="C142" s="157">
        <v>219</v>
      </c>
      <c r="D142" s="157">
        <v>1275</v>
      </c>
      <c r="E142" s="157">
        <v>332</v>
      </c>
      <c r="F142" s="157">
        <v>613</v>
      </c>
      <c r="G142" s="184">
        <v>199</v>
      </c>
    </row>
    <row r="143" spans="2:7" x14ac:dyDescent="0.3">
      <c r="B143" s="76" t="s">
        <v>280</v>
      </c>
      <c r="C143" s="157">
        <v>-135</v>
      </c>
      <c r="D143" s="157">
        <v>-27</v>
      </c>
      <c r="E143" s="157">
        <v>-21</v>
      </c>
      <c r="F143" s="157">
        <v>-121</v>
      </c>
      <c r="G143" s="184">
        <v>-45</v>
      </c>
    </row>
    <row r="144" spans="2:7" ht="16.2" thickBot="1" x14ac:dyDescent="0.35">
      <c r="B144" s="161" t="s">
        <v>281</v>
      </c>
      <c r="C144" s="158">
        <f>SUM(C130:C143)</f>
        <v>209554</v>
      </c>
      <c r="D144" s="158">
        <f t="shared" ref="D144:F144" si="100">SUM(D130:D143)</f>
        <v>307910</v>
      </c>
      <c r="E144" s="158">
        <f t="shared" si="100"/>
        <v>283882</v>
      </c>
      <c r="F144" s="158">
        <f t="shared" si="100"/>
        <v>342149</v>
      </c>
      <c r="G144" s="185">
        <f>SUM(G130:G143)</f>
        <v>347763</v>
      </c>
    </row>
    <row r="145" spans="2:7" x14ac:dyDescent="0.3">
      <c r="B145" s="74" t="s">
        <v>282</v>
      </c>
      <c r="C145" s="159"/>
      <c r="D145" s="159"/>
      <c r="E145" s="159"/>
      <c r="F145" s="159"/>
      <c r="G145" s="186"/>
    </row>
    <row r="146" spans="2:7" x14ac:dyDescent="0.3">
      <c r="B146" s="76" t="s">
        <v>237</v>
      </c>
      <c r="C146" s="157">
        <v>-64604</v>
      </c>
      <c r="D146" s="157">
        <v>-35937</v>
      </c>
      <c r="E146" s="157">
        <v>-135035</v>
      </c>
      <c r="F146" s="157">
        <v>16203</v>
      </c>
      <c r="G146" s="184">
        <v>45390</v>
      </c>
    </row>
    <row r="147" spans="2:7" x14ac:dyDescent="0.3">
      <c r="B147" s="76" t="s">
        <v>238</v>
      </c>
      <c r="C147" s="157">
        <v>-273</v>
      </c>
      <c r="D147" s="157">
        <v>-393</v>
      </c>
      <c r="E147" s="157">
        <v>-597</v>
      </c>
      <c r="F147" s="157">
        <v>4079</v>
      </c>
      <c r="G147" s="184">
        <v>12</v>
      </c>
    </row>
    <row r="148" spans="2:7" x14ac:dyDescent="0.3">
      <c r="B148" s="76" t="s">
        <v>239</v>
      </c>
      <c r="C148" s="157">
        <v>24326</v>
      </c>
      <c r="D148" s="157">
        <v>2224</v>
      </c>
      <c r="E148" s="157">
        <v>421</v>
      </c>
      <c r="F148" s="157">
        <v>-2713</v>
      </c>
      <c r="G148" s="184">
        <v>-3456</v>
      </c>
    </row>
    <row r="149" spans="2:7" x14ac:dyDescent="0.3">
      <c r="B149" s="76" t="s">
        <v>283</v>
      </c>
      <c r="C149" s="157">
        <v>-307509</v>
      </c>
      <c r="D149" s="157">
        <v>-127298</v>
      </c>
      <c r="E149" s="157">
        <v>-136528</v>
      </c>
      <c r="F149" s="157">
        <v>-90272</v>
      </c>
      <c r="G149" s="184">
        <v>-115459</v>
      </c>
    </row>
    <row r="150" spans="2:7" x14ac:dyDescent="0.3">
      <c r="B150" s="76" t="s">
        <v>167</v>
      </c>
      <c r="C150" s="157">
        <v>16376</v>
      </c>
      <c r="D150" s="157">
        <v>28267</v>
      </c>
      <c r="E150" s="157">
        <v>47364</v>
      </c>
      <c r="F150" s="157">
        <v>-99651</v>
      </c>
      <c r="G150" s="184">
        <v>-61188</v>
      </c>
    </row>
    <row r="151" spans="2:7" x14ac:dyDescent="0.3">
      <c r="B151" s="76" t="s">
        <v>259</v>
      </c>
      <c r="C151" s="157">
        <v>7165</v>
      </c>
      <c r="D151" s="157">
        <v>6527</v>
      </c>
      <c r="E151" s="157">
        <v>101602</v>
      </c>
      <c r="F151" s="157">
        <v>84886</v>
      </c>
      <c r="G151" s="184">
        <v>7045</v>
      </c>
    </row>
    <row r="152" spans="2:7" x14ac:dyDescent="0.3">
      <c r="B152" s="76" t="s">
        <v>262</v>
      </c>
      <c r="C152" s="157">
        <v>27539</v>
      </c>
      <c r="D152" s="157">
        <v>13726</v>
      </c>
      <c r="E152" s="157">
        <v>-9925</v>
      </c>
      <c r="F152" s="157">
        <v>7891</v>
      </c>
      <c r="G152" s="184">
        <v>6093</v>
      </c>
    </row>
    <row r="153" spans="2:7" x14ac:dyDescent="0.3">
      <c r="B153" s="76" t="s">
        <v>263</v>
      </c>
      <c r="C153" s="157">
        <v>-3357</v>
      </c>
      <c r="D153" s="157">
        <v>6871</v>
      </c>
      <c r="E153" s="157">
        <v>3304</v>
      </c>
      <c r="F153" s="157">
        <v>14650</v>
      </c>
      <c r="G153" s="184">
        <v>26755</v>
      </c>
    </row>
    <row r="154" spans="2:7" x14ac:dyDescent="0.3">
      <c r="B154" s="76" t="s">
        <v>284</v>
      </c>
      <c r="C154" s="157">
        <v>79423</v>
      </c>
      <c r="D154" s="157">
        <v>29587</v>
      </c>
      <c r="E154" s="157">
        <v>175880</v>
      </c>
      <c r="F154" s="157">
        <v>297706</v>
      </c>
      <c r="G154" s="184">
        <v>260611</v>
      </c>
    </row>
    <row r="155" spans="2:7" x14ac:dyDescent="0.3">
      <c r="B155" s="76" t="s">
        <v>285</v>
      </c>
      <c r="C155" s="157">
        <v>7896</v>
      </c>
      <c r="D155" s="157">
        <v>-2917</v>
      </c>
      <c r="E155" s="157">
        <v>-15903</v>
      </c>
      <c r="F155" s="157">
        <v>-12299</v>
      </c>
      <c r="G155" s="184">
        <v>-12415</v>
      </c>
    </row>
    <row r="156" spans="2:7" ht="16.2" thickBot="1" x14ac:dyDescent="0.35">
      <c r="B156" s="161" t="s">
        <v>286</v>
      </c>
      <c r="C156" s="158">
        <f t="shared" ref="C156:F156" si="101">SUM(C144:C155)</f>
        <v>-3464</v>
      </c>
      <c r="D156" s="158">
        <f t="shared" si="101"/>
        <v>228567</v>
      </c>
      <c r="E156" s="158">
        <f t="shared" si="101"/>
        <v>314465</v>
      </c>
      <c r="F156" s="158">
        <f t="shared" si="101"/>
        <v>562629</v>
      </c>
      <c r="G156" s="185">
        <f>SUM(G144:G155)</f>
        <v>501151</v>
      </c>
    </row>
    <row r="157" spans="2:7" x14ac:dyDescent="0.3">
      <c r="B157" s="74" t="s">
        <v>309</v>
      </c>
      <c r="C157" s="159">
        <v>2947</v>
      </c>
      <c r="D157" s="159">
        <v>0</v>
      </c>
      <c r="E157" s="159">
        <v>0</v>
      </c>
      <c r="F157" s="159">
        <v>0</v>
      </c>
      <c r="G157" s="186">
        <v>0</v>
      </c>
    </row>
    <row r="158" spans="2:7" x14ac:dyDescent="0.3">
      <c r="B158" s="74" t="s">
        <v>287</v>
      </c>
      <c r="C158" s="159">
        <v>-68142</v>
      </c>
      <c r="D158" s="159">
        <v>-77179</v>
      </c>
      <c r="E158" s="159">
        <v>-57424</v>
      </c>
      <c r="F158" s="159">
        <v>-53307</v>
      </c>
      <c r="G158" s="186">
        <v>-80429</v>
      </c>
    </row>
    <row r="159" spans="2:7" ht="16.2" thickBot="1" x14ac:dyDescent="0.35">
      <c r="B159" s="161" t="s">
        <v>288</v>
      </c>
      <c r="C159" s="158">
        <f>C156+C158+C157</f>
        <v>-68659</v>
      </c>
      <c r="D159" s="158">
        <f t="shared" ref="D159:G159" si="102">D156+D158+D157</f>
        <v>151388</v>
      </c>
      <c r="E159" s="158">
        <f t="shared" si="102"/>
        <v>257041</v>
      </c>
      <c r="F159" s="158">
        <f t="shared" si="102"/>
        <v>509322</v>
      </c>
      <c r="G159" s="185">
        <f t="shared" si="102"/>
        <v>420722</v>
      </c>
    </row>
    <row r="160" spans="2:7" x14ac:dyDescent="0.3">
      <c r="B160" s="74" t="s">
        <v>202</v>
      </c>
      <c r="C160" s="159">
        <v>0</v>
      </c>
      <c r="D160" s="159">
        <v>0</v>
      </c>
      <c r="E160" s="159">
        <v>0</v>
      </c>
      <c r="F160" s="159">
        <v>0</v>
      </c>
      <c r="G160" s="186">
        <v>0</v>
      </c>
    </row>
    <row r="161" spans="2:7" ht="16.2" thickBot="1" x14ac:dyDescent="0.35">
      <c r="B161" s="162" t="s">
        <v>289</v>
      </c>
      <c r="C161" s="158">
        <f t="shared" ref="C161:F161" si="103">C159-C160</f>
        <v>-68659</v>
      </c>
      <c r="D161" s="158">
        <f t="shared" si="103"/>
        <v>151388</v>
      </c>
      <c r="E161" s="158">
        <f t="shared" si="103"/>
        <v>257041</v>
      </c>
      <c r="F161" s="158">
        <f t="shared" si="103"/>
        <v>509322</v>
      </c>
      <c r="G161" s="185">
        <f>G159-G160</f>
        <v>420722</v>
      </c>
    </row>
    <row r="162" spans="2:7" x14ac:dyDescent="0.3">
      <c r="B162" s="61"/>
      <c r="C162" s="159"/>
      <c r="D162" s="159"/>
      <c r="E162" s="159"/>
      <c r="F162" s="159"/>
      <c r="G162" s="186"/>
    </row>
    <row r="163" spans="2:7" x14ac:dyDescent="0.3">
      <c r="B163" s="60" t="s">
        <v>141</v>
      </c>
      <c r="C163" s="156"/>
      <c r="D163" s="157"/>
      <c r="E163" s="157"/>
      <c r="F163" s="157"/>
      <c r="G163" s="184"/>
    </row>
    <row r="164" spans="2:7" x14ac:dyDescent="0.3">
      <c r="B164" s="74" t="s">
        <v>290</v>
      </c>
      <c r="C164" s="157">
        <v>-80711</v>
      </c>
      <c r="D164" s="157">
        <v>-76142</v>
      </c>
      <c r="E164" s="157">
        <v>-76220</v>
      </c>
      <c r="F164" s="157">
        <v>-46925</v>
      </c>
      <c r="G164" s="184">
        <v>-55456</v>
      </c>
    </row>
    <row r="165" spans="2:7" ht="16.2" thickBot="1" x14ac:dyDescent="0.35">
      <c r="B165" s="74" t="s">
        <v>291</v>
      </c>
      <c r="C165" s="163">
        <v>0</v>
      </c>
      <c r="D165" s="163">
        <v>3220</v>
      </c>
      <c r="E165" s="163">
        <v>1562</v>
      </c>
      <c r="F165" s="163">
        <v>0</v>
      </c>
      <c r="G165" s="187">
        <v>0</v>
      </c>
    </row>
    <row r="166" spans="2:7" x14ac:dyDescent="0.3">
      <c r="B166" s="74" t="s">
        <v>292</v>
      </c>
      <c r="C166" s="159">
        <f t="shared" ref="C166:F166" si="104">C164+C165</f>
        <v>-80711</v>
      </c>
      <c r="D166" s="159">
        <f t="shared" si="104"/>
        <v>-72922</v>
      </c>
      <c r="E166" s="159">
        <f t="shared" si="104"/>
        <v>-74658</v>
      </c>
      <c r="F166" s="159">
        <f t="shared" si="104"/>
        <v>-46925</v>
      </c>
      <c r="G166" s="186">
        <f>G164+G165</f>
        <v>-55456</v>
      </c>
    </row>
    <row r="167" spans="2:7" x14ac:dyDescent="0.3">
      <c r="B167" s="74" t="s">
        <v>293</v>
      </c>
      <c r="C167" s="157">
        <v>153</v>
      </c>
      <c r="D167" s="157">
        <v>27</v>
      </c>
      <c r="E167" s="157">
        <v>86</v>
      </c>
      <c r="F167" s="157">
        <v>133</v>
      </c>
      <c r="G167" s="184">
        <v>740</v>
      </c>
    </row>
    <row r="168" spans="2:7" x14ac:dyDescent="0.3">
      <c r="B168" s="74" t="s">
        <v>294</v>
      </c>
      <c r="C168" s="157">
        <v>109075</v>
      </c>
      <c r="D168" s="157">
        <v>-17553</v>
      </c>
      <c r="E168" s="157">
        <v>17230</v>
      </c>
      <c r="F168" s="157">
        <v>-199223</v>
      </c>
      <c r="G168" s="184">
        <v>-423480</v>
      </c>
    </row>
    <row r="169" spans="2:7" x14ac:dyDescent="0.3">
      <c r="B169" s="74" t="s">
        <v>295</v>
      </c>
      <c r="C169" s="157">
        <v>-45064</v>
      </c>
      <c r="D169" s="157">
        <v>-2706</v>
      </c>
      <c r="E169" s="157">
        <v>-14612</v>
      </c>
      <c r="F169" s="157">
        <v>-19557</v>
      </c>
      <c r="G169" s="184">
        <v>-26615</v>
      </c>
    </row>
    <row r="170" spans="2:7" x14ac:dyDescent="0.3">
      <c r="B170" s="74" t="s">
        <v>296</v>
      </c>
      <c r="C170" s="157">
        <v>15906</v>
      </c>
      <c r="D170" s="157">
        <v>3560</v>
      </c>
      <c r="E170" s="157">
        <v>7058</v>
      </c>
      <c r="F170" s="157">
        <v>6050</v>
      </c>
      <c r="G170" s="184">
        <v>17645</v>
      </c>
    </row>
    <row r="171" spans="2:7" ht="16.2" thickBot="1" x14ac:dyDescent="0.35">
      <c r="B171" s="77" t="s">
        <v>297</v>
      </c>
      <c r="C171" s="158">
        <f t="shared" ref="C171:F171" si="105">SUM(C166:C170)</f>
        <v>-641</v>
      </c>
      <c r="D171" s="158">
        <f t="shared" si="105"/>
        <v>-89594</v>
      </c>
      <c r="E171" s="158">
        <f t="shared" si="105"/>
        <v>-64896</v>
      </c>
      <c r="F171" s="158">
        <f t="shared" si="105"/>
        <v>-259522</v>
      </c>
      <c r="G171" s="185">
        <f>SUM(G166:G170)</f>
        <v>-487166</v>
      </c>
    </row>
    <row r="172" spans="2:7" x14ac:dyDescent="0.3">
      <c r="B172" s="61"/>
      <c r="C172" s="159"/>
      <c r="D172" s="159"/>
      <c r="E172" s="159"/>
      <c r="F172" s="159"/>
      <c r="G172" s="186"/>
    </row>
    <row r="173" spans="2:7" x14ac:dyDescent="0.3">
      <c r="B173" s="60" t="s">
        <v>142</v>
      </c>
      <c r="C173" s="156"/>
      <c r="D173" s="157"/>
      <c r="E173" s="157"/>
      <c r="F173" s="157"/>
      <c r="G173" s="184"/>
    </row>
    <row r="174" spans="2:7" x14ac:dyDescent="0.3">
      <c r="B174" s="74" t="s">
        <v>298</v>
      </c>
      <c r="C174" s="157">
        <v>1678</v>
      </c>
      <c r="D174" s="157">
        <v>-4702</v>
      </c>
      <c r="E174" s="157">
        <v>-2501</v>
      </c>
      <c r="F174" s="157">
        <v>-833</v>
      </c>
      <c r="G174" s="184">
        <v>0</v>
      </c>
    </row>
    <row r="175" spans="2:7" x14ac:dyDescent="0.3">
      <c r="B175" s="74" t="s">
        <v>299</v>
      </c>
      <c r="C175" s="157">
        <v>-2473</v>
      </c>
      <c r="D175" s="157">
        <v>-3666</v>
      </c>
      <c r="E175" s="157">
        <v>-5042</v>
      </c>
      <c r="F175" s="157">
        <v>-3670</v>
      </c>
      <c r="G175" s="184">
        <v>-4757</v>
      </c>
    </row>
    <row r="176" spans="2:7" x14ac:dyDescent="0.3">
      <c r="B176" s="74" t="s">
        <v>300</v>
      </c>
      <c r="C176" s="157">
        <v>-81998</v>
      </c>
      <c r="D176" s="157">
        <v>-56624</v>
      </c>
      <c r="E176" s="157">
        <v>-98017</v>
      </c>
      <c r="F176" s="157">
        <v>-102274</v>
      </c>
      <c r="G176" s="184">
        <v>-102331</v>
      </c>
    </row>
    <row r="177" spans="2:7" x14ac:dyDescent="0.3">
      <c r="B177" s="74" t="s">
        <v>301</v>
      </c>
      <c r="C177" s="157">
        <v>0</v>
      </c>
      <c r="D177" s="157">
        <v>0</v>
      </c>
      <c r="E177" s="157">
        <v>-132</v>
      </c>
      <c r="F177" s="157">
        <v>-159</v>
      </c>
      <c r="G177" s="184">
        <v>-167</v>
      </c>
    </row>
    <row r="178" spans="2:7" x14ac:dyDescent="0.3">
      <c r="B178" s="78" t="s">
        <v>279</v>
      </c>
      <c r="C178" s="141">
        <v>0</v>
      </c>
      <c r="D178" s="157">
        <v>0</v>
      </c>
      <c r="E178" s="157">
        <v>-28</v>
      </c>
      <c r="F178" s="157">
        <v>-24</v>
      </c>
      <c r="G178" s="184">
        <v>-306</v>
      </c>
    </row>
    <row r="179" spans="2:7" x14ac:dyDescent="0.3">
      <c r="B179" s="78" t="s">
        <v>310</v>
      </c>
      <c r="C179" s="141">
        <v>-37226</v>
      </c>
      <c r="D179" s="157">
        <v>0</v>
      </c>
      <c r="E179" s="157">
        <v>0</v>
      </c>
      <c r="F179" s="157">
        <v>0</v>
      </c>
      <c r="G179" s="184">
        <v>0</v>
      </c>
    </row>
    <row r="180" spans="2:7" x14ac:dyDescent="0.3">
      <c r="B180" s="78" t="s">
        <v>197</v>
      </c>
      <c r="C180" s="141">
        <v>-219</v>
      </c>
      <c r="D180" s="157">
        <v>-1275</v>
      </c>
      <c r="E180" s="157">
        <v>-332</v>
      </c>
      <c r="F180" s="157">
        <v>-613</v>
      </c>
      <c r="G180" s="184">
        <v>-199</v>
      </c>
    </row>
    <row r="181" spans="2:7" ht="16.2" thickBot="1" x14ac:dyDescent="0.35">
      <c r="B181" s="77" t="s">
        <v>302</v>
      </c>
      <c r="C181" s="158">
        <f t="shared" ref="C181:F181" si="106">SUM(C174:C180)</f>
        <v>-120238</v>
      </c>
      <c r="D181" s="158">
        <f t="shared" si="106"/>
        <v>-66267</v>
      </c>
      <c r="E181" s="158">
        <f t="shared" si="106"/>
        <v>-106052</v>
      </c>
      <c r="F181" s="158">
        <f t="shared" si="106"/>
        <v>-107573</v>
      </c>
      <c r="G181" s="185">
        <f>SUM(G174:G180)</f>
        <v>-107760</v>
      </c>
    </row>
    <row r="182" spans="2:7" x14ac:dyDescent="0.3">
      <c r="B182" s="60" t="s">
        <v>303</v>
      </c>
      <c r="C182" s="165">
        <f t="shared" ref="C182:F182" si="107">C161+C171+C181</f>
        <v>-189538</v>
      </c>
      <c r="D182" s="165">
        <f t="shared" si="107"/>
        <v>-4473</v>
      </c>
      <c r="E182" s="165">
        <f t="shared" si="107"/>
        <v>86093</v>
      </c>
      <c r="F182" s="165">
        <f t="shared" si="107"/>
        <v>142227</v>
      </c>
      <c r="G182" s="188">
        <f>G161+G171+G181</f>
        <v>-174204</v>
      </c>
    </row>
    <row r="183" spans="2:7" x14ac:dyDescent="0.3">
      <c r="B183" s="60" t="s">
        <v>304</v>
      </c>
      <c r="C183" s="166">
        <v>269981</v>
      </c>
      <c r="D183" s="156">
        <f t="shared" ref="D183:F183" si="108">C184</f>
        <v>80443</v>
      </c>
      <c r="E183" s="156">
        <f t="shared" si="108"/>
        <v>75970</v>
      </c>
      <c r="F183" s="156">
        <f t="shared" si="108"/>
        <v>162063</v>
      </c>
      <c r="G183" s="183">
        <f>F184</f>
        <v>304290</v>
      </c>
    </row>
    <row r="184" spans="2:7" ht="16.2" thickBot="1" x14ac:dyDescent="0.35">
      <c r="B184" s="77" t="s">
        <v>305</v>
      </c>
      <c r="C184" s="167">
        <f t="shared" ref="C184:F184" si="109">C182+C183</f>
        <v>80443</v>
      </c>
      <c r="D184" s="167">
        <f t="shared" si="109"/>
        <v>75970</v>
      </c>
      <c r="E184" s="167">
        <f t="shared" si="109"/>
        <v>162063</v>
      </c>
      <c r="F184" s="167">
        <f t="shared" si="109"/>
        <v>304290</v>
      </c>
      <c r="G184" s="189">
        <f>G182+G183</f>
        <v>130086</v>
      </c>
    </row>
    <row r="185" spans="2:7" ht="16.2" thickTop="1" x14ac:dyDescent="0.3"/>
  </sheetData>
  <mergeCells count="14">
    <mergeCell ref="B126:G126"/>
    <mergeCell ref="B127:G127"/>
    <mergeCell ref="B51:G51"/>
    <mergeCell ref="B53:G53"/>
    <mergeCell ref="B54:G54"/>
    <mergeCell ref="B56:G56"/>
    <mergeCell ref="B87:G87"/>
    <mergeCell ref="B123:G123"/>
    <mergeCell ref="V2:AA2"/>
    <mergeCell ref="V22:AA22"/>
    <mergeCell ref="V23:AA23"/>
    <mergeCell ref="V54:AA54"/>
    <mergeCell ref="B1:G1"/>
    <mergeCell ref="B2:G2"/>
  </mergeCells>
  <phoneticPr fontId="18" type="noConversion"/>
  <hyperlinks>
    <hyperlink ref="S71" r:id="rId1" xr:uid="{869CE5D2-816B-4C13-BADF-5463FAEF3E47}"/>
  </hyperlinks>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72ED9-21E2-497F-BFB5-9EB172BDD549}">
  <dimension ref="C2:K96"/>
  <sheetViews>
    <sheetView topLeftCell="D19" zoomScale="85" zoomScaleNormal="85" workbookViewId="0">
      <selection activeCell="J35" sqref="J35"/>
    </sheetView>
  </sheetViews>
  <sheetFormatPr defaultRowHeight="15.6" x14ac:dyDescent="0.3"/>
  <cols>
    <col min="1" max="2" width="8.88671875" style="234"/>
    <col min="3" max="3" width="63.33203125" style="234" bestFit="1" customWidth="1"/>
    <col min="4" max="4" width="43.44140625" style="234" bestFit="1" customWidth="1"/>
    <col min="5" max="9" width="13.77734375" style="234" customWidth="1"/>
    <col min="10" max="10" width="46.5546875" style="62" customWidth="1"/>
    <col min="11" max="16384" width="8.88671875" style="234"/>
  </cols>
  <sheetData>
    <row r="2" spans="3:10" x14ac:dyDescent="0.3">
      <c r="C2" s="57" t="s">
        <v>0</v>
      </c>
      <c r="D2" s="57"/>
      <c r="E2" s="57"/>
      <c r="F2" s="57"/>
      <c r="G2" s="57"/>
      <c r="H2" s="57"/>
      <c r="I2" s="57"/>
      <c r="J2" s="278" t="s">
        <v>336</v>
      </c>
    </row>
    <row r="3" spans="3:10" ht="37.200000000000003" customHeight="1" thickBot="1" x14ac:dyDescent="0.35">
      <c r="C3" s="272" t="s">
        <v>311</v>
      </c>
      <c r="D3" s="1"/>
      <c r="E3" s="271">
        <v>2018</v>
      </c>
      <c r="F3" s="271">
        <v>2019</v>
      </c>
      <c r="G3" s="271">
        <v>2020</v>
      </c>
      <c r="H3" s="271">
        <v>2021</v>
      </c>
      <c r="I3" s="271">
        <v>2022</v>
      </c>
    </row>
    <row r="4" spans="3:10" x14ac:dyDescent="0.3">
      <c r="C4" s="1" t="s">
        <v>2</v>
      </c>
      <c r="D4" s="1"/>
      <c r="E4" s="235">
        <f>'BEL Financial Model'!N4</f>
        <v>1048516</v>
      </c>
      <c r="F4" s="235">
        <f>'BEL Financial Model'!O4</f>
        <v>1216417</v>
      </c>
      <c r="G4" s="235">
        <f>'BEL Financial Model'!P4</f>
        <v>1296767</v>
      </c>
      <c r="H4" s="235">
        <f>'BEL Financial Model'!Q4</f>
        <v>1410869</v>
      </c>
      <c r="I4" s="235">
        <f>'BEL Financial Model'!R4</f>
        <v>1536818</v>
      </c>
      <c r="J4" s="308" t="s">
        <v>337</v>
      </c>
    </row>
    <row r="5" spans="3:10" x14ac:dyDescent="0.3">
      <c r="C5" s="2" t="s">
        <v>3</v>
      </c>
      <c r="D5" s="2"/>
      <c r="E5" s="236">
        <f>'BEL Financial Model'!N5</f>
        <v>19573</v>
      </c>
      <c r="F5" s="236">
        <f>'BEL Financial Model'!O5</f>
        <v>7299</v>
      </c>
      <c r="G5" s="236">
        <f>'BEL Financial Model'!P5</f>
        <v>9940</v>
      </c>
      <c r="H5" s="236">
        <f>'BEL Financial Model'!Q5</f>
        <v>12496</v>
      </c>
      <c r="I5" s="236">
        <f>'BEL Financial Model'!R5</f>
        <v>23154</v>
      </c>
      <c r="J5" s="309"/>
    </row>
    <row r="6" spans="3:10" ht="16.2" thickBot="1" x14ac:dyDescent="0.35">
      <c r="C6" s="1" t="s">
        <v>4</v>
      </c>
      <c r="D6" s="1"/>
      <c r="E6" s="235">
        <f>'BEL Financial Model'!N6</f>
        <v>1068089</v>
      </c>
      <c r="F6" s="235">
        <f>'BEL Financial Model'!O6</f>
        <v>1223716</v>
      </c>
      <c r="G6" s="235">
        <f>'BEL Financial Model'!P6</f>
        <v>1306707</v>
      </c>
      <c r="H6" s="235">
        <f>'BEL Financial Model'!Q6</f>
        <v>1423365</v>
      </c>
      <c r="I6" s="235">
        <f>'BEL Financial Model'!R6</f>
        <v>1559972</v>
      </c>
      <c r="J6" s="310"/>
    </row>
    <row r="7" spans="3:10" x14ac:dyDescent="0.3">
      <c r="C7" s="1" t="s">
        <v>5</v>
      </c>
      <c r="D7" s="1"/>
      <c r="E7" s="235"/>
      <c r="F7" s="235"/>
      <c r="G7" s="235"/>
      <c r="H7" s="235"/>
      <c r="I7" s="235"/>
    </row>
    <row r="8" spans="3:10" x14ac:dyDescent="0.3">
      <c r="C8" s="1" t="s">
        <v>6</v>
      </c>
      <c r="D8" s="1"/>
      <c r="E8" s="235">
        <f>'BEL Financial Model'!N8</f>
        <v>552252</v>
      </c>
      <c r="F8" s="235">
        <f>'BEL Financial Model'!O8</f>
        <v>594430</v>
      </c>
      <c r="G8" s="235">
        <f>'BEL Financial Model'!P8</f>
        <v>709728</v>
      </c>
      <c r="H8" s="235">
        <f>'BEL Financial Model'!Q8</f>
        <v>782604</v>
      </c>
      <c r="I8" s="235">
        <f>'BEL Financial Model'!R8</f>
        <v>889716</v>
      </c>
    </row>
    <row r="9" spans="3:10" x14ac:dyDescent="0.3">
      <c r="C9" s="1" t="s">
        <v>313</v>
      </c>
      <c r="D9" s="1"/>
      <c r="E9" s="235">
        <f>'BEL Financial Model'!N9</f>
        <v>178757</v>
      </c>
      <c r="F9" s="235">
        <f>'BEL Financial Model'!O9</f>
        <v>189514</v>
      </c>
      <c r="G9" s="235">
        <f>'BEL Financial Model'!P9</f>
        <v>207474</v>
      </c>
      <c r="H9" s="235">
        <f>'BEL Financial Model'!Q9</f>
        <v>195589</v>
      </c>
      <c r="I9" s="235">
        <f>'BEL Financial Model'!R9</f>
        <v>212801</v>
      </c>
    </row>
    <row r="10" spans="3:10" ht="16.2" thickBot="1" x14ac:dyDescent="0.35">
      <c r="C10" s="1" t="s">
        <v>314</v>
      </c>
      <c r="D10" s="1"/>
      <c r="E10" s="235">
        <f>'BEL Financial Model'!N10</f>
        <v>105550</v>
      </c>
      <c r="F10" s="235">
        <f>'BEL Financial Model'!O10</f>
        <v>141850</v>
      </c>
      <c r="G10" s="235">
        <f>'BEL Financial Model'!P10</f>
        <v>104119</v>
      </c>
      <c r="H10" s="235">
        <f>'BEL Financial Model'!Q10</f>
        <v>111625</v>
      </c>
      <c r="I10" s="235">
        <f>'BEL Financial Model'!R10</f>
        <v>100213</v>
      </c>
    </row>
    <row r="11" spans="3:10" ht="15.6" customHeight="1" x14ac:dyDescent="0.3">
      <c r="C11" s="3" t="s">
        <v>7</v>
      </c>
      <c r="D11" s="3"/>
      <c r="E11" s="237">
        <f>'BEL Financial Model'!N11</f>
        <v>231530</v>
      </c>
      <c r="F11" s="237">
        <f>'BEL Financial Model'!O11</f>
        <v>297922</v>
      </c>
      <c r="G11" s="237">
        <f>'BEL Financial Model'!P11</f>
        <v>285386</v>
      </c>
      <c r="H11" s="237">
        <f>'BEL Financial Model'!Q11</f>
        <v>333547</v>
      </c>
      <c r="I11" s="237">
        <f>'BEL Financial Model'!R11</f>
        <v>357242</v>
      </c>
      <c r="J11" s="311" t="s">
        <v>338</v>
      </c>
    </row>
    <row r="12" spans="3:10" x14ac:dyDescent="0.3">
      <c r="C12" s="2" t="s">
        <v>8</v>
      </c>
      <c r="D12" s="2"/>
      <c r="E12" s="236">
        <f>'BEL Financial Model'!N12</f>
        <v>27172</v>
      </c>
      <c r="F12" s="236">
        <f>'BEL Financial Model'!O12</f>
        <v>33813</v>
      </c>
      <c r="G12" s="236">
        <f>'BEL Financial Model'!P12</f>
        <v>37186</v>
      </c>
      <c r="H12" s="236">
        <f>'BEL Financial Model'!Q12</f>
        <v>38732</v>
      </c>
      <c r="I12" s="236">
        <f>'BEL Financial Model'!R12</f>
        <v>40113</v>
      </c>
      <c r="J12" s="312"/>
    </row>
    <row r="13" spans="3:10" ht="16.2" thickBot="1" x14ac:dyDescent="0.35">
      <c r="C13" s="3" t="s">
        <v>9</v>
      </c>
      <c r="D13" s="3"/>
      <c r="E13" s="237">
        <f>'BEL Financial Model'!N13</f>
        <v>204358</v>
      </c>
      <c r="F13" s="237">
        <f>'BEL Financial Model'!O13</f>
        <v>264109</v>
      </c>
      <c r="G13" s="237">
        <f>'BEL Financial Model'!P13</f>
        <v>248200</v>
      </c>
      <c r="H13" s="237">
        <f>'BEL Financial Model'!Q13</f>
        <v>294815</v>
      </c>
      <c r="I13" s="237">
        <f>'BEL Financial Model'!R13</f>
        <v>317129</v>
      </c>
      <c r="J13" s="313"/>
    </row>
    <row r="14" spans="3:10" x14ac:dyDescent="0.3">
      <c r="C14" s="2" t="s">
        <v>10</v>
      </c>
      <c r="D14" s="2"/>
      <c r="E14" s="236">
        <f>'BEL Financial Model'!N14</f>
        <v>219</v>
      </c>
      <c r="F14" s="236">
        <f>'BEL Financial Model'!O14</f>
        <v>1275</v>
      </c>
      <c r="G14" s="236">
        <f>'BEL Financial Model'!P14</f>
        <v>360</v>
      </c>
      <c r="H14" s="236">
        <f>'BEL Financial Model'!Q14</f>
        <v>637</v>
      </c>
      <c r="I14" s="236">
        <f>'BEL Financial Model'!R14</f>
        <v>505</v>
      </c>
    </row>
    <row r="15" spans="3:10" x14ac:dyDescent="0.3">
      <c r="C15" s="3" t="s">
        <v>11</v>
      </c>
      <c r="D15" s="3"/>
      <c r="E15" s="237">
        <f>'BEL Financial Model'!N15</f>
        <v>204139</v>
      </c>
      <c r="F15" s="237">
        <f>'BEL Financial Model'!O15</f>
        <v>262834</v>
      </c>
      <c r="G15" s="237">
        <f>'BEL Financial Model'!P15</f>
        <v>247840</v>
      </c>
      <c r="H15" s="237">
        <f>'BEL Financial Model'!Q15</f>
        <v>294178</v>
      </c>
      <c r="I15" s="237">
        <f>'BEL Financial Model'!R15</f>
        <v>316624</v>
      </c>
    </row>
    <row r="16" spans="3:10" x14ac:dyDescent="0.3">
      <c r="C16" s="2" t="s">
        <v>316</v>
      </c>
      <c r="D16" s="2"/>
      <c r="E16" s="236">
        <f>'BEL Financial Model'!N16</f>
        <v>47394.570364276478</v>
      </c>
      <c r="F16" s="236">
        <f>'BEL Financial Model'!O16</f>
        <v>80483</v>
      </c>
      <c r="G16" s="236">
        <f>'BEL Financial Model'!P16</f>
        <v>75767</v>
      </c>
      <c r="H16" s="236">
        <f>'BEL Financial Model'!Q16</f>
        <v>82654</v>
      </c>
      <c r="I16" s="236">
        <f>'BEL Financial Model'!R16</f>
        <v>91431</v>
      </c>
    </row>
    <row r="17" spans="3:11" x14ac:dyDescent="0.3">
      <c r="C17" s="1" t="s">
        <v>12</v>
      </c>
      <c r="D17" s="1"/>
      <c r="E17" s="235">
        <f>'BEL Financial Model'!N17</f>
        <v>156744.42963572353</v>
      </c>
      <c r="F17" s="235">
        <f>'BEL Financial Model'!O17</f>
        <v>182351</v>
      </c>
      <c r="G17" s="235">
        <f>'BEL Financial Model'!P17</f>
        <v>172073</v>
      </c>
      <c r="H17" s="235">
        <f>'BEL Financial Model'!Q17</f>
        <v>211524</v>
      </c>
      <c r="I17" s="235">
        <f>'BEL Financial Model'!R17</f>
        <v>225193</v>
      </c>
    </row>
    <row r="18" spans="3:11" x14ac:dyDescent="0.3">
      <c r="C18" s="1" t="s">
        <v>13</v>
      </c>
      <c r="D18" s="1"/>
      <c r="E18" s="105">
        <f>'BEL Financial Model'!N18</f>
        <v>0.23216813232295877</v>
      </c>
      <c r="F18" s="105">
        <f>'BEL Financial Model'!O18</f>
        <v>0.30621228608170936</v>
      </c>
      <c r="G18" s="105">
        <f>'BEL Financial Model'!P18</f>
        <v>0.30570932859909616</v>
      </c>
      <c r="H18" s="105">
        <f>'BEL Financial Model'!Q18</f>
        <v>0.28096594578792433</v>
      </c>
      <c r="I18" s="105">
        <f>'BEL Financial Model'!R18</f>
        <v>0.28876838142402345</v>
      </c>
    </row>
    <row r="19" spans="3:11" x14ac:dyDescent="0.3">
      <c r="C19" s="2"/>
      <c r="D19" s="2"/>
      <c r="E19" s="238"/>
      <c r="F19" s="238"/>
      <c r="G19" s="238"/>
      <c r="H19" s="238"/>
      <c r="I19" s="238"/>
    </row>
    <row r="20" spans="3:11" x14ac:dyDescent="0.3">
      <c r="C20" s="1" t="s">
        <v>14</v>
      </c>
      <c r="D20" s="1"/>
      <c r="E20" s="235">
        <f>'BEL Financial Model'!N20</f>
        <v>184785</v>
      </c>
      <c r="F20" s="235">
        <f>'BEL Financial Model'!O20</f>
        <v>256810</v>
      </c>
      <c r="G20" s="235">
        <f>'BEL Financial Model'!P20</f>
        <v>238260</v>
      </c>
      <c r="H20" s="235">
        <f>'BEL Financial Model'!Q20</f>
        <v>282319</v>
      </c>
      <c r="I20" s="235">
        <f>'BEL Financial Model'!R20</f>
        <v>293975</v>
      </c>
    </row>
    <row r="21" spans="3:11" x14ac:dyDescent="0.3">
      <c r="C21" s="1" t="s">
        <v>15</v>
      </c>
      <c r="D21" s="1"/>
      <c r="E21" s="235">
        <f>'BEL Financial Model'!N21</f>
        <v>141883.81166870208</v>
      </c>
      <c r="F21" s="235">
        <f>'BEL Financial Model'!O21</f>
        <v>178171.62281135621</v>
      </c>
      <c r="G21" s="235">
        <f>'BEL Financial Model'!P21</f>
        <v>165421.69536797935</v>
      </c>
      <c r="H21" s="235">
        <f>'BEL Financial Model'!Q21</f>
        <v>202996.975151099</v>
      </c>
      <c r="I21" s="235">
        <f>'BEL Financial Model'!R21</f>
        <v>209084.31507087272</v>
      </c>
    </row>
    <row r="22" spans="3:11" ht="16.2" thickBot="1" x14ac:dyDescent="0.35">
      <c r="C22" s="4" t="s">
        <v>16</v>
      </c>
      <c r="D22" s="4"/>
      <c r="E22" s="239"/>
      <c r="F22" s="239"/>
      <c r="G22" s="239"/>
      <c r="H22" s="239"/>
      <c r="I22" s="239"/>
    </row>
    <row r="23" spans="3:11" ht="15.6" customHeight="1" x14ac:dyDescent="0.3">
      <c r="C23" s="6" t="s">
        <v>18</v>
      </c>
      <c r="D23" s="6" t="s">
        <v>19</v>
      </c>
      <c r="E23" s="240">
        <f>'BEL Financial Model'!N23</f>
        <v>0.10778085610566382</v>
      </c>
      <c r="F23" s="240">
        <f>'BEL Financial Model'!O23</f>
        <v>0.12684997247915283</v>
      </c>
      <c r="G23" s="240">
        <f>'BEL Financial Model'!P23</f>
        <v>0.10193725971124895</v>
      </c>
      <c r="H23" s="240">
        <f>'BEL Financial Model'!Q23</f>
        <v>9.9972295383434273E-2</v>
      </c>
      <c r="I23" s="240">
        <f>'BEL Financial Model'!R23</f>
        <v>9.3519190765831789E-2</v>
      </c>
      <c r="J23" s="314" t="s">
        <v>339</v>
      </c>
      <c r="K23" s="315"/>
    </row>
    <row r="24" spans="3:11" ht="16.2" thickBot="1" x14ac:dyDescent="0.35">
      <c r="C24" s="6" t="s">
        <v>20</v>
      </c>
      <c r="D24" s="6" t="s">
        <v>21</v>
      </c>
      <c r="E24" s="240">
        <f>'BEL Financial Model'!N24</f>
        <v>8.2757576043442291E-2</v>
      </c>
      <c r="F24" s="240">
        <f>'BEL Financial Model'!O24</f>
        <v>8.8006952416909534E-2</v>
      </c>
      <c r="G24" s="240">
        <f>'BEL Financial Model'!P24</f>
        <v>7.0774088485691333E-2</v>
      </c>
      <c r="H24" s="240">
        <f>'BEL Financial Model'!Q24</f>
        <v>7.1883484858437915E-2</v>
      </c>
      <c r="I24" s="240">
        <f>'BEL Financial Model'!R24</f>
        <v>6.6513805416298061E-2</v>
      </c>
      <c r="J24" s="316"/>
      <c r="K24" s="317"/>
    </row>
    <row r="25" spans="3:11" ht="16.2" thickBot="1" x14ac:dyDescent="0.35">
      <c r="C25" s="6" t="s">
        <v>22</v>
      </c>
      <c r="D25" s="6" t="s">
        <v>23</v>
      </c>
      <c r="E25" s="240">
        <f>'BEL Financial Model'!N25</f>
        <v>0.19522990572049997</v>
      </c>
      <c r="F25" s="240">
        <f>'BEL Financial Model'!O25</f>
        <v>0.19767474633596394</v>
      </c>
      <c r="G25" s="240">
        <f>'BEL Financial Model'!P25</f>
        <v>0.17061086488791061</v>
      </c>
      <c r="H25" s="240">
        <f>'BEL Financial Model'!Q25</f>
        <v>0.19099974084772592</v>
      </c>
      <c r="I25" s="240">
        <f>'BEL Financial Model'!R25</f>
        <v>0.18304995744687769</v>
      </c>
      <c r="J25" s="62" t="s">
        <v>340</v>
      </c>
    </row>
    <row r="26" spans="3:11" x14ac:dyDescent="0.3">
      <c r="C26" s="6" t="s">
        <v>24</v>
      </c>
      <c r="D26" s="6" t="s">
        <v>25</v>
      </c>
      <c r="E26" s="240">
        <f>'BEL Financial Model'!N26</f>
        <v>0.22545295680982488</v>
      </c>
      <c r="F26" s="240">
        <f>'BEL Financial Model'!O26</f>
        <v>0.25464069503645931</v>
      </c>
      <c r="G26" s="240">
        <f>'BEL Financial Model'!P26</f>
        <v>0.21615332429356096</v>
      </c>
      <c r="H26" s="240">
        <f>'BEL Financial Model'!Q26</f>
        <v>0.23286904073579082</v>
      </c>
      <c r="I26" s="240">
        <f>'BEL Financial Model'!R26</f>
        <v>0.22131136100670362</v>
      </c>
      <c r="J26" s="311" t="s">
        <v>341</v>
      </c>
    </row>
    <row r="27" spans="3:11" ht="16.2" thickBot="1" x14ac:dyDescent="0.35">
      <c r="C27" s="6" t="s">
        <v>26</v>
      </c>
      <c r="D27" s="6" t="s">
        <v>27</v>
      </c>
      <c r="E27" s="240">
        <f>'BEL Financial Model'!N27</f>
        <v>0.17310996490059916</v>
      </c>
      <c r="F27" s="240">
        <f>'BEL Financial Model'!O27</f>
        <v>0.17666658567990975</v>
      </c>
      <c r="G27" s="240">
        <f>'BEL Financial Model'!P27</f>
        <v>0.15007323664931371</v>
      </c>
      <c r="H27" s="240">
        <f>'BEL Financial Model'!Q27</f>
        <v>0.16744077046073269</v>
      </c>
      <c r="I27" s="240">
        <f>'BEL Financial Model'!R27</f>
        <v>0.15740363749805011</v>
      </c>
      <c r="J27" s="313"/>
    </row>
    <row r="28" spans="3:11" x14ac:dyDescent="0.3">
      <c r="C28" s="8" t="s">
        <v>28</v>
      </c>
      <c r="D28" s="9"/>
      <c r="E28" s="241"/>
      <c r="F28" s="241"/>
      <c r="G28" s="241"/>
      <c r="H28" s="241"/>
      <c r="I28" s="241"/>
    </row>
    <row r="29" spans="3:11" x14ac:dyDescent="0.3">
      <c r="C29" s="9" t="s">
        <v>29</v>
      </c>
      <c r="D29" s="9" t="s">
        <v>30</v>
      </c>
      <c r="E29" s="242">
        <f>'BEL Financial Model'!N29</f>
        <v>0.21677032531933199</v>
      </c>
      <c r="F29" s="242">
        <f>'BEL Financial Model'!O29</f>
        <v>0.24345681514338294</v>
      </c>
      <c r="G29" s="242">
        <f>'BEL Financial Model'!P29</f>
        <v>0.21840091160451425</v>
      </c>
      <c r="H29" s="242">
        <f>'BEL Financial Model'!Q29</f>
        <v>0.23433694098140673</v>
      </c>
      <c r="I29" s="242">
        <f>'BEL Financial Model'!R29</f>
        <v>0.22900539240447906</v>
      </c>
    </row>
    <row r="30" spans="3:11" x14ac:dyDescent="0.3">
      <c r="C30" s="9" t="s">
        <v>31</v>
      </c>
      <c r="D30" s="9" t="s">
        <v>32</v>
      </c>
      <c r="E30" s="242">
        <f>'BEL Financial Model'!N30</f>
        <v>0.1913304977394206</v>
      </c>
      <c r="F30" s="242">
        <f>'BEL Financial Model'!O30</f>
        <v>0.21582540393359242</v>
      </c>
      <c r="G30" s="242">
        <f>'BEL Financial Model'!P30</f>
        <v>0.18994311655175949</v>
      </c>
      <c r="H30" s="242">
        <f>'BEL Financial Model'!Q30</f>
        <v>0.20712536840515258</v>
      </c>
      <c r="I30" s="242">
        <f>'BEL Financial Model'!R30</f>
        <v>0.20329146933406497</v>
      </c>
    </row>
    <row r="31" spans="3:11" x14ac:dyDescent="0.3">
      <c r="C31" s="9" t="s">
        <v>33</v>
      </c>
      <c r="D31" s="9" t="s">
        <v>34</v>
      </c>
      <c r="E31" s="242">
        <f>'BEL Financial Model'!N31</f>
        <v>0.1911254586462364</v>
      </c>
      <c r="F31" s="242">
        <f>'BEL Financial Model'!O31</f>
        <v>0.21478349551693368</v>
      </c>
      <c r="G31" s="242">
        <f>'BEL Financial Model'!P31</f>
        <v>0.18966761485168443</v>
      </c>
      <c r="H31" s="242">
        <f>'BEL Financial Model'!Q31</f>
        <v>0.20667783737832532</v>
      </c>
      <c r="I31" s="242">
        <f>'BEL Financial Model'!R31</f>
        <v>0.20296774557492059</v>
      </c>
    </row>
    <row r="32" spans="3:11" x14ac:dyDescent="0.3">
      <c r="C32" s="9" t="s">
        <v>35</v>
      </c>
      <c r="D32" s="9" t="s">
        <v>36</v>
      </c>
      <c r="E32" s="242">
        <f>'BEL Financial Model'!N32</f>
        <v>0.14675221787297082</v>
      </c>
      <c r="F32" s="242">
        <f>'BEL Financial Model'!O32</f>
        <v>0.14901415034207283</v>
      </c>
      <c r="G32" s="242">
        <f>'BEL Financial Model'!P32</f>
        <v>0.13168445565838402</v>
      </c>
      <c r="H32" s="242">
        <f>'BEL Financial Model'!Q32</f>
        <v>0.14860840332592132</v>
      </c>
      <c r="I32" s="242">
        <f>'BEL Financial Model'!R32</f>
        <v>0.14435707820396776</v>
      </c>
    </row>
    <row r="33" spans="3:10" x14ac:dyDescent="0.3">
      <c r="C33" s="9" t="s">
        <v>37</v>
      </c>
      <c r="D33" s="9" t="s">
        <v>38</v>
      </c>
      <c r="E33" s="243">
        <f>'BEL Financial Model'!N33</f>
        <v>0.56332292749509372</v>
      </c>
      <c r="F33" s="243">
        <f>'BEL Financial Model'!O33</f>
        <v>0.58774347304445884</v>
      </c>
      <c r="G33" s="243">
        <f>'BEL Financial Model'!P33</f>
        <v>0.5366725657756124</v>
      </c>
      <c r="H33" s="243">
        <f>'BEL Financial Model'!Q33</f>
        <v>0.48266562494595566</v>
      </c>
      <c r="I33" s="243">
        <f>'BEL Financial Model'!R33</f>
        <v>0.4600251602892077</v>
      </c>
      <c r="J33" s="62" t="s">
        <v>342</v>
      </c>
    </row>
    <row r="34" spans="3:10" x14ac:dyDescent="0.3">
      <c r="C34" s="13"/>
      <c r="D34" s="13"/>
      <c r="E34" s="244"/>
      <c r="F34" s="244"/>
      <c r="G34" s="244"/>
      <c r="H34" s="244"/>
      <c r="I34" s="244"/>
    </row>
    <row r="35" spans="3:10" x14ac:dyDescent="0.3">
      <c r="C35" s="15" t="s">
        <v>39</v>
      </c>
      <c r="D35" s="13"/>
      <c r="E35" s="244"/>
      <c r="F35" s="244"/>
      <c r="G35" s="244"/>
      <c r="H35" s="244"/>
      <c r="I35" s="244"/>
    </row>
    <row r="36" spans="3:10" x14ac:dyDescent="0.3">
      <c r="C36" s="13" t="s">
        <v>40</v>
      </c>
      <c r="D36" s="13" t="s">
        <v>41</v>
      </c>
      <c r="E36" s="245">
        <f>'BEL Financial Model'!N36</f>
        <v>0.10778085610566382</v>
      </c>
      <c r="F36" s="245">
        <f>'BEL Financial Model'!O36</f>
        <v>0.12684997247915283</v>
      </c>
      <c r="G36" s="245">
        <f>'BEL Financial Model'!P36</f>
        <v>0.10193725971124896</v>
      </c>
      <c r="H36" s="245">
        <f>'BEL Financial Model'!Q36</f>
        <v>9.9972295383434273E-2</v>
      </c>
      <c r="I36" s="245">
        <f>'BEL Financial Model'!R36</f>
        <v>9.3519190765831789E-2</v>
      </c>
      <c r="J36" s="273" t="s">
        <v>347</v>
      </c>
    </row>
    <row r="37" spans="3:10" x14ac:dyDescent="0.3">
      <c r="C37" s="17" t="s">
        <v>42</v>
      </c>
      <c r="D37" s="18"/>
      <c r="E37" s="246"/>
      <c r="F37" s="246"/>
      <c r="G37" s="246"/>
      <c r="H37" s="246"/>
      <c r="I37" s="246"/>
    </row>
    <row r="38" spans="3:10" x14ac:dyDescent="0.3">
      <c r="C38" s="18" t="s">
        <v>43</v>
      </c>
      <c r="D38" s="18" t="s">
        <v>44</v>
      </c>
      <c r="E38" s="247">
        <f>'BEL Financial Model'!N38</f>
        <v>0.14675221787297082</v>
      </c>
      <c r="F38" s="247">
        <f>'BEL Financial Model'!O38</f>
        <v>0.14901415034207283</v>
      </c>
      <c r="G38" s="247">
        <f>'BEL Financial Model'!P38</f>
        <v>0.13168445565838402</v>
      </c>
      <c r="H38" s="247">
        <f>'BEL Financial Model'!Q38</f>
        <v>0.14860840332592132</v>
      </c>
      <c r="I38" s="247">
        <f>'BEL Financial Model'!R38</f>
        <v>0.14435707820396776</v>
      </c>
    </row>
    <row r="39" spans="3:10" x14ac:dyDescent="0.3">
      <c r="C39" s="18" t="s">
        <v>45</v>
      </c>
      <c r="D39" s="18" t="s">
        <v>38</v>
      </c>
      <c r="E39" s="248">
        <f>'BEL Financial Model'!N39</f>
        <v>0.56332292749509372</v>
      </c>
      <c r="F39" s="248">
        <f>'BEL Financial Model'!O39</f>
        <v>0.58774347304445884</v>
      </c>
      <c r="G39" s="248">
        <f>'BEL Financial Model'!P39</f>
        <v>0.5366725657756124</v>
      </c>
      <c r="H39" s="248">
        <f>'BEL Financial Model'!Q39</f>
        <v>0.48266562494595566</v>
      </c>
      <c r="I39" s="248">
        <f>'BEL Financial Model'!R39</f>
        <v>0.4600251602892077</v>
      </c>
    </row>
    <row r="40" spans="3:10" x14ac:dyDescent="0.3">
      <c r="C40" s="18" t="s">
        <v>46</v>
      </c>
      <c r="D40" s="18" t="s">
        <v>47</v>
      </c>
      <c r="E40" s="248">
        <f>'BEL Financial Model'!N40</f>
        <v>2.3615885989156413</v>
      </c>
      <c r="F40" s="248">
        <f>'BEL Financial Model'!O40</f>
        <v>2.2570223744688231</v>
      </c>
      <c r="G40" s="248">
        <f>'BEL Financial Model'!P40</f>
        <v>2.4141418047334344</v>
      </c>
      <c r="H40" s="248">
        <f>'BEL Financial Model'!Q40</f>
        <v>2.6628275409338693</v>
      </c>
      <c r="I40" s="248">
        <f>'BEL Financial Model'!R40</f>
        <v>2.7564490130683201</v>
      </c>
      <c r="J40" s="62" t="s">
        <v>343</v>
      </c>
    </row>
    <row r="41" spans="3:10" x14ac:dyDescent="0.3">
      <c r="C41" s="18" t="s">
        <v>22</v>
      </c>
      <c r="D41" s="18" t="s">
        <v>48</v>
      </c>
      <c r="E41" s="249">
        <f>'BEL Financial Model'!N41</f>
        <v>0.19522990572049995</v>
      </c>
      <c r="F41" s="249">
        <f>'BEL Financial Model'!O41</f>
        <v>0.19767474633596388</v>
      </c>
      <c r="G41" s="249">
        <f>'BEL Financial Model'!P41</f>
        <v>0.17061086488791063</v>
      </c>
      <c r="H41" s="249">
        <f>'BEL Financial Model'!Q41</f>
        <v>0.19099974084772595</v>
      </c>
      <c r="I41" s="249">
        <f>'BEL Financial Model'!R41</f>
        <v>0.18304995744687771</v>
      </c>
    </row>
    <row r="42" spans="3:10" x14ac:dyDescent="0.3">
      <c r="C42" s="23" t="s">
        <v>49</v>
      </c>
      <c r="D42" s="24"/>
      <c r="E42" s="250"/>
      <c r="F42" s="250"/>
      <c r="G42" s="250"/>
      <c r="H42" s="250"/>
      <c r="I42" s="250"/>
      <c r="J42" s="62" t="s">
        <v>346</v>
      </c>
    </row>
    <row r="43" spans="3:10" x14ac:dyDescent="0.3">
      <c r="C43" s="24" t="s">
        <v>50</v>
      </c>
      <c r="D43" s="24" t="s">
        <v>51</v>
      </c>
      <c r="E43" s="251">
        <f>'BEL Financial Model'!N43</f>
        <v>0.71907431158439061</v>
      </c>
      <c r="F43" s="251">
        <f>'BEL Financial Model'!O43</f>
        <v>0.70311679615270473</v>
      </c>
      <c r="G43" s="251">
        <f>'BEL Financial Model'!P43</f>
        <v>0.72330132343447384</v>
      </c>
      <c r="H43" s="251">
        <f>'BEL Financial Model'!Q43</f>
        <v>0.70343125590628808</v>
      </c>
      <c r="I43" s="251">
        <f>'BEL Financial Model'!R43</f>
        <v>0.74361387639597754</v>
      </c>
      <c r="J43" s="62" t="s">
        <v>345</v>
      </c>
    </row>
    <row r="44" spans="3:10" x14ac:dyDescent="0.3">
      <c r="C44" s="24" t="s">
        <v>52</v>
      </c>
      <c r="D44" s="24" t="s">
        <v>53</v>
      </c>
      <c r="E44" s="251">
        <f>'BEL Financial Model'!N44</f>
        <v>0.99892835122676871</v>
      </c>
      <c r="F44" s="251">
        <f>'BEL Financial Model'!O44</f>
        <v>0.99517244773938029</v>
      </c>
      <c r="G44" s="251">
        <f>'BEL Financial Model'!P44</f>
        <v>0.99854955680902502</v>
      </c>
      <c r="H44" s="251">
        <f>'BEL Financial Model'!Q44</f>
        <v>0.99783932296524935</v>
      </c>
      <c r="I44" s="251">
        <f>'BEL Financial Model'!R44</f>
        <v>0.99840758807929897</v>
      </c>
      <c r="J44" s="62" t="s">
        <v>344</v>
      </c>
    </row>
    <row r="45" spans="3:10" x14ac:dyDescent="0.3">
      <c r="C45" s="24" t="s">
        <v>54</v>
      </c>
      <c r="D45" s="24" t="s">
        <v>32</v>
      </c>
      <c r="E45" s="251">
        <f>'BEL Financial Model'!N45</f>
        <v>0.1913304977394206</v>
      </c>
      <c r="F45" s="251">
        <f>'BEL Financial Model'!O45</f>
        <v>0.21582540393359242</v>
      </c>
      <c r="G45" s="251">
        <f>'BEL Financial Model'!P45</f>
        <v>0.18994311655175949</v>
      </c>
      <c r="H45" s="251">
        <f>'BEL Financial Model'!Q45</f>
        <v>0.20712536840515258</v>
      </c>
      <c r="I45" s="251">
        <f>'BEL Financial Model'!R45</f>
        <v>0.20329146933406497</v>
      </c>
    </row>
    <row r="46" spans="3:10" x14ac:dyDescent="0.3">
      <c r="C46" s="24" t="s">
        <v>45</v>
      </c>
      <c r="D46" s="24" t="s">
        <v>55</v>
      </c>
      <c r="E46" s="252">
        <f>'BEL Financial Model'!N46</f>
        <v>0.56332292749509372</v>
      </c>
      <c r="F46" s="252">
        <f>'BEL Financial Model'!O46</f>
        <v>0.58774347304445884</v>
      </c>
      <c r="G46" s="252">
        <f>'BEL Financial Model'!P46</f>
        <v>0.5366725657756124</v>
      </c>
      <c r="H46" s="252">
        <f>'BEL Financial Model'!Q46</f>
        <v>0.48266562494595566</v>
      </c>
      <c r="I46" s="252">
        <f>'BEL Financial Model'!R46</f>
        <v>0.4600251602892077</v>
      </c>
    </row>
    <row r="47" spans="3:10" x14ac:dyDescent="0.3">
      <c r="C47" s="24" t="s">
        <v>56</v>
      </c>
      <c r="D47" s="24" t="s">
        <v>57</v>
      </c>
      <c r="E47" s="252">
        <f>'BEL Financial Model'!N47</f>
        <v>2.3615885989156413</v>
      </c>
      <c r="F47" s="252">
        <f>'BEL Financial Model'!O47</f>
        <v>2.2570223744688231</v>
      </c>
      <c r="G47" s="252">
        <f>'BEL Financial Model'!P47</f>
        <v>2.4141418047334344</v>
      </c>
      <c r="H47" s="252">
        <f>'BEL Financial Model'!Q47</f>
        <v>2.6628275409338693</v>
      </c>
      <c r="I47" s="252">
        <f>'BEL Financial Model'!R47</f>
        <v>2.7564490130683201</v>
      </c>
    </row>
    <row r="48" spans="3:10" x14ac:dyDescent="0.3">
      <c r="C48" s="24" t="s">
        <v>22</v>
      </c>
      <c r="D48" s="24" t="s">
        <v>58</v>
      </c>
      <c r="E48" s="251">
        <f>'BEL Financial Model'!N48</f>
        <v>0.18283274759273394</v>
      </c>
      <c r="F48" s="251">
        <f>'BEL Financial Model'!O48</f>
        <v>0.20033279854305777</v>
      </c>
      <c r="G48" s="251">
        <f>'BEL Financial Model'!P48</f>
        <v>0.17773977016964615</v>
      </c>
      <c r="H48" s="251">
        <f>'BEL Financial Model'!Q48</f>
        <v>0.18685511040157765</v>
      </c>
      <c r="I48" s="251">
        <f>'BEL Financial Model'!R48</f>
        <v>0.19138419169795495</v>
      </c>
      <c r="J48" s="62" t="s">
        <v>348</v>
      </c>
    </row>
    <row r="49" spans="3:10" x14ac:dyDescent="0.3">
      <c r="C49" s="28" t="s">
        <v>59</v>
      </c>
      <c r="D49" s="29"/>
      <c r="E49" s="253"/>
      <c r="F49" s="253"/>
      <c r="G49" s="253"/>
      <c r="H49" s="253"/>
      <c r="I49" s="253"/>
    </row>
    <row r="50" spans="3:10" x14ac:dyDescent="0.3">
      <c r="C50" s="29" t="s">
        <v>60</v>
      </c>
      <c r="D50" s="29" t="s">
        <v>61</v>
      </c>
      <c r="E50" s="254">
        <f>'BEL Financial Model'!N50</f>
        <v>2.2940105111909603</v>
      </c>
      <c r="F50" s="254">
        <f>'BEL Financial Model'!O50</f>
        <v>2.4740828201385323</v>
      </c>
      <c r="G50" s="254">
        <f>'BEL Financial Model'!P50</f>
        <v>2.3291546499067772</v>
      </c>
      <c r="H50" s="254">
        <f>'BEL Financial Model'!Q50</f>
        <v>2.4641210035385606</v>
      </c>
      <c r="I50" s="254">
        <f>'BEL Financial Model'!R50</f>
        <v>2.3575678530785704</v>
      </c>
      <c r="J50" s="62" t="s">
        <v>351</v>
      </c>
    </row>
    <row r="51" spans="3:10" x14ac:dyDescent="0.3">
      <c r="C51" s="29" t="s">
        <v>62</v>
      </c>
      <c r="D51" s="29" t="s">
        <v>63</v>
      </c>
      <c r="E51" s="254">
        <f>'BEL Financial Model'!N51</f>
        <v>6.2056320356056389</v>
      </c>
      <c r="F51" s="254">
        <f>'BEL Financial Model'!O51</f>
        <v>5.6874339576768067</v>
      </c>
      <c r="G51" s="254">
        <f>'BEL Financial Model'!P51</f>
        <v>5.0501680446457433</v>
      </c>
      <c r="H51" s="254">
        <f>'BEL Financial Model'!Q51</f>
        <v>5.6763991148662241</v>
      </c>
      <c r="I51" s="254">
        <f>'BEL Financial Model'!R51</f>
        <v>6.1243180559263877</v>
      </c>
      <c r="J51" s="62" t="s">
        <v>350</v>
      </c>
    </row>
    <row r="52" spans="3:10" x14ac:dyDescent="0.3">
      <c r="C52" s="29" t="s">
        <v>64</v>
      </c>
      <c r="D52" s="29" t="s">
        <v>65</v>
      </c>
      <c r="E52" s="254">
        <f>'BEL Financial Model'!N52</f>
        <v>0.74667937127565276</v>
      </c>
      <c r="F52" s="254">
        <f>'BEL Financial Model'!O52</f>
        <v>0.77087191737157346</v>
      </c>
      <c r="G52" s="254">
        <f>'BEL Financial Model'!P52</f>
        <v>0.69735335885354377</v>
      </c>
      <c r="H52" s="254">
        <f>'BEL Financial Model'!Q52</f>
        <v>0.60023885320100823</v>
      </c>
      <c r="I52" s="254">
        <f>'BEL Financial Model'!R52</f>
        <v>0.57155000181360471</v>
      </c>
      <c r="J52" s="62" t="s">
        <v>352</v>
      </c>
    </row>
    <row r="53" spans="3:10" x14ac:dyDescent="0.3">
      <c r="C53" s="29" t="s">
        <v>66</v>
      </c>
      <c r="D53" s="29" t="s">
        <v>67</v>
      </c>
      <c r="E53" s="254">
        <f>'BEL Financial Model'!N53</f>
        <v>1.330337003080196</v>
      </c>
      <c r="F53" s="254">
        <f>'BEL Financial Model'!O53</f>
        <v>1.3265501691093573</v>
      </c>
      <c r="G53" s="254">
        <f>'BEL Financial Model'!P53</f>
        <v>1.2956036764924597</v>
      </c>
      <c r="H53" s="254">
        <f>'BEL Financial Model'!Q53</f>
        <v>1.2852553191681484</v>
      </c>
      <c r="I53" s="254">
        <f>'BEL Financial Model'!R53</f>
        <v>1.2680358990657821</v>
      </c>
      <c r="J53" s="62" t="s">
        <v>349</v>
      </c>
    </row>
    <row r="54" spans="3:10" x14ac:dyDescent="0.3">
      <c r="C54" s="28" t="s">
        <v>182</v>
      </c>
      <c r="D54" s="29"/>
      <c r="E54" s="254"/>
      <c r="F54" s="254"/>
      <c r="G54" s="254"/>
      <c r="H54" s="254"/>
      <c r="I54" s="254"/>
    </row>
    <row r="55" spans="3:10" x14ac:dyDescent="0.3">
      <c r="C55" s="29" t="s">
        <v>68</v>
      </c>
      <c r="D55" s="29" t="s">
        <v>69</v>
      </c>
      <c r="E55" s="254">
        <f>'BEL Financial Model'!N55</f>
        <v>2.4228825362834989</v>
      </c>
      <c r="F55" s="254">
        <f>'BEL Financial Model'!O55</f>
        <v>2.2554108325392717</v>
      </c>
      <c r="G55" s="254">
        <f>'BEL Financial Model'!P55</f>
        <v>2.2251782500080886</v>
      </c>
      <c r="H55" s="254">
        <f>'BEL Financial Model'!Q55</f>
        <v>2.0677144467558426</v>
      </c>
      <c r="I55" s="254">
        <f>'BEL Financial Model'!R55</f>
        <v>2.0226095502595078</v>
      </c>
      <c r="J55" s="62" t="s">
        <v>353</v>
      </c>
    </row>
    <row r="56" spans="3:10" x14ac:dyDescent="0.3">
      <c r="C56" s="29" t="s">
        <v>70</v>
      </c>
      <c r="D56" s="29" t="s">
        <v>71</v>
      </c>
      <c r="E56" s="254">
        <f>'BEL Financial Model'!N56</f>
        <v>2.2896561964990743</v>
      </c>
      <c r="F56" s="254">
        <f>'BEL Financial Model'!O56</f>
        <v>2.7376123870503113</v>
      </c>
      <c r="G56" s="254">
        <f>'BEL Financial Model'!P56</f>
        <v>3.2760705353308239</v>
      </c>
      <c r="H56" s="254">
        <f>'BEL Financial Model'!Q56</f>
        <v>2.8399248789246334</v>
      </c>
      <c r="I56" s="254">
        <f>'BEL Financial Model'!R56</f>
        <v>2.7482930667572738</v>
      </c>
      <c r="J56" s="62" t="s">
        <v>354</v>
      </c>
    </row>
    <row r="57" spans="3:10" x14ac:dyDescent="0.3">
      <c r="C57" s="29" t="s">
        <v>72</v>
      </c>
      <c r="D57" s="29" t="s">
        <v>73</v>
      </c>
      <c r="E57" s="254">
        <f>'BEL Financial Model'!N57</f>
        <v>159.41257930255713</v>
      </c>
      <c r="F57" s="254">
        <f>'BEL Financial Model'!O57</f>
        <v>133.32785960735504</v>
      </c>
      <c r="G57" s="254">
        <f>'BEL Financial Model'!P57</f>
        <v>111.41396256999137</v>
      </c>
      <c r="H57" s="254">
        <f>'BEL Financial Model'!Q57</f>
        <v>128.52452637346204</v>
      </c>
      <c r="I57" s="254">
        <f>'BEL Financial Model'!R57</f>
        <v>132.80970811117518</v>
      </c>
      <c r="J57" s="62" t="s">
        <v>355</v>
      </c>
    </row>
    <row r="58" spans="3:10" x14ac:dyDescent="0.3">
      <c r="C58" s="29" t="s">
        <v>74</v>
      </c>
      <c r="D58" s="29" t="s">
        <v>75</v>
      </c>
      <c r="E58" s="254">
        <f>'BEL Financial Model'!N58</f>
        <v>2.0910515924456057</v>
      </c>
      <c r="F58" s="254">
        <f>'BEL Financial Model'!O58</f>
        <v>2.2636615199668011</v>
      </c>
      <c r="G58" s="254">
        <f>'BEL Financial Model'!P58</f>
        <v>1.9285591060109875</v>
      </c>
      <c r="H58" s="254">
        <f>'BEL Financial Model'!Q58</f>
        <v>2.1500627096353391</v>
      </c>
      <c r="I58" s="254">
        <f>'BEL Financial Model'!R58</f>
        <v>2.5160369280740786</v>
      </c>
      <c r="J58" s="62" t="s">
        <v>356</v>
      </c>
    </row>
    <row r="59" spans="3:10" x14ac:dyDescent="0.3">
      <c r="C59" s="29" t="s">
        <v>76</v>
      </c>
      <c r="D59" s="29" t="s">
        <v>77</v>
      </c>
      <c r="E59" s="254">
        <f>'BEL Financial Model'!N59</f>
        <v>174.55332107473799</v>
      </c>
      <c r="F59" s="254">
        <f>'BEL Financial Model'!O59</f>
        <v>161.243187985699</v>
      </c>
      <c r="G59" s="254">
        <f>'BEL Financial Model'!P59</f>
        <v>189.26046853443989</v>
      </c>
      <c r="H59" s="254">
        <f>'BEL Financial Model'!Q59</f>
        <v>169.76249035169107</v>
      </c>
      <c r="I59" s="254">
        <f>'BEL Financial Model'!R59</f>
        <v>145.06941290380516</v>
      </c>
      <c r="J59" s="62" t="s">
        <v>357</v>
      </c>
    </row>
    <row r="60" spans="3:10" x14ac:dyDescent="0.3">
      <c r="C60" s="29" t="s">
        <v>78</v>
      </c>
      <c r="D60" s="29" t="s">
        <v>79</v>
      </c>
      <c r="E60" s="254">
        <f>'BEL Financial Model'!N60</f>
        <v>7.659047911233829</v>
      </c>
      <c r="F60" s="254">
        <f>'BEL Financial Model'!O60</f>
        <v>4.1451134897667448</v>
      </c>
      <c r="G60" s="254">
        <f>'BEL Financial Model'!P60</f>
        <v>2.8966952773934445</v>
      </c>
      <c r="H60" s="254">
        <f>'BEL Financial Model'!Q60</f>
        <v>2.3723180454090755</v>
      </c>
      <c r="I60" s="254">
        <f>'BEL Financial Model'!R60</f>
        <v>2.6406553290000891</v>
      </c>
      <c r="J60" s="62" t="s">
        <v>358</v>
      </c>
    </row>
    <row r="61" spans="3:10" x14ac:dyDescent="0.3">
      <c r="C61" s="29" t="s">
        <v>80</v>
      </c>
      <c r="D61" s="29" t="s">
        <v>81</v>
      </c>
      <c r="E61" s="254">
        <f>'BEL Financial Model'!N61</f>
        <v>47.656053889497159</v>
      </c>
      <c r="F61" s="254">
        <f>'BEL Financial Model'!O61</f>
        <v>88.055490133405101</v>
      </c>
      <c r="G61" s="254">
        <f>'BEL Financial Model'!P61</f>
        <v>126.00565991478426</v>
      </c>
      <c r="H61" s="254">
        <f>'BEL Financial Model'!Q61</f>
        <v>153.85795370327779</v>
      </c>
      <c r="I61" s="254">
        <f>'BEL Financial Model'!R61</f>
        <v>138.22326450238052</v>
      </c>
      <c r="J61" s="62" t="s">
        <v>359</v>
      </c>
    </row>
    <row r="62" spans="3:10" x14ac:dyDescent="0.3">
      <c r="C62" s="29" t="s">
        <v>82</v>
      </c>
      <c r="D62" s="29" t="s">
        <v>83</v>
      </c>
      <c r="E62" s="254">
        <f>'BEL Financial Model'!N62</f>
        <v>286.30984648779798</v>
      </c>
      <c r="F62" s="254">
        <f>'BEL Financial Model'!O62</f>
        <v>206.5155574596489</v>
      </c>
      <c r="G62" s="254">
        <f>'BEL Financial Model'!P62</f>
        <v>174.66877118964703</v>
      </c>
      <c r="H62" s="254">
        <f>'BEL Financial Model'!Q62</f>
        <v>144.42906302187529</v>
      </c>
      <c r="I62" s="254">
        <f>'BEL Financial Model'!R62</f>
        <v>139.65585651259983</v>
      </c>
      <c r="J62" s="62" t="s">
        <v>360</v>
      </c>
    </row>
    <row r="63" spans="3:10" x14ac:dyDescent="0.3">
      <c r="C63" s="32" t="s">
        <v>84</v>
      </c>
      <c r="D63" s="33"/>
      <c r="E63" s="255"/>
      <c r="F63" s="255"/>
      <c r="G63" s="255"/>
      <c r="H63" s="255"/>
      <c r="I63" s="255"/>
    </row>
    <row r="64" spans="3:10" x14ac:dyDescent="0.3">
      <c r="C64" s="33" t="s">
        <v>85</v>
      </c>
      <c r="D64" s="33" t="s">
        <v>86</v>
      </c>
      <c r="E64" s="277">
        <f>'BEL Financial Model'!N64</f>
        <v>4703</v>
      </c>
      <c r="F64" s="277">
        <f>'BEL Financial Model'!O64</f>
        <v>0</v>
      </c>
      <c r="G64" s="277">
        <f>'BEL Financial Model'!P64</f>
        <v>0</v>
      </c>
      <c r="H64" s="277">
        <f>'BEL Financial Model'!Q64</f>
        <v>252</v>
      </c>
      <c r="I64" s="277">
        <f>'BEL Financial Model'!R64</f>
        <v>5270</v>
      </c>
    </row>
    <row r="65" spans="3:10" x14ac:dyDescent="0.3">
      <c r="C65" s="33" t="s">
        <v>87</v>
      </c>
      <c r="D65" s="33" t="s">
        <v>88</v>
      </c>
      <c r="E65" s="256">
        <f>'BEL Financial Model'!N65</f>
        <v>5.8577280783587895E-3</v>
      </c>
      <c r="F65" s="257">
        <f>'BEL Financial Model'!O65</f>
        <v>0</v>
      </c>
      <c r="G65" s="257">
        <f>'BEL Financial Model'!P65</f>
        <v>0</v>
      </c>
      <c r="H65" s="257">
        <f>'BEL Financial Model'!Q65</f>
        <v>2.275483382199038E-4</v>
      </c>
      <c r="I65" s="256">
        <f>'BEL Financial Model'!R65</f>
        <v>4.2837622650128797E-3</v>
      </c>
      <c r="J65" s="62" t="s">
        <v>361</v>
      </c>
    </row>
    <row r="66" spans="3:10" x14ac:dyDescent="0.3">
      <c r="C66" s="33" t="s">
        <v>89</v>
      </c>
      <c r="D66" s="33" t="s">
        <v>90</v>
      </c>
      <c r="E66" s="256">
        <f>'BEL Financial Model'!N66</f>
        <v>5.8236149256910199E-3</v>
      </c>
      <c r="F66" s="257">
        <f>'BEL Financial Model'!O66</f>
        <v>0</v>
      </c>
      <c r="G66" s="257">
        <f>'BEL Financial Model'!P66</f>
        <v>0</v>
      </c>
      <c r="H66" s="257">
        <f>'BEL Financial Model'!Q66</f>
        <v>2.2749657175305066E-4</v>
      </c>
      <c r="I66" s="256">
        <f>'BEL Financial Model'!R66</f>
        <v>4.2654899202507167E-3</v>
      </c>
    </row>
    <row r="67" spans="3:10" x14ac:dyDescent="0.3">
      <c r="C67" s="33" t="s">
        <v>91</v>
      </c>
      <c r="D67" s="33" t="s">
        <v>92</v>
      </c>
      <c r="E67" s="256">
        <f>'BEL Financial Model'!N67</f>
        <v>0.99417638507430894</v>
      </c>
      <c r="F67" s="257">
        <f>'BEL Financial Model'!O67</f>
        <v>1</v>
      </c>
      <c r="G67" s="257">
        <f>'BEL Financial Model'!P67</f>
        <v>1</v>
      </c>
      <c r="H67" s="257">
        <f>'BEL Financial Model'!Q67</f>
        <v>0.99977250342824697</v>
      </c>
      <c r="I67" s="256">
        <f>'BEL Financial Model'!R67</f>
        <v>0.99573451007974934</v>
      </c>
    </row>
    <row r="68" spans="3:10" x14ac:dyDescent="0.3">
      <c r="C68" s="33" t="s">
        <v>93</v>
      </c>
      <c r="D68" s="33" t="s">
        <v>94</v>
      </c>
      <c r="E68" s="257">
        <f>'BEL Financial Model'!N68</f>
        <v>933.14155251141551</v>
      </c>
      <c r="F68" s="257">
        <f>'BEL Financial Model'!O68</f>
        <v>207.14431372549021</v>
      </c>
      <c r="G68" s="257">
        <f>'BEL Financial Model'!P68</f>
        <v>689.44444444444446</v>
      </c>
      <c r="H68" s="257">
        <f>'BEL Financial Model'!Q68</f>
        <v>462.81789638932497</v>
      </c>
      <c r="I68" s="257">
        <f>'BEL Financial Model'!R68</f>
        <v>627.97821782178221</v>
      </c>
      <c r="J68" s="62" t="s">
        <v>362</v>
      </c>
    </row>
    <row r="69" spans="3:10" x14ac:dyDescent="0.3">
      <c r="C69" s="33" t="s">
        <v>95</v>
      </c>
      <c r="D69" s="33" t="s">
        <v>96</v>
      </c>
      <c r="E69" s="257">
        <f>'BEL Financial Model'!N69</f>
        <v>41.519301097114997</v>
      </c>
      <c r="F69" s="257">
        <f>'BEL Financial Model'!O69</f>
        <v>207.14431372549021</v>
      </c>
      <c r="G69" s="257">
        <f>'BEL Financial Model'!P69</f>
        <v>689.44444444444446</v>
      </c>
      <c r="H69" s="257">
        <f>'BEL Financial Model'!Q69</f>
        <v>331.62542182227224</v>
      </c>
      <c r="I69" s="257">
        <f>'BEL Financial Model'!R69</f>
        <v>54.914112554112556</v>
      </c>
      <c r="J69" s="62" t="s">
        <v>363</v>
      </c>
    </row>
    <row r="70" spans="3:10" x14ac:dyDescent="0.3">
      <c r="C70" s="37" t="s">
        <v>97</v>
      </c>
      <c r="D70" s="38"/>
      <c r="E70" s="258"/>
      <c r="F70" s="258"/>
      <c r="G70" s="258"/>
      <c r="H70" s="258"/>
      <c r="I70" s="258"/>
    </row>
    <row r="71" spans="3:10" x14ac:dyDescent="0.3">
      <c r="C71" s="38" t="s">
        <v>98</v>
      </c>
      <c r="D71" s="38" t="s">
        <v>99</v>
      </c>
      <c r="E71" s="258"/>
      <c r="F71" s="258"/>
      <c r="G71" s="258"/>
      <c r="H71" s="258"/>
      <c r="I71" s="258">
        <f>'BEL Financial Model'!R71</f>
        <v>1.5</v>
      </c>
    </row>
    <row r="72" spans="3:10" x14ac:dyDescent="0.3">
      <c r="C72" s="38" t="s">
        <v>100</v>
      </c>
      <c r="D72" s="38" t="s">
        <v>101</v>
      </c>
      <c r="E72" s="259"/>
      <c r="F72" s="259"/>
      <c r="G72" s="259"/>
      <c r="H72" s="259"/>
      <c r="I72" s="259">
        <f>'BEL Financial Model'!R72</f>
        <v>9.85</v>
      </c>
    </row>
    <row r="73" spans="3:10" x14ac:dyDescent="0.3">
      <c r="C73" s="38" t="s">
        <v>102</v>
      </c>
      <c r="D73" s="38" t="s">
        <v>318</v>
      </c>
      <c r="E73" s="259"/>
      <c r="F73" s="259"/>
      <c r="G73" s="259"/>
      <c r="H73" s="259"/>
      <c r="I73" s="259">
        <f>'BEL Financial Model'!R73</f>
        <v>107.85</v>
      </c>
    </row>
    <row r="74" spans="3:10" x14ac:dyDescent="0.3">
      <c r="C74" s="38" t="s">
        <v>103</v>
      </c>
      <c r="D74" s="38" t="s">
        <v>104</v>
      </c>
      <c r="E74" s="258"/>
      <c r="F74" s="258"/>
      <c r="G74" s="258"/>
      <c r="H74" s="258"/>
      <c r="I74" s="260">
        <f>'BEL Financial Model'!R74</f>
        <v>1.3908205841446454E-2</v>
      </c>
    </row>
    <row r="75" spans="3:10" x14ac:dyDescent="0.3">
      <c r="C75" s="38" t="s">
        <v>105</v>
      </c>
      <c r="D75" s="38" t="s">
        <v>106</v>
      </c>
      <c r="E75" s="261"/>
      <c r="F75" s="261"/>
      <c r="G75" s="261"/>
      <c r="H75" s="261"/>
      <c r="I75" s="261">
        <f>'BEL Financial Model'!R75</f>
        <v>0.84771573604060912</v>
      </c>
      <c r="J75" s="62" t="s">
        <v>364</v>
      </c>
    </row>
    <row r="76" spans="3:10" x14ac:dyDescent="0.3">
      <c r="C76" s="38" t="s">
        <v>107</v>
      </c>
      <c r="D76" s="38" t="s">
        <v>108</v>
      </c>
      <c r="E76" s="260"/>
      <c r="F76" s="260"/>
      <c r="G76" s="260"/>
      <c r="H76" s="260"/>
      <c r="I76" s="260">
        <f>'BEL Financial Model'!R76</f>
        <v>0.15228426395939088</v>
      </c>
    </row>
    <row r="77" spans="3:10" x14ac:dyDescent="0.3">
      <c r="C77" s="43" t="s">
        <v>109</v>
      </c>
      <c r="D77" s="44"/>
      <c r="E77" s="262"/>
      <c r="F77" s="262"/>
      <c r="G77" s="262"/>
      <c r="H77" s="262"/>
      <c r="I77" s="262"/>
    </row>
    <row r="78" spans="3:10" x14ac:dyDescent="0.3">
      <c r="C78" s="44" t="s">
        <v>110</v>
      </c>
      <c r="D78" s="44" t="s">
        <v>111</v>
      </c>
      <c r="E78" s="263">
        <f>'BEL Financial Model'!N78</f>
        <v>1.4454587527712714</v>
      </c>
      <c r="F78" s="263">
        <f>'BEL Financial Model'!O78</f>
        <v>1.5192668979543007</v>
      </c>
      <c r="G78" s="263">
        <f>'BEL Financial Model'!P78</f>
        <v>1.4564353957648697</v>
      </c>
      <c r="H78" s="263">
        <f>'BEL Financial Model'!Q78</f>
        <v>1.4090281677169028</v>
      </c>
      <c r="I78" s="263">
        <f>'BEL Financial Model'!R78</f>
        <v>1.3938845944852776</v>
      </c>
      <c r="J78" s="62" t="s">
        <v>365</v>
      </c>
    </row>
    <row r="79" spans="3:10" x14ac:dyDescent="0.3">
      <c r="C79" s="44" t="s">
        <v>112</v>
      </c>
      <c r="D79" s="44" t="s">
        <v>113</v>
      </c>
      <c r="E79" s="263">
        <f>'BEL Financial Model'!N79</f>
        <v>0.98271858434264536</v>
      </c>
      <c r="F79" s="263">
        <f>'BEL Financial Model'!O79</f>
        <v>1.094015073573394</v>
      </c>
      <c r="G79" s="263">
        <f>'BEL Financial Model'!P79</f>
        <v>1.1487728630811178</v>
      </c>
      <c r="H79" s="263">
        <f>'BEL Financial Model'!Q79</f>
        <v>1.1138342974113984</v>
      </c>
      <c r="I79" s="263">
        <f>'BEL Financial Model'!R79</f>
        <v>1.1083073217765758</v>
      </c>
      <c r="J79" s="62" t="s">
        <v>366</v>
      </c>
    </row>
    <row r="80" spans="3:10" x14ac:dyDescent="0.3">
      <c r="C80" s="47" t="s">
        <v>114</v>
      </c>
      <c r="D80" s="48"/>
      <c r="E80" s="264"/>
      <c r="F80" s="264"/>
      <c r="G80" s="264"/>
      <c r="H80" s="264"/>
      <c r="I80" s="264"/>
    </row>
    <row r="81" spans="3:10" x14ac:dyDescent="0.3">
      <c r="C81" s="48" t="s">
        <v>115</v>
      </c>
      <c r="D81" s="48" t="s">
        <v>116</v>
      </c>
      <c r="E81" s="265">
        <f>'BEL Financial Model'!N81</f>
        <v>32.896987605680046</v>
      </c>
      <c r="F81" s="265">
        <f>'BEL Financial Model'!O81</f>
        <v>37.804727899532132</v>
      </c>
      <c r="G81" s="265">
        <f>'BEL Financial Model'!P81</f>
        <v>41.33435935319708</v>
      </c>
      <c r="H81" s="265">
        <f>'BEL Financial Model'!Q81</f>
        <v>45.389395058688336</v>
      </c>
      <c r="I81" s="265">
        <f>'BEL Financial Model'!R81</f>
        <v>50.422432898300912</v>
      </c>
    </row>
    <row r="82" spans="3:10" x14ac:dyDescent="0.3">
      <c r="C82" s="48" t="s">
        <v>319</v>
      </c>
      <c r="D82" s="48" t="s">
        <v>117</v>
      </c>
      <c r="E82" s="265"/>
      <c r="F82" s="265"/>
      <c r="G82" s="265"/>
      <c r="H82" s="265"/>
      <c r="I82" s="265">
        <f>'BEL Financial Model'!R82</f>
        <v>107.85</v>
      </c>
    </row>
    <row r="83" spans="3:10" x14ac:dyDescent="0.3">
      <c r="C83" s="48" t="s">
        <v>118</v>
      </c>
      <c r="D83" s="48" t="s">
        <v>101</v>
      </c>
      <c r="E83" s="265"/>
      <c r="F83" s="265"/>
      <c r="G83" s="265"/>
      <c r="H83" s="265"/>
      <c r="I83" s="265">
        <f>'BEL Financial Model'!R83</f>
        <v>9.85</v>
      </c>
    </row>
    <row r="84" spans="3:10" x14ac:dyDescent="0.3">
      <c r="C84" s="48" t="s">
        <v>119</v>
      </c>
      <c r="D84" s="48" t="s">
        <v>120</v>
      </c>
      <c r="E84" s="265"/>
      <c r="F84" s="265"/>
      <c r="G84" s="265"/>
      <c r="H84" s="265"/>
      <c r="I84" s="265">
        <f>'BEL Financial Model'!R84</f>
        <v>10.949238578680204</v>
      </c>
      <c r="J84" s="62" t="s">
        <v>367</v>
      </c>
    </row>
    <row r="85" spans="3:10" x14ac:dyDescent="0.3">
      <c r="C85" s="48" t="s">
        <v>121</v>
      </c>
      <c r="D85" s="48" t="s">
        <v>122</v>
      </c>
      <c r="E85" s="265"/>
      <c r="F85" s="265"/>
      <c r="G85" s="265"/>
      <c r="H85" s="265"/>
      <c r="I85" s="265">
        <f>'BEL Financial Model'!R85</f>
        <v>2.1389289211317335</v>
      </c>
      <c r="J85" s="62" t="s">
        <v>368</v>
      </c>
    </row>
    <row r="86" spans="3:10" x14ac:dyDescent="0.3">
      <c r="C86" s="48" t="s">
        <v>123</v>
      </c>
      <c r="D86" s="48" t="s">
        <v>124</v>
      </c>
      <c r="E86" s="266">
        <f>'BEL Financial Model'!N86</f>
        <v>24366</v>
      </c>
      <c r="F86" s="266">
        <f>'BEL Financial Model'!O86</f>
        <v>24366</v>
      </c>
      <c r="G86" s="266">
        <f>'BEL Financial Model'!P86</f>
        <v>24366</v>
      </c>
      <c r="H86" s="266">
        <f>'BEL Financial Model'!Q86</f>
        <v>24366</v>
      </c>
      <c r="I86" s="266">
        <f>'BEL Financial Model'!R86</f>
        <v>24366</v>
      </c>
    </row>
    <row r="87" spans="3:10" x14ac:dyDescent="0.3">
      <c r="C87" s="48" t="s">
        <v>125</v>
      </c>
      <c r="D87" s="48"/>
      <c r="E87" s="265"/>
      <c r="F87" s="265"/>
      <c r="G87" s="265"/>
      <c r="H87" s="265"/>
      <c r="I87" s="265">
        <f>'BEL Financial Model'!R87</f>
        <v>1</v>
      </c>
    </row>
    <row r="88" spans="3:10" x14ac:dyDescent="0.3">
      <c r="C88" s="53" t="s">
        <v>126</v>
      </c>
      <c r="D88" s="53" t="s">
        <v>127</v>
      </c>
      <c r="E88" s="267"/>
      <c r="F88" s="268">
        <f>'BEL Financial Model'!O88</f>
        <v>0.16013203422742239</v>
      </c>
      <c r="G88" s="268">
        <f>'BEL Financial Model'!P88</f>
        <v>6.6054650666671044E-2</v>
      </c>
      <c r="H88" s="268">
        <f>'BEL Financial Model'!Q88</f>
        <v>8.7989592579083231E-2</v>
      </c>
      <c r="I88" s="268">
        <f>'BEL Financial Model'!R88</f>
        <v>8.9270513421161102E-2</v>
      </c>
    </row>
    <row r="89" spans="3:10" x14ac:dyDescent="0.3">
      <c r="C89" s="53" t="s">
        <v>128</v>
      </c>
      <c r="D89" s="53"/>
      <c r="E89" s="267"/>
      <c r="F89" s="268">
        <f>'BEL Financial Model'!O89</f>
        <v>0.16336510601229359</v>
      </c>
      <c r="G89" s="268">
        <f>'BEL Financial Model'!P89</f>
        <v>-5.6363825808468326E-2</v>
      </c>
      <c r="H89" s="268">
        <f>'BEL Financial Model'!Q89</f>
        <v>0.22926897305213489</v>
      </c>
      <c r="I89" s="268">
        <f>'BEL Financial Model'!R89</f>
        <v>6.4621508670410943E-2</v>
      </c>
      <c r="J89" s="62" t="s">
        <v>369</v>
      </c>
    </row>
    <row r="90" spans="3:10" x14ac:dyDescent="0.3">
      <c r="C90" s="53" t="s">
        <v>129</v>
      </c>
      <c r="D90" s="53" t="s">
        <v>130</v>
      </c>
      <c r="E90" s="267"/>
      <c r="F90" s="268"/>
      <c r="G90" s="269"/>
      <c r="H90" s="269"/>
      <c r="I90" s="268">
        <f>'BEL Financial Model'!R90</f>
        <v>0.10030185245009759</v>
      </c>
      <c r="J90" s="62" t="s">
        <v>370</v>
      </c>
    </row>
    <row r="91" spans="3:10" x14ac:dyDescent="0.3">
      <c r="C91" s="37" t="s">
        <v>327</v>
      </c>
      <c r="D91" s="38"/>
      <c r="E91" s="270"/>
      <c r="F91" s="270"/>
      <c r="G91" s="270"/>
      <c r="H91" s="270"/>
      <c r="I91" s="270"/>
    </row>
    <row r="92" spans="3:10" x14ac:dyDescent="0.3">
      <c r="C92" s="38" t="s">
        <v>328</v>
      </c>
      <c r="D92" s="38"/>
      <c r="E92" s="270">
        <f>'BEL Financial Model'!N92</f>
        <v>-68659</v>
      </c>
      <c r="F92" s="270">
        <f>'BEL Financial Model'!O92</f>
        <v>151388</v>
      </c>
      <c r="G92" s="270">
        <f>'BEL Financial Model'!P92</f>
        <v>257041</v>
      </c>
      <c r="H92" s="270">
        <f>'BEL Financial Model'!Q92</f>
        <v>509322</v>
      </c>
      <c r="I92" s="270">
        <f>'BEL Financial Model'!R92</f>
        <v>420722</v>
      </c>
    </row>
    <row r="93" spans="3:10" x14ac:dyDescent="0.3">
      <c r="C93" s="38" t="s">
        <v>329</v>
      </c>
      <c r="D93" s="38"/>
      <c r="E93" s="270">
        <f>'BEL Financial Model'!N93</f>
        <v>-641</v>
      </c>
      <c r="F93" s="270">
        <f>'BEL Financial Model'!O93</f>
        <v>-89594</v>
      </c>
      <c r="G93" s="270">
        <f>'BEL Financial Model'!P93</f>
        <v>-64896</v>
      </c>
      <c r="H93" s="270">
        <f>'BEL Financial Model'!Q93</f>
        <v>-259522</v>
      </c>
      <c r="I93" s="270">
        <f>'BEL Financial Model'!R93</f>
        <v>-487166</v>
      </c>
    </row>
    <row r="94" spans="3:10" x14ac:dyDescent="0.3">
      <c r="C94" s="38" t="s">
        <v>330</v>
      </c>
      <c r="D94" s="38"/>
      <c r="E94" s="270">
        <f>'BEL Financial Model'!N94</f>
        <v>-120238</v>
      </c>
      <c r="F94" s="270">
        <f>'BEL Financial Model'!O94</f>
        <v>-66267</v>
      </c>
      <c r="G94" s="270">
        <f>'BEL Financial Model'!P94</f>
        <v>-106052</v>
      </c>
      <c r="H94" s="270">
        <f>'BEL Financial Model'!Q94</f>
        <v>-107573</v>
      </c>
      <c r="I94" s="270">
        <f>'BEL Financial Model'!R94</f>
        <v>-107760</v>
      </c>
    </row>
    <row r="95" spans="3:10" x14ac:dyDescent="0.3">
      <c r="C95" s="38" t="s">
        <v>331</v>
      </c>
      <c r="D95" s="38"/>
      <c r="E95" s="261">
        <f>'BEL Financial Model'!N95</f>
        <v>9.3359938245532268E-3</v>
      </c>
      <c r="F95" s="261">
        <f>'BEL Financial Model'!O95</f>
        <v>-0.59181705287076913</v>
      </c>
      <c r="G95" s="261">
        <f>'BEL Financial Model'!P95</f>
        <v>-0.252473340828895</v>
      </c>
      <c r="H95" s="261">
        <f>'BEL Financial Model'!Q95</f>
        <v>-0.50954406053537837</v>
      </c>
      <c r="I95" s="261">
        <f>'BEL Financial Model'!R95</f>
        <v>-1.15792851336512</v>
      </c>
    </row>
    <row r="96" spans="3:10" x14ac:dyDescent="0.3">
      <c r="C96" s="38" t="s">
        <v>332</v>
      </c>
      <c r="D96" s="38"/>
      <c r="E96" s="260">
        <f>'BEL Financial Model'!N96</f>
        <v>1.7512343611179888</v>
      </c>
      <c r="F96" s="260">
        <f>'BEL Financial Model'!O96</f>
        <v>-0.43772954263217695</v>
      </c>
      <c r="G96" s="260">
        <f>'BEL Financial Model'!P96</f>
        <v>-0.41258787508607575</v>
      </c>
      <c r="H96" s="260">
        <f>'BEL Financial Model'!Q96</f>
        <v>-0.21120823369106381</v>
      </c>
      <c r="I96" s="260">
        <f>'BEL Financial Model'!R96</f>
        <v>-0.25613112696745122</v>
      </c>
    </row>
  </sheetData>
  <mergeCells count="4">
    <mergeCell ref="J4:J6"/>
    <mergeCell ref="J11:J13"/>
    <mergeCell ref="J23:K24"/>
    <mergeCell ref="J26:J2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E9F0C-C955-470D-A78F-2F15AF01517B}">
  <dimension ref="B1:K42"/>
  <sheetViews>
    <sheetView workbookViewId="0">
      <selection activeCell="L7" sqref="L7"/>
    </sheetView>
  </sheetViews>
  <sheetFormatPr defaultRowHeight="30.6" customHeight="1" x14ac:dyDescent="0.3"/>
  <cols>
    <col min="2" max="2" width="27.109375" style="334" customWidth="1"/>
    <col min="3" max="3" width="12.88671875" customWidth="1"/>
    <col min="4" max="4" width="11.33203125" customWidth="1"/>
    <col min="5" max="5" width="11" customWidth="1"/>
    <col min="6" max="6" width="13.44140625" customWidth="1"/>
    <col min="7" max="7" width="10.88671875" customWidth="1"/>
    <col min="8" max="8" width="17.5546875" style="334" customWidth="1"/>
    <col min="9" max="9" width="9" style="345" hidden="1" customWidth="1"/>
    <col min="10" max="10" width="16.33203125" style="334" customWidth="1"/>
    <col min="11" max="11" width="9.77734375" style="347" hidden="1" customWidth="1"/>
    <col min="12" max="12" width="18.109375" bestFit="1" customWidth="1"/>
    <col min="13" max="13" width="13.109375" bestFit="1" customWidth="1"/>
    <col min="14" max="14" width="9.5546875" bestFit="1" customWidth="1"/>
    <col min="15" max="15" width="13.109375" bestFit="1" customWidth="1"/>
    <col min="16" max="16" width="29" bestFit="1" customWidth="1"/>
    <col min="17" max="17" width="37.33203125" bestFit="1" customWidth="1"/>
    <col min="18" max="18" width="24.77734375" bestFit="1" customWidth="1"/>
    <col min="19" max="19" width="18.77734375" bestFit="1" customWidth="1"/>
    <col min="20" max="20" width="26.88671875" bestFit="1" customWidth="1"/>
    <col min="21" max="21" width="26" bestFit="1" customWidth="1"/>
    <col min="22" max="22" width="14.109375" bestFit="1" customWidth="1"/>
    <col min="23" max="23" width="25.21875" bestFit="1" customWidth="1"/>
    <col min="24" max="24" width="38.44140625" bestFit="1" customWidth="1"/>
    <col min="25" max="25" width="25.44140625" bestFit="1" customWidth="1"/>
    <col min="26" max="26" width="34.44140625" bestFit="1" customWidth="1"/>
    <col min="27" max="27" width="15.21875" bestFit="1" customWidth="1"/>
    <col min="28" max="28" width="15.5546875" bestFit="1" customWidth="1"/>
    <col min="29" max="29" width="31.6640625" bestFit="1" customWidth="1"/>
    <col min="30" max="30" width="34" bestFit="1" customWidth="1"/>
    <col min="31" max="31" width="20.44140625" bestFit="1" customWidth="1"/>
    <col min="32" max="32" width="20.77734375" bestFit="1" customWidth="1"/>
    <col min="33" max="33" width="17.33203125" bestFit="1" customWidth="1"/>
    <col min="34" max="34" width="14" bestFit="1" customWidth="1"/>
    <col min="35" max="35" width="28.6640625" bestFit="1" customWidth="1"/>
    <col min="36" max="36" width="11.88671875" bestFit="1" customWidth="1"/>
    <col min="37" max="37" width="24" bestFit="1" customWidth="1"/>
    <col min="38" max="38" width="20.77734375" bestFit="1" customWidth="1"/>
    <col min="39" max="39" width="26.5546875" bestFit="1" customWidth="1"/>
    <col min="42" max="42" width="33.33203125" bestFit="1" customWidth="1"/>
  </cols>
  <sheetData>
    <row r="1" spans="2:11" ht="30.6" customHeight="1" x14ac:dyDescent="0.65">
      <c r="B1" s="318" t="s">
        <v>334</v>
      </c>
      <c r="C1" s="318"/>
      <c r="D1" s="318"/>
      <c r="E1" s="318"/>
      <c r="F1" s="318"/>
      <c r="G1" s="318"/>
      <c r="H1" s="318"/>
      <c r="I1" s="318"/>
      <c r="J1" s="318"/>
    </row>
    <row r="2" spans="2:11" s="229" customFormat="1" ht="46.8" x14ac:dyDescent="0.3">
      <c r="B2" s="275" t="s">
        <v>333</v>
      </c>
      <c r="C2" s="275" t="s">
        <v>335</v>
      </c>
      <c r="D2" s="275" t="s">
        <v>374</v>
      </c>
      <c r="E2" s="275" t="s">
        <v>324</v>
      </c>
      <c r="F2" s="275" t="s">
        <v>325</v>
      </c>
      <c r="G2" s="275" t="s">
        <v>326</v>
      </c>
      <c r="H2" s="275" t="s">
        <v>375</v>
      </c>
      <c r="I2" s="340"/>
      <c r="J2" s="346" t="s">
        <v>376</v>
      </c>
      <c r="K2" s="340"/>
    </row>
    <row r="3" spans="2:11" ht="30.6" customHeight="1" x14ac:dyDescent="0.3">
      <c r="B3" s="330" t="s">
        <v>18</v>
      </c>
      <c r="C3" s="276">
        <v>9.3519190765831789E-2</v>
      </c>
      <c r="D3" s="276">
        <v>3.7199999999999997E-2</v>
      </c>
      <c r="E3" s="276">
        <v>0.1089</v>
      </c>
      <c r="F3" s="276">
        <v>3.0538941897227424E-2</v>
      </c>
      <c r="G3" s="276">
        <v>5.8299999999999998E-2</v>
      </c>
      <c r="H3" s="335" t="str">
        <f>IF(I3=C3,$C$2,IF(I3=D3,$D$2,IF(I3=E3,$E$2,IF(I3=F3,$F$2,IF(I3=G3,$G$2,"NA")))))</f>
        <v>One Point One</v>
      </c>
      <c r="I3" s="341">
        <f>MAX(C3:G3)</f>
        <v>0.1089</v>
      </c>
      <c r="J3" s="335" t="str">
        <f>IF(K3=C3,$C$2,IF(K3=D3,$D$2,IF(K3=E3,$E$2,IF(K3=F3,$F$2,IF(K3=G3,$G$2,"NA")))))</f>
        <v>Sterlite Technologies</v>
      </c>
      <c r="K3" s="348">
        <f>MIN(C3:G3)</f>
        <v>3.0538941897227424E-2</v>
      </c>
    </row>
    <row r="4" spans="2:11" ht="30.6" customHeight="1" x14ac:dyDescent="0.3">
      <c r="B4" s="331" t="s">
        <v>20</v>
      </c>
      <c r="C4" s="230">
        <v>6.6513805416298061E-2</v>
      </c>
      <c r="D4" s="230">
        <v>3.27E-2</v>
      </c>
      <c r="E4" s="230">
        <v>0.1086</v>
      </c>
      <c r="F4" s="230">
        <v>-8.1709580977952945E-2</v>
      </c>
      <c r="G4" s="230">
        <v>5.0099999999999999E-2</v>
      </c>
      <c r="H4" s="336" t="str">
        <f t="shared" ref="H4:H42" si="0">IF(I4=C4,$C$2,IF(I4=D4,$D$2,IF(I4=E4,$E$2,IF(I4=F4,$F$2,IF(I4=G4,$G$2,"NA")))))</f>
        <v>One Point One</v>
      </c>
      <c r="I4" s="341">
        <f t="shared" ref="I4:I42" si="1">MAX(C4:G4)</f>
        <v>0.1086</v>
      </c>
      <c r="J4" s="336" t="str">
        <f t="shared" ref="J4:J42" si="2">IF(K4=C4,$C$2,IF(K4=D4,$D$2,IF(K4=E4,$E$2,IF(K4=F4,$F$2,IF(K4=G4,$G$2,"NA")))))</f>
        <v>Sterlite Technologies</v>
      </c>
      <c r="K4" s="348">
        <f t="shared" ref="K4:K42" si="3">MIN(C4:G4)</f>
        <v>-8.1709580977952945E-2</v>
      </c>
    </row>
    <row r="5" spans="2:11" ht="30.6" customHeight="1" x14ac:dyDescent="0.3">
      <c r="B5" s="330" t="s">
        <v>22</v>
      </c>
      <c r="C5" s="276">
        <v>0.18304995744687769</v>
      </c>
      <c r="D5" s="276">
        <v>2.4400000000000002E-2</v>
      </c>
      <c r="E5" s="276">
        <v>0.115</v>
      </c>
      <c r="F5" s="276">
        <v>-3.573771776065135E-2</v>
      </c>
      <c r="G5" s="276">
        <v>7.7499999999999999E-2</v>
      </c>
      <c r="H5" s="335" t="str">
        <f t="shared" si="0"/>
        <v>Bharat Electronics Limited</v>
      </c>
      <c r="I5" s="341">
        <f t="shared" si="1"/>
        <v>0.18304995744687769</v>
      </c>
      <c r="J5" s="335" t="str">
        <f t="shared" si="2"/>
        <v>Sterlite Technologies</v>
      </c>
      <c r="K5" s="348">
        <f t="shared" si="3"/>
        <v>-3.573771776065135E-2</v>
      </c>
    </row>
    <row r="6" spans="2:11" ht="30.6" customHeight="1" x14ac:dyDescent="0.3">
      <c r="B6" s="331" t="s">
        <v>24</v>
      </c>
      <c r="C6" s="230">
        <v>0.22131136100670362</v>
      </c>
      <c r="D6" s="230">
        <v>0.1023</v>
      </c>
      <c r="E6" s="230">
        <v>0.14929999999999999</v>
      </c>
      <c r="F6" s="230">
        <v>6.8776498781312229E-2</v>
      </c>
      <c r="G6" s="230">
        <v>8.43E-2</v>
      </c>
      <c r="H6" s="336" t="str">
        <f t="shared" si="0"/>
        <v>Bharat Electronics Limited</v>
      </c>
      <c r="I6" s="341">
        <f t="shared" si="1"/>
        <v>0.22131136100670362</v>
      </c>
      <c r="J6" s="336" t="str">
        <f t="shared" si="2"/>
        <v>Sterlite Technologies</v>
      </c>
      <c r="K6" s="348">
        <f t="shared" si="3"/>
        <v>6.8776498781312229E-2</v>
      </c>
    </row>
    <row r="7" spans="2:11" ht="30.6" customHeight="1" x14ac:dyDescent="0.3">
      <c r="B7" s="330" t="s">
        <v>26</v>
      </c>
      <c r="C7" s="276">
        <v>0.15740363749805011</v>
      </c>
      <c r="D7" s="276">
        <v>1.2699999999999999E-2</v>
      </c>
      <c r="E7" s="276">
        <v>0.14879999999999999</v>
      </c>
      <c r="F7" s="276">
        <v>-0.18401747236245655</v>
      </c>
      <c r="G7" s="276">
        <v>6.9000000000000006E-2</v>
      </c>
      <c r="H7" s="335" t="str">
        <f t="shared" si="0"/>
        <v>Bharat Electronics Limited</v>
      </c>
      <c r="I7" s="341">
        <f t="shared" si="1"/>
        <v>0.15740363749805011</v>
      </c>
      <c r="J7" s="335" t="str">
        <f t="shared" si="2"/>
        <v>Sterlite Technologies</v>
      </c>
      <c r="K7" s="348">
        <f t="shared" si="3"/>
        <v>-0.18401747236245655</v>
      </c>
    </row>
    <row r="8" spans="2:11" ht="30.6" customHeight="1" x14ac:dyDescent="0.3">
      <c r="B8" s="331" t="s">
        <v>29</v>
      </c>
      <c r="C8" s="230">
        <v>0.22900539240447906</v>
      </c>
      <c r="D8" s="230">
        <v>0.1024</v>
      </c>
      <c r="E8" s="230">
        <v>0.25380000000000003</v>
      </c>
      <c r="F8" s="230">
        <v>0.10219864524097037</v>
      </c>
      <c r="G8" s="230">
        <v>7.6499999999999999E-2</v>
      </c>
      <c r="H8" s="336" t="str">
        <f t="shared" si="0"/>
        <v>One Point One</v>
      </c>
      <c r="I8" s="341">
        <f t="shared" si="1"/>
        <v>0.25380000000000003</v>
      </c>
      <c r="J8" s="336" t="str">
        <f t="shared" si="2"/>
        <v>Whirlpool</v>
      </c>
      <c r="K8" s="348">
        <f t="shared" si="3"/>
        <v>7.6499999999999999E-2</v>
      </c>
    </row>
    <row r="9" spans="2:11" ht="30.6" customHeight="1" x14ac:dyDescent="0.3">
      <c r="B9" s="330" t="s">
        <v>31</v>
      </c>
      <c r="C9" s="276">
        <v>0.20329146933406497</v>
      </c>
      <c r="D9" s="276">
        <v>4.5400000000000003E-2</v>
      </c>
      <c r="E9" s="276">
        <v>9.3799999999999994E-2</v>
      </c>
      <c r="F9" s="276">
        <v>4.6207328358773864E-2</v>
      </c>
      <c r="G9" s="276">
        <v>5.2999999999999999E-2</v>
      </c>
      <c r="H9" s="335" t="str">
        <f t="shared" si="0"/>
        <v>Bharat Electronics Limited</v>
      </c>
      <c r="I9" s="341">
        <f t="shared" si="1"/>
        <v>0.20329146933406497</v>
      </c>
      <c r="J9" s="335" t="str">
        <f t="shared" si="2"/>
        <v>Centum Electronics</v>
      </c>
      <c r="K9" s="348">
        <f t="shared" si="3"/>
        <v>4.5400000000000003E-2</v>
      </c>
    </row>
    <row r="10" spans="2:11" ht="30.6" customHeight="1" x14ac:dyDescent="0.3">
      <c r="B10" s="331" t="s">
        <v>33</v>
      </c>
      <c r="C10" s="230">
        <v>0.20296774557492059</v>
      </c>
      <c r="D10" s="230">
        <v>1.06E-2</v>
      </c>
      <c r="E10" s="230">
        <v>3.8800000000000001E-2</v>
      </c>
      <c r="F10" s="230">
        <v>4.6924614437232424E-3</v>
      </c>
      <c r="G10" s="230">
        <v>5.04E-2</v>
      </c>
      <c r="H10" s="336" t="str">
        <f t="shared" si="0"/>
        <v>Bharat Electronics Limited</v>
      </c>
      <c r="I10" s="341">
        <f t="shared" si="1"/>
        <v>0.20296774557492059</v>
      </c>
      <c r="J10" s="336" t="str">
        <f t="shared" si="2"/>
        <v>Sterlite Technologies</v>
      </c>
      <c r="K10" s="348">
        <f t="shared" si="3"/>
        <v>4.6924614437232424E-3</v>
      </c>
    </row>
    <row r="11" spans="2:11" ht="30.6" customHeight="1" x14ac:dyDescent="0.3">
      <c r="B11" s="330" t="s">
        <v>35</v>
      </c>
      <c r="C11" s="276">
        <v>0.14435707820396776</v>
      </c>
      <c r="D11" s="276">
        <v>6.4000000000000003E-3</v>
      </c>
      <c r="E11" s="276">
        <v>3.8699999999999998E-2</v>
      </c>
      <c r="F11" s="276">
        <v>-1.2555086538759098E-2</v>
      </c>
      <c r="G11" s="276">
        <v>4.3400000000000001E-2</v>
      </c>
      <c r="H11" s="335" t="str">
        <f t="shared" si="0"/>
        <v>Bharat Electronics Limited</v>
      </c>
      <c r="I11" s="341">
        <f t="shared" si="1"/>
        <v>0.14435707820396776</v>
      </c>
      <c r="J11" s="335" t="str">
        <f t="shared" si="2"/>
        <v>Sterlite Technologies</v>
      </c>
      <c r="K11" s="348">
        <f t="shared" si="3"/>
        <v>-1.2555086538759098E-2</v>
      </c>
    </row>
    <row r="12" spans="2:11" s="280" customFormat="1" ht="30.6" customHeight="1" x14ac:dyDescent="0.3">
      <c r="B12" s="332" t="s">
        <v>37</v>
      </c>
      <c r="C12" s="279">
        <v>0.4600251602892077</v>
      </c>
      <c r="D12" s="279">
        <v>0.82</v>
      </c>
      <c r="E12" s="279">
        <v>1.1599999999999999</v>
      </c>
      <c r="F12" s="279">
        <v>0.6609112230014631</v>
      </c>
      <c r="G12" s="279">
        <v>1.1000000000000001</v>
      </c>
      <c r="H12" s="337" t="str">
        <f t="shared" si="0"/>
        <v>One Point One</v>
      </c>
      <c r="I12" s="342">
        <f t="shared" si="1"/>
        <v>1.1599999999999999</v>
      </c>
      <c r="J12" s="337" t="str">
        <f t="shared" si="2"/>
        <v>Bharat Electronics Limited</v>
      </c>
      <c r="K12" s="349">
        <f t="shared" si="3"/>
        <v>0.4600251602892077</v>
      </c>
    </row>
    <row r="13" spans="2:11" s="280" customFormat="1" ht="30.6" customHeight="1" x14ac:dyDescent="0.3">
      <c r="B13" s="333" t="s">
        <v>46</v>
      </c>
      <c r="C13" s="281">
        <v>2.7564490130683201</v>
      </c>
      <c r="D13" s="281">
        <v>4.6399999999999997</v>
      </c>
      <c r="E13" s="281">
        <v>2.56</v>
      </c>
      <c r="F13" s="281">
        <v>4.3068919593807218</v>
      </c>
      <c r="G13" s="281">
        <v>1.62</v>
      </c>
      <c r="H13" s="338" t="str">
        <f t="shared" si="0"/>
        <v>Centum Electronics</v>
      </c>
      <c r="I13" s="342">
        <f t="shared" si="1"/>
        <v>4.6399999999999997</v>
      </c>
      <c r="J13" s="338" t="str">
        <f t="shared" si="2"/>
        <v>Whirlpool</v>
      </c>
      <c r="K13" s="349">
        <f t="shared" si="3"/>
        <v>1.62</v>
      </c>
    </row>
    <row r="14" spans="2:11" ht="30.6" customHeight="1" x14ac:dyDescent="0.3">
      <c r="B14" s="331" t="s">
        <v>50</v>
      </c>
      <c r="C14" s="230">
        <v>0.74361387639597754</v>
      </c>
      <c r="D14" s="230">
        <v>0.60340000000000005</v>
      </c>
      <c r="E14" s="230">
        <v>0.63460000000000005</v>
      </c>
      <c r="F14" s="230">
        <v>0.45967741935485185</v>
      </c>
      <c r="G14" s="230">
        <v>0.8599</v>
      </c>
      <c r="H14" s="336" t="str">
        <f t="shared" si="0"/>
        <v>Whirlpool</v>
      </c>
      <c r="I14" s="341">
        <f t="shared" si="1"/>
        <v>0.8599</v>
      </c>
      <c r="J14" s="336" t="str">
        <f t="shared" si="2"/>
        <v>Sterlite Technologies</v>
      </c>
      <c r="K14" s="348">
        <f t="shared" si="3"/>
        <v>0.45967741935485185</v>
      </c>
    </row>
    <row r="15" spans="2:11" ht="30.6" customHeight="1" x14ac:dyDescent="0.3">
      <c r="B15" s="330" t="s">
        <v>52</v>
      </c>
      <c r="C15" s="276">
        <v>0.99840758807929897</v>
      </c>
      <c r="D15" s="276">
        <v>0.23330000000000001</v>
      </c>
      <c r="E15" s="276">
        <v>0.41349999999999998</v>
      </c>
      <c r="F15" s="276">
        <v>0.10155232103637163</v>
      </c>
      <c r="G15" s="276">
        <v>0.95209999999999995</v>
      </c>
      <c r="H15" s="335" t="str">
        <f t="shared" si="0"/>
        <v>Bharat Electronics Limited</v>
      </c>
      <c r="I15" s="341">
        <f t="shared" si="1"/>
        <v>0.99840758807929897</v>
      </c>
      <c r="J15" s="335" t="str">
        <f t="shared" si="2"/>
        <v>Sterlite Technologies</v>
      </c>
      <c r="K15" s="348">
        <f t="shared" si="3"/>
        <v>0.10155232103637163</v>
      </c>
    </row>
    <row r="16" spans="2:11" s="280" customFormat="1" ht="30.6" customHeight="1" x14ac:dyDescent="0.3">
      <c r="B16" s="332" t="s">
        <v>60</v>
      </c>
      <c r="C16" s="279">
        <v>2.3575678530785704</v>
      </c>
      <c r="D16" s="279">
        <v>2.3220000000000001E-2</v>
      </c>
      <c r="E16" s="279">
        <v>1.76</v>
      </c>
      <c r="F16" s="279">
        <v>1.5278148619243344</v>
      </c>
      <c r="G16" s="279">
        <v>2.98</v>
      </c>
      <c r="H16" s="337" t="str">
        <f t="shared" si="0"/>
        <v>Whirlpool</v>
      </c>
      <c r="I16" s="342">
        <f t="shared" si="1"/>
        <v>2.98</v>
      </c>
      <c r="J16" s="337" t="str">
        <f t="shared" si="2"/>
        <v>Centum Electronics</v>
      </c>
      <c r="K16" s="349">
        <f t="shared" si="3"/>
        <v>2.3220000000000001E-2</v>
      </c>
    </row>
    <row r="17" spans="2:11" s="280" customFormat="1" ht="30.6" customHeight="1" x14ac:dyDescent="0.3">
      <c r="B17" s="333" t="s">
        <v>62</v>
      </c>
      <c r="C17" s="281">
        <v>6.1243180559263877</v>
      </c>
      <c r="D17" s="281">
        <v>3.88</v>
      </c>
      <c r="E17" s="281">
        <v>6.28</v>
      </c>
      <c r="F17" s="281">
        <v>2.0131545342910022</v>
      </c>
      <c r="G17" s="281">
        <v>7.85</v>
      </c>
      <c r="H17" s="338" t="str">
        <f t="shared" si="0"/>
        <v>Whirlpool</v>
      </c>
      <c r="I17" s="342">
        <f t="shared" si="1"/>
        <v>7.85</v>
      </c>
      <c r="J17" s="338" t="str">
        <f t="shared" si="2"/>
        <v>Sterlite Technologies</v>
      </c>
      <c r="K17" s="349">
        <f t="shared" si="3"/>
        <v>2.0131545342910022</v>
      </c>
    </row>
    <row r="18" spans="2:11" s="280" customFormat="1" ht="30.6" customHeight="1" x14ac:dyDescent="0.3">
      <c r="B18" s="332" t="s">
        <v>64</v>
      </c>
      <c r="C18" s="279">
        <v>0.57155000181360471</v>
      </c>
      <c r="D18" s="279">
        <v>1.26</v>
      </c>
      <c r="E18" s="279">
        <v>3.4</v>
      </c>
      <c r="F18" s="279">
        <v>1.1647776564519199</v>
      </c>
      <c r="G18" s="279">
        <v>1.74</v>
      </c>
      <c r="H18" s="337" t="str">
        <f t="shared" si="0"/>
        <v>One Point One</v>
      </c>
      <c r="I18" s="342">
        <f t="shared" si="1"/>
        <v>3.4</v>
      </c>
      <c r="J18" s="337" t="str">
        <f t="shared" si="2"/>
        <v>Bharat Electronics Limited</v>
      </c>
      <c r="K18" s="349">
        <f t="shared" si="3"/>
        <v>0.57155000181360471</v>
      </c>
    </row>
    <row r="19" spans="2:11" s="280" customFormat="1" ht="30.6" customHeight="1" x14ac:dyDescent="0.3">
      <c r="B19" s="333" t="s">
        <v>66</v>
      </c>
      <c r="C19" s="281">
        <v>1.2680358990657821</v>
      </c>
      <c r="D19" s="281">
        <v>3.71</v>
      </c>
      <c r="E19" s="281">
        <v>2.97</v>
      </c>
      <c r="F19" s="281">
        <v>2.846473232209481</v>
      </c>
      <c r="G19" s="281">
        <v>1.79</v>
      </c>
      <c r="H19" s="338" t="str">
        <f t="shared" si="0"/>
        <v>Centum Electronics</v>
      </c>
      <c r="I19" s="342">
        <f t="shared" si="1"/>
        <v>3.71</v>
      </c>
      <c r="J19" s="338" t="str">
        <f t="shared" si="2"/>
        <v>Bharat Electronics Limited</v>
      </c>
      <c r="K19" s="349">
        <f t="shared" si="3"/>
        <v>1.2680358990657821</v>
      </c>
    </row>
    <row r="20" spans="2:11" s="280" customFormat="1" ht="30.6" customHeight="1" x14ac:dyDescent="0.3">
      <c r="B20" s="332" t="s">
        <v>68</v>
      </c>
      <c r="C20" s="279">
        <v>2.0226095502595078</v>
      </c>
      <c r="D20" s="279">
        <v>1.64</v>
      </c>
      <c r="E20" s="279">
        <v>16.34</v>
      </c>
      <c r="F20" s="279">
        <v>57.743146603098758</v>
      </c>
      <c r="G20" s="279">
        <v>3.41</v>
      </c>
      <c r="H20" s="337" t="str">
        <f t="shared" si="0"/>
        <v>Sterlite Technologies</v>
      </c>
      <c r="I20" s="342">
        <f t="shared" si="1"/>
        <v>57.743146603098758</v>
      </c>
      <c r="J20" s="337" t="str">
        <f t="shared" si="2"/>
        <v>Centum Electronics</v>
      </c>
      <c r="K20" s="349">
        <f t="shared" si="3"/>
        <v>1.64</v>
      </c>
    </row>
    <row r="21" spans="2:11" s="280" customFormat="1" ht="30.6" customHeight="1" x14ac:dyDescent="0.3">
      <c r="B21" s="333" t="s">
        <v>70</v>
      </c>
      <c r="C21" s="281">
        <v>2.7482930667572738</v>
      </c>
      <c r="D21" s="281">
        <v>3.36</v>
      </c>
      <c r="E21" s="281">
        <v>0</v>
      </c>
      <c r="F21" s="281">
        <v>6.2534749013769204</v>
      </c>
      <c r="G21" s="281">
        <v>4.7699999999999996</v>
      </c>
      <c r="H21" s="338" t="str">
        <f t="shared" si="0"/>
        <v>Sterlite Technologies</v>
      </c>
      <c r="I21" s="342">
        <f t="shared" si="1"/>
        <v>6.2534749013769204</v>
      </c>
      <c r="J21" s="338" t="str">
        <f t="shared" si="2"/>
        <v>One Point One</v>
      </c>
      <c r="K21" s="349">
        <f t="shared" si="3"/>
        <v>0</v>
      </c>
    </row>
    <row r="22" spans="2:11" s="280" customFormat="1" ht="30.6" customHeight="1" x14ac:dyDescent="0.3">
      <c r="B22" s="332" t="s">
        <v>72</v>
      </c>
      <c r="C22" s="232">
        <v>132.80970811117518</v>
      </c>
      <c r="D22" s="232">
        <v>108.34</v>
      </c>
      <c r="E22" s="232">
        <v>0</v>
      </c>
      <c r="F22" s="232">
        <v>58.367548564020389</v>
      </c>
      <c r="G22" s="232">
        <v>76.47</v>
      </c>
      <c r="H22" s="332" t="str">
        <f t="shared" si="0"/>
        <v>Bharat Electronics Limited</v>
      </c>
      <c r="I22" s="343">
        <f t="shared" si="1"/>
        <v>132.80970811117518</v>
      </c>
      <c r="J22" s="332" t="str">
        <f t="shared" si="2"/>
        <v>One Point One</v>
      </c>
      <c r="K22" s="350">
        <f t="shared" si="3"/>
        <v>0</v>
      </c>
    </row>
    <row r="23" spans="2:11" s="280" customFormat="1" ht="30.6" customHeight="1" x14ac:dyDescent="0.3">
      <c r="B23" s="333" t="s">
        <v>74</v>
      </c>
      <c r="C23" s="281">
        <v>2.5160369280740786</v>
      </c>
      <c r="D23" s="281">
        <v>3.8</v>
      </c>
      <c r="E23" s="281">
        <v>5.2</v>
      </c>
      <c r="F23" s="281">
        <v>3.3720450523305558</v>
      </c>
      <c r="G23" s="281">
        <v>14.56</v>
      </c>
      <c r="H23" s="338" t="str">
        <f t="shared" si="0"/>
        <v>Whirlpool</v>
      </c>
      <c r="I23" s="342">
        <f t="shared" si="1"/>
        <v>14.56</v>
      </c>
      <c r="J23" s="338" t="str">
        <f t="shared" si="2"/>
        <v>Bharat Electronics Limited</v>
      </c>
      <c r="K23" s="349">
        <f t="shared" si="3"/>
        <v>2.5160369280740786</v>
      </c>
    </row>
    <row r="24" spans="2:11" s="280" customFormat="1" ht="30.6" customHeight="1" x14ac:dyDescent="0.3">
      <c r="B24" s="332" t="s">
        <v>76</v>
      </c>
      <c r="C24" s="279">
        <v>145.06941290380516</v>
      </c>
      <c r="D24" s="279">
        <v>96.03</v>
      </c>
      <c r="E24" s="279">
        <v>70.25</v>
      </c>
      <c r="F24" s="279">
        <v>108.24291915902305</v>
      </c>
      <c r="G24" s="279">
        <v>25.06</v>
      </c>
      <c r="H24" s="337" t="str">
        <f t="shared" si="0"/>
        <v>Bharat Electronics Limited</v>
      </c>
      <c r="I24" s="342">
        <f t="shared" si="1"/>
        <v>145.06941290380516</v>
      </c>
      <c r="J24" s="337" t="str">
        <f t="shared" si="2"/>
        <v>Whirlpool</v>
      </c>
      <c r="K24" s="349">
        <f t="shared" si="3"/>
        <v>25.06</v>
      </c>
    </row>
    <row r="25" spans="2:11" s="280" customFormat="1" ht="30.6" customHeight="1" x14ac:dyDescent="0.3">
      <c r="B25" s="333" t="s">
        <v>78</v>
      </c>
      <c r="C25" s="281">
        <v>2.6406553290000891</v>
      </c>
      <c r="D25" s="281">
        <v>6.63</v>
      </c>
      <c r="E25" s="281">
        <v>0</v>
      </c>
      <c r="F25" s="281">
        <v>1.1837171535184317</v>
      </c>
      <c r="G25" s="281">
        <v>101.78</v>
      </c>
      <c r="H25" s="338" t="str">
        <f t="shared" si="0"/>
        <v>Whirlpool</v>
      </c>
      <c r="I25" s="342">
        <f t="shared" si="1"/>
        <v>101.78</v>
      </c>
      <c r="J25" s="338" t="str">
        <f t="shared" si="2"/>
        <v>One Point One</v>
      </c>
      <c r="K25" s="349">
        <f t="shared" si="3"/>
        <v>0</v>
      </c>
    </row>
    <row r="26" spans="2:11" s="280" customFormat="1" ht="30.6" customHeight="1" x14ac:dyDescent="0.3">
      <c r="B26" s="332" t="s">
        <v>80</v>
      </c>
      <c r="C26" s="279">
        <v>138.22326450238052</v>
      </c>
      <c r="D26" s="279">
        <v>54.97</v>
      </c>
      <c r="E26" s="279">
        <v>0</v>
      </c>
      <c r="F26" s="279">
        <v>308.35068911106777</v>
      </c>
      <c r="G26" s="279">
        <v>2.83</v>
      </c>
      <c r="H26" s="337" t="str">
        <f t="shared" si="0"/>
        <v>Sterlite Technologies</v>
      </c>
      <c r="I26" s="342">
        <f t="shared" si="1"/>
        <v>308.35068911106777</v>
      </c>
      <c r="J26" s="337" t="str">
        <f t="shared" si="2"/>
        <v>One Point One</v>
      </c>
      <c r="K26" s="349">
        <f t="shared" si="3"/>
        <v>0</v>
      </c>
    </row>
    <row r="27" spans="2:11" s="280" customFormat="1" ht="30.6" customHeight="1" x14ac:dyDescent="0.3">
      <c r="B27" s="333" t="s">
        <v>82</v>
      </c>
      <c r="C27" s="281">
        <v>139.65585651259983</v>
      </c>
      <c r="D27" s="281">
        <v>149.4</v>
      </c>
      <c r="E27" s="281">
        <v>0</v>
      </c>
      <c r="F27" s="281">
        <v>0</v>
      </c>
      <c r="G27" s="281">
        <v>74.3</v>
      </c>
      <c r="H27" s="338" t="str">
        <f t="shared" si="0"/>
        <v>Centum Electronics</v>
      </c>
      <c r="I27" s="342">
        <f t="shared" si="1"/>
        <v>149.4</v>
      </c>
      <c r="J27" s="338" t="str">
        <f t="shared" si="2"/>
        <v>One Point One</v>
      </c>
      <c r="K27" s="349">
        <f t="shared" si="3"/>
        <v>0</v>
      </c>
    </row>
    <row r="28" spans="2:11" s="280" customFormat="1" ht="30.6" customHeight="1" x14ac:dyDescent="0.3">
      <c r="B28" s="332" t="s">
        <v>87</v>
      </c>
      <c r="C28" s="279">
        <v>0.43</v>
      </c>
      <c r="D28" s="279">
        <v>1.33</v>
      </c>
      <c r="E28" s="279">
        <v>0.35599999999999998</v>
      </c>
      <c r="F28" s="279">
        <v>1.7412724370587254</v>
      </c>
      <c r="G28" s="279">
        <v>0.03</v>
      </c>
      <c r="H28" s="337" t="str">
        <f t="shared" si="0"/>
        <v>Sterlite Technologies</v>
      </c>
      <c r="I28" s="342">
        <f t="shared" si="1"/>
        <v>1.7412724370587254</v>
      </c>
      <c r="J28" s="337" t="str">
        <f t="shared" si="2"/>
        <v>Whirlpool</v>
      </c>
      <c r="K28" s="349">
        <f t="shared" si="3"/>
        <v>0.03</v>
      </c>
    </row>
    <row r="29" spans="2:11" s="280" customFormat="1" ht="30.6" customHeight="1" x14ac:dyDescent="0.3">
      <c r="B29" s="333" t="s">
        <v>89</v>
      </c>
      <c r="C29" s="281">
        <v>4.2654899202507167E-3</v>
      </c>
      <c r="D29" s="281">
        <v>0.57199999999999995</v>
      </c>
      <c r="E29" s="281">
        <v>0.26200000000000001</v>
      </c>
      <c r="F29" s="281">
        <v>0.63520590420667578</v>
      </c>
      <c r="G29" s="281">
        <v>0.03</v>
      </c>
      <c r="H29" s="338" t="str">
        <f t="shared" si="0"/>
        <v>Sterlite Technologies</v>
      </c>
      <c r="I29" s="342">
        <f t="shared" si="1"/>
        <v>0.63520590420667578</v>
      </c>
      <c r="J29" s="338" t="str">
        <f t="shared" si="2"/>
        <v>Bharat Electronics Limited</v>
      </c>
      <c r="K29" s="349">
        <f t="shared" si="3"/>
        <v>4.2654899202507167E-3</v>
      </c>
    </row>
    <row r="30" spans="2:11" s="280" customFormat="1" ht="30.6" customHeight="1" x14ac:dyDescent="0.3">
      <c r="B30" s="332" t="s">
        <v>91</v>
      </c>
      <c r="C30" s="279">
        <v>0.99573451007974934</v>
      </c>
      <c r="D30" s="279">
        <v>0.42799999999999999</v>
      </c>
      <c r="E30" s="279">
        <v>0.73799999999999999</v>
      </c>
      <c r="F30" s="279">
        <v>0.36479409579332422</v>
      </c>
      <c r="G30" s="279">
        <v>0.97</v>
      </c>
      <c r="H30" s="337" t="str">
        <f t="shared" si="0"/>
        <v>Bharat Electronics Limited</v>
      </c>
      <c r="I30" s="342">
        <f t="shared" si="1"/>
        <v>0.99573451007974934</v>
      </c>
      <c r="J30" s="337" t="str">
        <f t="shared" si="2"/>
        <v>Sterlite Technologies</v>
      </c>
      <c r="K30" s="349">
        <f t="shared" si="3"/>
        <v>0.36479409579332422</v>
      </c>
    </row>
    <row r="31" spans="2:11" s="280" customFormat="1" ht="30.6" customHeight="1" x14ac:dyDescent="0.3">
      <c r="B31" s="333" t="s">
        <v>93</v>
      </c>
      <c r="C31" s="281">
        <v>627.97821782178221</v>
      </c>
      <c r="D31" s="281">
        <v>1.304</v>
      </c>
      <c r="E31" s="281">
        <v>1.7</v>
      </c>
      <c r="F31" s="281">
        <v>1.113030868033978</v>
      </c>
      <c r="G31" s="281">
        <v>20.89</v>
      </c>
      <c r="H31" s="338" t="str">
        <f t="shared" si="0"/>
        <v>Bharat Electronics Limited</v>
      </c>
      <c r="I31" s="342">
        <f t="shared" si="1"/>
        <v>627.97821782178221</v>
      </c>
      <c r="J31" s="338" t="str">
        <f t="shared" si="2"/>
        <v>Sterlite Technologies</v>
      </c>
      <c r="K31" s="349">
        <f t="shared" si="3"/>
        <v>1.113030868033978</v>
      </c>
    </row>
    <row r="32" spans="2:11" ht="30.6" customHeight="1" x14ac:dyDescent="0.3">
      <c r="B32" s="331" t="s">
        <v>95</v>
      </c>
      <c r="C32" s="231">
        <v>54.914112554112556</v>
      </c>
      <c r="D32" s="231">
        <v>11.5</v>
      </c>
      <c r="E32" s="231">
        <v>0.54</v>
      </c>
      <c r="F32" s="231">
        <v>7.073510476105227E-2</v>
      </c>
      <c r="G32" s="231">
        <v>2.44</v>
      </c>
      <c r="H32" s="339" t="str">
        <f t="shared" si="0"/>
        <v>Bharat Electronics Limited</v>
      </c>
      <c r="I32" s="344">
        <f t="shared" si="1"/>
        <v>54.914112554112556</v>
      </c>
      <c r="J32" s="339" t="str">
        <f t="shared" si="2"/>
        <v>Sterlite Technologies</v>
      </c>
      <c r="K32" s="351">
        <f t="shared" si="3"/>
        <v>7.073510476105227E-2</v>
      </c>
    </row>
    <row r="33" spans="2:11" ht="30.6" customHeight="1" x14ac:dyDescent="0.3">
      <c r="B33" s="330" t="s">
        <v>103</v>
      </c>
      <c r="C33" s="276">
        <v>1.3908205841446454E-2</v>
      </c>
      <c r="D33" s="276">
        <v>2.58E-2</v>
      </c>
      <c r="E33" s="276">
        <v>1.3899999999999999E-2</v>
      </c>
      <c r="F33" s="276">
        <v>1.3908205841446454E-2</v>
      </c>
      <c r="G33" s="276">
        <v>4.7000000000000002E-3</v>
      </c>
      <c r="H33" s="335" t="str">
        <f t="shared" si="0"/>
        <v>Centum Electronics</v>
      </c>
      <c r="I33" s="341">
        <f t="shared" si="1"/>
        <v>2.58E-2</v>
      </c>
      <c r="J33" s="335" t="str">
        <f t="shared" si="2"/>
        <v>Whirlpool</v>
      </c>
      <c r="K33" s="348">
        <f t="shared" si="3"/>
        <v>4.7000000000000002E-3</v>
      </c>
    </row>
    <row r="34" spans="2:11" ht="30.6" customHeight="1" x14ac:dyDescent="0.3">
      <c r="B34" s="331" t="s">
        <v>372</v>
      </c>
      <c r="C34" s="230">
        <v>0.84771573604060912</v>
      </c>
      <c r="D34" s="230">
        <v>1.1074999999999999</v>
      </c>
      <c r="E34" s="230">
        <v>-7.3333000000000004</v>
      </c>
      <c r="F34" s="230">
        <v>3.8461538461538547E-2</v>
      </c>
      <c r="G34" s="230">
        <v>0.99529999999999996</v>
      </c>
      <c r="H34" s="336" t="str">
        <f t="shared" si="0"/>
        <v>Centum Electronics</v>
      </c>
      <c r="I34" s="341">
        <f t="shared" si="1"/>
        <v>1.1074999999999999</v>
      </c>
      <c r="J34" s="336" t="str">
        <f t="shared" si="2"/>
        <v>One Point One</v>
      </c>
      <c r="K34" s="348">
        <f t="shared" si="3"/>
        <v>-7.3333000000000004</v>
      </c>
    </row>
    <row r="35" spans="2:11" s="280" customFormat="1" ht="30.6" customHeight="1" x14ac:dyDescent="0.3">
      <c r="B35" s="333" t="s">
        <v>107</v>
      </c>
      <c r="C35" s="281">
        <v>0.15228426395939088</v>
      </c>
      <c r="D35" s="281">
        <v>-0.1075</v>
      </c>
      <c r="E35" s="281">
        <v>833.33</v>
      </c>
      <c r="F35" s="281">
        <v>0.96153846153846145</v>
      </c>
      <c r="G35" s="281">
        <v>1.94</v>
      </c>
      <c r="H35" s="338" t="str">
        <f t="shared" si="0"/>
        <v>One Point One</v>
      </c>
      <c r="I35" s="342">
        <f t="shared" si="1"/>
        <v>833.33</v>
      </c>
      <c r="J35" s="338" t="str">
        <f t="shared" si="2"/>
        <v>Centum Electronics</v>
      </c>
      <c r="K35" s="349">
        <f t="shared" si="3"/>
        <v>-0.1075</v>
      </c>
    </row>
    <row r="36" spans="2:11" s="280" customFormat="1" ht="30.6" customHeight="1" x14ac:dyDescent="0.3">
      <c r="B36" s="332" t="s">
        <v>110</v>
      </c>
      <c r="C36" s="279">
        <v>1.3938845944852776</v>
      </c>
      <c r="D36" s="279">
        <v>1.02</v>
      </c>
      <c r="E36" s="279">
        <v>1.26</v>
      </c>
      <c r="F36" s="279">
        <v>1.0205869783476844</v>
      </c>
      <c r="G36" s="279">
        <v>2.04</v>
      </c>
      <c r="H36" s="337" t="str">
        <f t="shared" si="0"/>
        <v>Whirlpool</v>
      </c>
      <c r="I36" s="342">
        <f t="shared" si="1"/>
        <v>2.04</v>
      </c>
      <c r="J36" s="337" t="str">
        <f t="shared" si="2"/>
        <v>Centum Electronics</v>
      </c>
      <c r="K36" s="349">
        <f t="shared" si="3"/>
        <v>1.02</v>
      </c>
    </row>
    <row r="37" spans="2:11" s="280" customFormat="1" ht="30.6" customHeight="1" x14ac:dyDescent="0.3">
      <c r="B37" s="333" t="s">
        <v>112</v>
      </c>
      <c r="C37" s="281">
        <v>1.1083073217765758</v>
      </c>
      <c r="D37" s="281">
        <v>0.63</v>
      </c>
      <c r="E37" s="281">
        <v>1.26</v>
      </c>
      <c r="F37" s="281">
        <v>0.83243123871529734</v>
      </c>
      <c r="G37" s="281">
        <v>1.3</v>
      </c>
      <c r="H37" s="338" t="str">
        <f t="shared" si="0"/>
        <v>Whirlpool</v>
      </c>
      <c r="I37" s="342">
        <f t="shared" si="1"/>
        <v>1.3</v>
      </c>
      <c r="J37" s="338" t="str">
        <f t="shared" si="2"/>
        <v>Centum Electronics</v>
      </c>
      <c r="K37" s="349">
        <f t="shared" si="3"/>
        <v>0.63</v>
      </c>
    </row>
    <row r="38" spans="2:11" s="280" customFormat="1" ht="30.6" customHeight="1" x14ac:dyDescent="0.3">
      <c r="B38" s="332" t="s">
        <v>119</v>
      </c>
      <c r="C38" s="279">
        <v>10.949238578680204</v>
      </c>
      <c r="D38" s="279">
        <v>-20.239999999999998</v>
      </c>
      <c r="E38" s="279">
        <v>599.16999999999996</v>
      </c>
      <c r="F38" s="279">
        <v>69.134615384615373</v>
      </c>
      <c r="G38" s="279">
        <v>412.37</v>
      </c>
      <c r="H38" s="337" t="str">
        <f t="shared" si="0"/>
        <v>One Point One</v>
      </c>
      <c r="I38" s="342">
        <f t="shared" si="1"/>
        <v>599.16999999999996</v>
      </c>
      <c r="J38" s="337" t="str">
        <f t="shared" si="2"/>
        <v>Centum Electronics</v>
      </c>
      <c r="K38" s="349">
        <f t="shared" si="3"/>
        <v>-20.239999999999998</v>
      </c>
    </row>
    <row r="39" spans="2:11" s="280" customFormat="1" ht="30.6" customHeight="1" x14ac:dyDescent="0.3">
      <c r="B39" s="333" t="s">
        <v>121</v>
      </c>
      <c r="C39" s="281">
        <v>2.1389289211317335</v>
      </c>
      <c r="D39" s="281">
        <v>3.07</v>
      </c>
      <c r="E39" s="281">
        <v>86.98</v>
      </c>
      <c r="F39" s="281">
        <v>4.3846840838354559</v>
      </c>
      <c r="G39" s="281">
        <v>68.36</v>
      </c>
      <c r="H39" s="338" t="str">
        <f t="shared" si="0"/>
        <v>One Point One</v>
      </c>
      <c r="I39" s="342">
        <f t="shared" si="1"/>
        <v>86.98</v>
      </c>
      <c r="J39" s="338" t="str">
        <f t="shared" si="2"/>
        <v>Bharat Electronics Limited</v>
      </c>
      <c r="K39" s="349">
        <f t="shared" si="3"/>
        <v>2.1389289211317335</v>
      </c>
    </row>
    <row r="40" spans="2:11" ht="30.6" customHeight="1" x14ac:dyDescent="0.3">
      <c r="B40" s="331" t="s">
        <v>126</v>
      </c>
      <c r="C40" s="230">
        <v>8.9270513421161102E-2</v>
      </c>
      <c r="D40" s="230">
        <v>-4.41E-2</v>
      </c>
      <c r="E40" s="230">
        <v>0.29609999999999997</v>
      </c>
      <c r="F40" s="230">
        <v>0.19254825726708646</v>
      </c>
      <c r="G40" s="230">
        <v>-7.9100000000000004E-2</v>
      </c>
      <c r="H40" s="336" t="str">
        <f t="shared" si="0"/>
        <v>One Point One</v>
      </c>
      <c r="I40" s="341">
        <f t="shared" si="1"/>
        <v>0.29609999999999997</v>
      </c>
      <c r="J40" s="336" t="str">
        <f t="shared" si="2"/>
        <v>Whirlpool</v>
      </c>
      <c r="K40" s="348">
        <f t="shared" si="3"/>
        <v>-7.9100000000000004E-2</v>
      </c>
    </row>
    <row r="41" spans="2:11" ht="30.6" customHeight="1" x14ac:dyDescent="0.3">
      <c r="B41" s="330" t="s">
        <v>373</v>
      </c>
      <c r="C41" s="276">
        <v>6.4621508670410943E-2</v>
      </c>
      <c r="D41" s="276">
        <v>9.8400000000000001E-2</v>
      </c>
      <c r="E41" s="276">
        <v>-1.2575000000000001</v>
      </c>
      <c r="F41" s="276">
        <v>-1.2684936545889238</v>
      </c>
      <c r="G41" s="276">
        <v>0.109</v>
      </c>
      <c r="H41" s="335" t="str">
        <f t="shared" si="0"/>
        <v>Whirlpool</v>
      </c>
      <c r="I41" s="341">
        <f t="shared" si="1"/>
        <v>0.109</v>
      </c>
      <c r="J41" s="335" t="str">
        <f t="shared" si="2"/>
        <v>Sterlite Technologies</v>
      </c>
      <c r="K41" s="348">
        <f t="shared" si="3"/>
        <v>-1.2684936545889238</v>
      </c>
    </row>
    <row r="42" spans="2:11" ht="30.6" customHeight="1" x14ac:dyDescent="0.3">
      <c r="B42" s="331" t="s">
        <v>129</v>
      </c>
      <c r="C42" s="230">
        <v>0.10030185245009759</v>
      </c>
      <c r="D42" s="230">
        <v>1.8E-3</v>
      </c>
      <c r="E42" s="230">
        <v>3.3099999999999997E-2</v>
      </c>
      <c r="F42" s="230">
        <v>0.15750736674435917</v>
      </c>
      <c r="G42" s="230">
        <v>-5.3999999999999999E-2</v>
      </c>
      <c r="H42" s="336" t="str">
        <f t="shared" si="0"/>
        <v>Sterlite Technologies</v>
      </c>
      <c r="I42" s="341">
        <f t="shared" si="1"/>
        <v>0.15750736674435917</v>
      </c>
      <c r="J42" s="336" t="str">
        <f t="shared" si="2"/>
        <v>Whirlpool</v>
      </c>
      <c r="K42" s="348">
        <f t="shared" si="3"/>
        <v>-5.3999999999999999E-2</v>
      </c>
    </row>
  </sheetData>
  <mergeCells count="1">
    <mergeCell ref="B1:J1"/>
  </mergeCells>
  <conditionalFormatting sqref="C3:G3">
    <cfRule type="colorScale" priority="240">
      <colorScale>
        <cfvo type="min"/>
        <cfvo type="percentile" val="50"/>
        <cfvo type="max"/>
        <color rgb="FFF8696B"/>
        <color rgb="FFFFEB84"/>
        <color rgb="FF63BE7B"/>
      </colorScale>
    </cfRule>
  </conditionalFormatting>
  <conditionalFormatting sqref="C4:G4">
    <cfRule type="colorScale" priority="239">
      <colorScale>
        <cfvo type="min"/>
        <cfvo type="percentile" val="50"/>
        <cfvo type="max"/>
        <color rgb="FFF8696B"/>
        <color rgb="FFFFEB84"/>
        <color rgb="FF63BE7B"/>
      </colorScale>
    </cfRule>
  </conditionalFormatting>
  <conditionalFormatting sqref="C5:G5">
    <cfRule type="colorScale" priority="238">
      <colorScale>
        <cfvo type="min"/>
        <cfvo type="percentile" val="50"/>
        <cfvo type="max"/>
        <color rgb="FFF8696B"/>
        <color rgb="FFFFEB84"/>
        <color rgb="FF63BE7B"/>
      </colorScale>
    </cfRule>
  </conditionalFormatting>
  <conditionalFormatting sqref="C6:G6">
    <cfRule type="colorScale" priority="237">
      <colorScale>
        <cfvo type="min"/>
        <cfvo type="percentile" val="50"/>
        <cfvo type="max"/>
        <color rgb="FFF8696B"/>
        <color rgb="FFFFEB84"/>
        <color rgb="FF63BE7B"/>
      </colorScale>
    </cfRule>
  </conditionalFormatting>
  <conditionalFormatting sqref="C7:G7">
    <cfRule type="colorScale" priority="236">
      <colorScale>
        <cfvo type="min"/>
        <cfvo type="percentile" val="50"/>
        <cfvo type="max"/>
        <color rgb="FFF8696B"/>
        <color rgb="FFFFEB84"/>
        <color rgb="FF63BE7B"/>
      </colorScale>
    </cfRule>
  </conditionalFormatting>
  <conditionalFormatting sqref="C8:G8">
    <cfRule type="colorScale" priority="235">
      <colorScale>
        <cfvo type="min"/>
        <cfvo type="percentile" val="50"/>
        <cfvo type="max"/>
        <color rgb="FFF8696B"/>
        <color rgb="FFFFEB84"/>
        <color rgb="FF63BE7B"/>
      </colorScale>
    </cfRule>
  </conditionalFormatting>
  <conditionalFormatting sqref="C9:G9">
    <cfRule type="colorScale" priority="234">
      <colorScale>
        <cfvo type="min"/>
        <cfvo type="percentile" val="50"/>
        <cfvo type="max"/>
        <color rgb="FFF8696B"/>
        <color rgb="FFFFEB84"/>
        <color rgb="FF63BE7B"/>
      </colorScale>
    </cfRule>
  </conditionalFormatting>
  <conditionalFormatting sqref="C10:G10">
    <cfRule type="colorScale" priority="233">
      <colorScale>
        <cfvo type="min"/>
        <cfvo type="percentile" val="50"/>
        <cfvo type="max"/>
        <color rgb="FFF8696B"/>
        <color rgb="FFFFEB84"/>
        <color rgb="FF63BE7B"/>
      </colorScale>
    </cfRule>
  </conditionalFormatting>
  <conditionalFormatting sqref="C11:G11">
    <cfRule type="colorScale" priority="232">
      <colorScale>
        <cfvo type="min"/>
        <cfvo type="percentile" val="50"/>
        <cfvo type="max"/>
        <color rgb="FFF8696B"/>
        <color rgb="FFFFEB84"/>
        <color rgb="FF63BE7B"/>
      </colorScale>
    </cfRule>
  </conditionalFormatting>
  <conditionalFormatting sqref="C12:G12">
    <cfRule type="colorScale" priority="231">
      <colorScale>
        <cfvo type="min"/>
        <cfvo type="percentile" val="50"/>
        <cfvo type="max"/>
        <color rgb="FFF8696B"/>
        <color rgb="FFFFEB84"/>
        <color rgb="FF63BE7B"/>
      </colorScale>
    </cfRule>
  </conditionalFormatting>
  <conditionalFormatting sqref="C13:G13">
    <cfRule type="colorScale" priority="230">
      <colorScale>
        <cfvo type="min"/>
        <cfvo type="percentile" val="50"/>
        <cfvo type="max"/>
        <color rgb="FFF8696B"/>
        <color rgb="FFFFEB84"/>
        <color rgb="FF63BE7B"/>
      </colorScale>
    </cfRule>
  </conditionalFormatting>
  <conditionalFormatting sqref="C14:G14">
    <cfRule type="colorScale" priority="229">
      <colorScale>
        <cfvo type="min"/>
        <cfvo type="percentile" val="50"/>
        <cfvo type="max"/>
        <color rgb="FFF8696B"/>
        <color rgb="FFFFEB84"/>
        <color rgb="FF63BE7B"/>
      </colorScale>
    </cfRule>
  </conditionalFormatting>
  <conditionalFormatting sqref="C15:G15">
    <cfRule type="colorScale" priority="228">
      <colorScale>
        <cfvo type="min"/>
        <cfvo type="percentile" val="50"/>
        <cfvo type="max"/>
        <color rgb="FFF8696B"/>
        <color rgb="FFFFEB84"/>
        <color rgb="FF63BE7B"/>
      </colorScale>
    </cfRule>
  </conditionalFormatting>
  <conditionalFormatting sqref="C16:G16">
    <cfRule type="colorScale" priority="227">
      <colorScale>
        <cfvo type="min"/>
        <cfvo type="percentile" val="50"/>
        <cfvo type="max"/>
        <color rgb="FFF8696B"/>
        <color rgb="FFFFEB84"/>
        <color rgb="FF63BE7B"/>
      </colorScale>
    </cfRule>
  </conditionalFormatting>
  <conditionalFormatting sqref="C17:G17">
    <cfRule type="colorScale" priority="226">
      <colorScale>
        <cfvo type="min"/>
        <cfvo type="percentile" val="50"/>
        <cfvo type="max"/>
        <color rgb="FFF8696B"/>
        <color rgb="FFFFEB84"/>
        <color rgb="FF63BE7B"/>
      </colorScale>
    </cfRule>
  </conditionalFormatting>
  <conditionalFormatting sqref="C18:G18">
    <cfRule type="colorScale" priority="225">
      <colorScale>
        <cfvo type="min"/>
        <cfvo type="percentile" val="50"/>
        <cfvo type="max"/>
        <color rgb="FFF8696B"/>
        <color rgb="FFFFEB84"/>
        <color rgb="FF63BE7B"/>
      </colorScale>
    </cfRule>
  </conditionalFormatting>
  <conditionalFormatting sqref="C19:G19">
    <cfRule type="colorScale" priority="224">
      <colorScale>
        <cfvo type="min"/>
        <cfvo type="percentile" val="50"/>
        <cfvo type="max"/>
        <color rgb="FFF8696B"/>
        <color rgb="FFFFEB84"/>
        <color rgb="FF63BE7B"/>
      </colorScale>
    </cfRule>
  </conditionalFormatting>
  <conditionalFormatting sqref="C20:G20">
    <cfRule type="colorScale" priority="223">
      <colorScale>
        <cfvo type="min"/>
        <cfvo type="percentile" val="50"/>
        <cfvo type="max"/>
        <color rgb="FFF8696B"/>
        <color rgb="FFFFEB84"/>
        <color rgb="FF63BE7B"/>
      </colorScale>
    </cfRule>
  </conditionalFormatting>
  <conditionalFormatting sqref="C21:G21">
    <cfRule type="colorScale" priority="222">
      <colorScale>
        <cfvo type="min"/>
        <cfvo type="percentile" val="50"/>
        <cfvo type="max"/>
        <color rgb="FFF8696B"/>
        <color rgb="FFFFEB84"/>
        <color rgb="FF63BE7B"/>
      </colorScale>
    </cfRule>
  </conditionalFormatting>
  <conditionalFormatting sqref="C22:G22">
    <cfRule type="colorScale" priority="221">
      <colorScale>
        <cfvo type="min"/>
        <cfvo type="percentile" val="50"/>
        <cfvo type="max"/>
        <color rgb="FFF8696B"/>
        <color rgb="FFFFEB84"/>
        <color rgb="FF63BE7B"/>
      </colorScale>
    </cfRule>
  </conditionalFormatting>
  <conditionalFormatting sqref="C23:G23">
    <cfRule type="colorScale" priority="220">
      <colorScale>
        <cfvo type="min"/>
        <cfvo type="percentile" val="50"/>
        <cfvo type="max"/>
        <color rgb="FFF8696B"/>
        <color rgb="FFFFEB84"/>
        <color rgb="FF63BE7B"/>
      </colorScale>
    </cfRule>
  </conditionalFormatting>
  <conditionalFormatting sqref="C24:G24">
    <cfRule type="colorScale" priority="219">
      <colorScale>
        <cfvo type="min"/>
        <cfvo type="percentile" val="50"/>
        <cfvo type="max"/>
        <color rgb="FFF8696B"/>
        <color rgb="FFFFEB84"/>
        <color rgb="FF63BE7B"/>
      </colorScale>
    </cfRule>
  </conditionalFormatting>
  <conditionalFormatting sqref="C25:G25">
    <cfRule type="colorScale" priority="218">
      <colorScale>
        <cfvo type="min"/>
        <cfvo type="percentile" val="50"/>
        <cfvo type="max"/>
        <color rgb="FFF8696B"/>
        <color rgb="FFFFEB84"/>
        <color rgb="FF63BE7B"/>
      </colorScale>
    </cfRule>
  </conditionalFormatting>
  <conditionalFormatting sqref="C26:G26">
    <cfRule type="colorScale" priority="217">
      <colorScale>
        <cfvo type="min"/>
        <cfvo type="percentile" val="50"/>
        <cfvo type="max"/>
        <color rgb="FFF8696B"/>
        <color rgb="FFFFEB84"/>
        <color rgb="FF63BE7B"/>
      </colorScale>
    </cfRule>
  </conditionalFormatting>
  <conditionalFormatting sqref="C27:G27">
    <cfRule type="colorScale" priority="216">
      <colorScale>
        <cfvo type="min"/>
        <cfvo type="percentile" val="50"/>
        <cfvo type="max"/>
        <color rgb="FFF8696B"/>
        <color rgb="FFFFEB84"/>
        <color rgb="FF63BE7B"/>
      </colorScale>
    </cfRule>
  </conditionalFormatting>
  <conditionalFormatting sqref="C28:G28">
    <cfRule type="colorScale" priority="215">
      <colorScale>
        <cfvo type="min"/>
        <cfvo type="percentile" val="50"/>
        <cfvo type="max"/>
        <color rgb="FFF8696B"/>
        <color rgb="FFFFEB84"/>
        <color rgb="FF63BE7B"/>
      </colorScale>
    </cfRule>
  </conditionalFormatting>
  <conditionalFormatting sqref="C29:G29">
    <cfRule type="colorScale" priority="214">
      <colorScale>
        <cfvo type="min"/>
        <cfvo type="percentile" val="50"/>
        <cfvo type="max"/>
        <color rgb="FFF8696B"/>
        <color rgb="FFFFEB84"/>
        <color rgb="FF63BE7B"/>
      </colorScale>
    </cfRule>
  </conditionalFormatting>
  <conditionalFormatting sqref="C30:G30">
    <cfRule type="colorScale" priority="213">
      <colorScale>
        <cfvo type="min"/>
        <cfvo type="percentile" val="50"/>
        <cfvo type="max"/>
        <color rgb="FFF8696B"/>
        <color rgb="FFFFEB84"/>
        <color rgb="FF63BE7B"/>
      </colorScale>
    </cfRule>
  </conditionalFormatting>
  <conditionalFormatting sqref="C31:G31">
    <cfRule type="colorScale" priority="212">
      <colorScale>
        <cfvo type="min"/>
        <cfvo type="percentile" val="50"/>
        <cfvo type="max"/>
        <color rgb="FFF8696B"/>
        <color rgb="FFFFEB84"/>
        <color rgb="FF63BE7B"/>
      </colorScale>
    </cfRule>
  </conditionalFormatting>
  <conditionalFormatting sqref="C32:G32">
    <cfRule type="colorScale" priority="211">
      <colorScale>
        <cfvo type="min"/>
        <cfvo type="percentile" val="50"/>
        <cfvo type="max"/>
        <color rgb="FFF8696B"/>
        <color rgb="FFFFEB84"/>
        <color rgb="FF63BE7B"/>
      </colorScale>
    </cfRule>
  </conditionalFormatting>
  <conditionalFormatting sqref="C33:G33">
    <cfRule type="colorScale" priority="210">
      <colorScale>
        <cfvo type="min"/>
        <cfvo type="percentile" val="50"/>
        <cfvo type="max"/>
        <color rgb="FFF8696B"/>
        <color rgb="FFFFEB84"/>
        <color rgb="FF63BE7B"/>
      </colorScale>
    </cfRule>
  </conditionalFormatting>
  <conditionalFormatting sqref="C34:G34">
    <cfRule type="colorScale" priority="209">
      <colorScale>
        <cfvo type="min"/>
        <cfvo type="percentile" val="50"/>
        <cfvo type="max"/>
        <color rgb="FFF8696B"/>
        <color rgb="FFFFEB84"/>
        <color rgb="FF63BE7B"/>
      </colorScale>
    </cfRule>
  </conditionalFormatting>
  <conditionalFormatting sqref="C35:G35">
    <cfRule type="colorScale" priority="208">
      <colorScale>
        <cfvo type="min"/>
        <cfvo type="percentile" val="50"/>
        <cfvo type="max"/>
        <color rgb="FFF8696B"/>
        <color rgb="FFFFEB84"/>
        <color rgb="FF63BE7B"/>
      </colorScale>
    </cfRule>
  </conditionalFormatting>
  <conditionalFormatting sqref="C36:G36">
    <cfRule type="colorScale" priority="207">
      <colorScale>
        <cfvo type="min"/>
        <cfvo type="percentile" val="50"/>
        <cfvo type="max"/>
        <color rgb="FFF8696B"/>
        <color rgb="FFFFEB84"/>
        <color rgb="FF63BE7B"/>
      </colorScale>
    </cfRule>
  </conditionalFormatting>
  <conditionalFormatting sqref="C37:G37">
    <cfRule type="colorScale" priority="206">
      <colorScale>
        <cfvo type="min"/>
        <cfvo type="percentile" val="50"/>
        <cfvo type="max"/>
        <color rgb="FFF8696B"/>
        <color rgb="FFFFEB84"/>
        <color rgb="FF63BE7B"/>
      </colorScale>
    </cfRule>
  </conditionalFormatting>
  <conditionalFormatting sqref="C38:G38">
    <cfRule type="colorScale" priority="205">
      <colorScale>
        <cfvo type="min"/>
        <cfvo type="percentile" val="50"/>
        <cfvo type="max"/>
        <color rgb="FFF8696B"/>
        <color rgb="FFFFEB84"/>
        <color rgb="FF63BE7B"/>
      </colorScale>
    </cfRule>
  </conditionalFormatting>
  <conditionalFormatting sqref="C39:G39">
    <cfRule type="colorScale" priority="204">
      <colorScale>
        <cfvo type="min"/>
        <cfvo type="percentile" val="50"/>
        <cfvo type="max"/>
        <color rgb="FFF8696B"/>
        <color rgb="FFFFEB84"/>
        <color rgb="FF63BE7B"/>
      </colorScale>
    </cfRule>
  </conditionalFormatting>
  <conditionalFormatting sqref="C40:G40">
    <cfRule type="colorScale" priority="203">
      <colorScale>
        <cfvo type="min"/>
        <cfvo type="percentile" val="50"/>
        <cfvo type="max"/>
        <color rgb="FFF8696B"/>
        <color rgb="FFFFEB84"/>
        <color rgb="FF63BE7B"/>
      </colorScale>
    </cfRule>
  </conditionalFormatting>
  <conditionalFormatting sqref="C41:G41">
    <cfRule type="colorScale" priority="202">
      <colorScale>
        <cfvo type="min"/>
        <cfvo type="percentile" val="50"/>
        <cfvo type="max"/>
        <color rgb="FFF8696B"/>
        <color rgb="FFFFEB84"/>
        <color rgb="FF63BE7B"/>
      </colorScale>
    </cfRule>
  </conditionalFormatting>
  <conditionalFormatting sqref="C42:G42">
    <cfRule type="colorScale" priority="201">
      <colorScale>
        <cfvo type="min"/>
        <cfvo type="percentile" val="50"/>
        <cfvo type="max"/>
        <color rgb="FFF8696B"/>
        <color rgb="FFFFEB84"/>
        <color rgb="FF63BE7B"/>
      </colorScale>
    </cfRule>
  </conditionalFormatting>
  <conditionalFormatting sqref="J3">
    <cfRule type="colorScale" priority="80">
      <colorScale>
        <cfvo type="min"/>
        <cfvo type="percentile" val="50"/>
        <cfvo type="max"/>
        <color rgb="FFF8696B"/>
        <color rgb="FFFFEB84"/>
        <color rgb="FF63BE7B"/>
      </colorScale>
    </cfRule>
  </conditionalFormatting>
  <conditionalFormatting sqref="J4">
    <cfRule type="colorScale" priority="79">
      <colorScale>
        <cfvo type="min"/>
        <cfvo type="percentile" val="50"/>
        <cfvo type="max"/>
        <color rgb="FFF8696B"/>
        <color rgb="FFFFEB84"/>
        <color rgb="FF63BE7B"/>
      </colorScale>
    </cfRule>
  </conditionalFormatting>
  <conditionalFormatting sqref="J5">
    <cfRule type="colorScale" priority="78">
      <colorScale>
        <cfvo type="min"/>
        <cfvo type="percentile" val="50"/>
        <cfvo type="max"/>
        <color rgb="FFF8696B"/>
        <color rgb="FFFFEB84"/>
        <color rgb="FF63BE7B"/>
      </colorScale>
    </cfRule>
  </conditionalFormatting>
  <conditionalFormatting sqref="J6">
    <cfRule type="colorScale" priority="77">
      <colorScale>
        <cfvo type="min"/>
        <cfvo type="percentile" val="50"/>
        <cfvo type="max"/>
        <color rgb="FFF8696B"/>
        <color rgb="FFFFEB84"/>
        <color rgb="FF63BE7B"/>
      </colorScale>
    </cfRule>
  </conditionalFormatting>
  <conditionalFormatting sqref="J7">
    <cfRule type="colorScale" priority="76">
      <colorScale>
        <cfvo type="min"/>
        <cfvo type="percentile" val="50"/>
        <cfvo type="max"/>
        <color rgb="FFF8696B"/>
        <color rgb="FFFFEB84"/>
        <color rgb="FF63BE7B"/>
      </colorScale>
    </cfRule>
  </conditionalFormatting>
  <conditionalFormatting sqref="J8">
    <cfRule type="colorScale" priority="75">
      <colorScale>
        <cfvo type="min"/>
        <cfvo type="percentile" val="50"/>
        <cfvo type="max"/>
        <color rgb="FFF8696B"/>
        <color rgb="FFFFEB84"/>
        <color rgb="FF63BE7B"/>
      </colorScale>
    </cfRule>
  </conditionalFormatting>
  <conditionalFormatting sqref="J9">
    <cfRule type="colorScale" priority="74">
      <colorScale>
        <cfvo type="min"/>
        <cfvo type="percentile" val="50"/>
        <cfvo type="max"/>
        <color rgb="FFF8696B"/>
        <color rgb="FFFFEB84"/>
        <color rgb="FF63BE7B"/>
      </colorScale>
    </cfRule>
  </conditionalFormatting>
  <conditionalFormatting sqref="J10">
    <cfRule type="colorScale" priority="73">
      <colorScale>
        <cfvo type="min"/>
        <cfvo type="percentile" val="50"/>
        <cfvo type="max"/>
        <color rgb="FFF8696B"/>
        <color rgb="FFFFEB84"/>
        <color rgb="FF63BE7B"/>
      </colorScale>
    </cfRule>
  </conditionalFormatting>
  <conditionalFormatting sqref="J11">
    <cfRule type="colorScale" priority="72">
      <colorScale>
        <cfvo type="min"/>
        <cfvo type="percentile" val="50"/>
        <cfvo type="max"/>
        <color rgb="FFF8696B"/>
        <color rgb="FFFFEB84"/>
        <color rgb="FF63BE7B"/>
      </colorScale>
    </cfRule>
  </conditionalFormatting>
  <conditionalFormatting sqref="J12">
    <cfRule type="colorScale" priority="71">
      <colorScale>
        <cfvo type="min"/>
        <cfvo type="percentile" val="50"/>
        <cfvo type="max"/>
        <color rgb="FFF8696B"/>
        <color rgb="FFFFEB84"/>
        <color rgb="FF63BE7B"/>
      </colorScale>
    </cfRule>
  </conditionalFormatting>
  <conditionalFormatting sqref="J13">
    <cfRule type="colorScale" priority="70">
      <colorScale>
        <cfvo type="min"/>
        <cfvo type="percentile" val="50"/>
        <cfvo type="max"/>
        <color rgb="FFF8696B"/>
        <color rgb="FFFFEB84"/>
        <color rgb="FF63BE7B"/>
      </colorScale>
    </cfRule>
  </conditionalFormatting>
  <conditionalFormatting sqref="J14">
    <cfRule type="colorScale" priority="69">
      <colorScale>
        <cfvo type="min"/>
        <cfvo type="percentile" val="50"/>
        <cfvo type="max"/>
        <color rgb="FFF8696B"/>
        <color rgb="FFFFEB84"/>
        <color rgb="FF63BE7B"/>
      </colorScale>
    </cfRule>
  </conditionalFormatting>
  <conditionalFormatting sqref="J15">
    <cfRule type="colorScale" priority="68">
      <colorScale>
        <cfvo type="min"/>
        <cfvo type="percentile" val="50"/>
        <cfvo type="max"/>
        <color rgb="FFF8696B"/>
        <color rgb="FFFFEB84"/>
        <color rgb="FF63BE7B"/>
      </colorScale>
    </cfRule>
  </conditionalFormatting>
  <conditionalFormatting sqref="J16">
    <cfRule type="colorScale" priority="67">
      <colorScale>
        <cfvo type="min"/>
        <cfvo type="percentile" val="50"/>
        <cfvo type="max"/>
        <color rgb="FFF8696B"/>
        <color rgb="FFFFEB84"/>
        <color rgb="FF63BE7B"/>
      </colorScale>
    </cfRule>
  </conditionalFormatting>
  <conditionalFormatting sqref="J17">
    <cfRule type="colorScale" priority="66">
      <colorScale>
        <cfvo type="min"/>
        <cfvo type="percentile" val="50"/>
        <cfvo type="max"/>
        <color rgb="FFF8696B"/>
        <color rgb="FFFFEB84"/>
        <color rgb="FF63BE7B"/>
      </colorScale>
    </cfRule>
  </conditionalFormatting>
  <conditionalFormatting sqref="J18">
    <cfRule type="colorScale" priority="65">
      <colorScale>
        <cfvo type="min"/>
        <cfvo type="percentile" val="50"/>
        <cfvo type="max"/>
        <color rgb="FFF8696B"/>
        <color rgb="FFFFEB84"/>
        <color rgb="FF63BE7B"/>
      </colorScale>
    </cfRule>
  </conditionalFormatting>
  <conditionalFormatting sqref="J19">
    <cfRule type="colorScale" priority="64">
      <colorScale>
        <cfvo type="min"/>
        <cfvo type="percentile" val="50"/>
        <cfvo type="max"/>
        <color rgb="FFF8696B"/>
        <color rgb="FFFFEB84"/>
        <color rgb="FF63BE7B"/>
      </colorScale>
    </cfRule>
  </conditionalFormatting>
  <conditionalFormatting sqref="J20">
    <cfRule type="colorScale" priority="63">
      <colorScale>
        <cfvo type="min"/>
        <cfvo type="percentile" val="50"/>
        <cfvo type="max"/>
        <color rgb="FFF8696B"/>
        <color rgb="FFFFEB84"/>
        <color rgb="FF63BE7B"/>
      </colorScale>
    </cfRule>
  </conditionalFormatting>
  <conditionalFormatting sqref="J21">
    <cfRule type="colorScale" priority="62">
      <colorScale>
        <cfvo type="min"/>
        <cfvo type="percentile" val="50"/>
        <cfvo type="max"/>
        <color rgb="FFF8696B"/>
        <color rgb="FFFFEB84"/>
        <color rgb="FF63BE7B"/>
      </colorScale>
    </cfRule>
  </conditionalFormatting>
  <conditionalFormatting sqref="J22">
    <cfRule type="colorScale" priority="61">
      <colorScale>
        <cfvo type="min"/>
        <cfvo type="percentile" val="50"/>
        <cfvo type="max"/>
        <color rgb="FFF8696B"/>
        <color rgb="FFFFEB84"/>
        <color rgb="FF63BE7B"/>
      </colorScale>
    </cfRule>
  </conditionalFormatting>
  <conditionalFormatting sqref="J23">
    <cfRule type="colorScale" priority="60">
      <colorScale>
        <cfvo type="min"/>
        <cfvo type="percentile" val="50"/>
        <cfvo type="max"/>
        <color rgb="FFF8696B"/>
        <color rgb="FFFFEB84"/>
        <color rgb="FF63BE7B"/>
      </colorScale>
    </cfRule>
  </conditionalFormatting>
  <conditionalFormatting sqref="J24">
    <cfRule type="colorScale" priority="59">
      <colorScale>
        <cfvo type="min"/>
        <cfvo type="percentile" val="50"/>
        <cfvo type="max"/>
        <color rgb="FFF8696B"/>
        <color rgb="FFFFEB84"/>
        <color rgb="FF63BE7B"/>
      </colorScale>
    </cfRule>
  </conditionalFormatting>
  <conditionalFormatting sqref="J25">
    <cfRule type="colorScale" priority="58">
      <colorScale>
        <cfvo type="min"/>
        <cfvo type="percentile" val="50"/>
        <cfvo type="max"/>
        <color rgb="FFF8696B"/>
        <color rgb="FFFFEB84"/>
        <color rgb="FF63BE7B"/>
      </colorScale>
    </cfRule>
  </conditionalFormatting>
  <conditionalFormatting sqref="J26">
    <cfRule type="colorScale" priority="57">
      <colorScale>
        <cfvo type="min"/>
        <cfvo type="percentile" val="50"/>
        <cfvo type="max"/>
        <color rgb="FFF8696B"/>
        <color rgb="FFFFEB84"/>
        <color rgb="FF63BE7B"/>
      </colorScale>
    </cfRule>
  </conditionalFormatting>
  <conditionalFormatting sqref="J27">
    <cfRule type="colorScale" priority="56">
      <colorScale>
        <cfvo type="min"/>
        <cfvo type="percentile" val="50"/>
        <cfvo type="max"/>
        <color rgb="FFF8696B"/>
        <color rgb="FFFFEB84"/>
        <color rgb="FF63BE7B"/>
      </colorScale>
    </cfRule>
  </conditionalFormatting>
  <conditionalFormatting sqref="J28">
    <cfRule type="colorScale" priority="55">
      <colorScale>
        <cfvo type="min"/>
        <cfvo type="percentile" val="50"/>
        <cfvo type="max"/>
        <color rgb="FFF8696B"/>
        <color rgb="FFFFEB84"/>
        <color rgb="FF63BE7B"/>
      </colorScale>
    </cfRule>
  </conditionalFormatting>
  <conditionalFormatting sqref="J29">
    <cfRule type="colorScale" priority="54">
      <colorScale>
        <cfvo type="min"/>
        <cfvo type="percentile" val="50"/>
        <cfvo type="max"/>
        <color rgb="FFF8696B"/>
        <color rgb="FFFFEB84"/>
        <color rgb="FF63BE7B"/>
      </colorScale>
    </cfRule>
  </conditionalFormatting>
  <conditionalFormatting sqref="J30">
    <cfRule type="colorScale" priority="53">
      <colorScale>
        <cfvo type="min"/>
        <cfvo type="percentile" val="50"/>
        <cfvo type="max"/>
        <color rgb="FFF8696B"/>
        <color rgb="FFFFEB84"/>
        <color rgb="FF63BE7B"/>
      </colorScale>
    </cfRule>
  </conditionalFormatting>
  <conditionalFormatting sqref="J31">
    <cfRule type="colorScale" priority="52">
      <colorScale>
        <cfvo type="min"/>
        <cfvo type="percentile" val="50"/>
        <cfvo type="max"/>
        <color rgb="FFF8696B"/>
        <color rgb="FFFFEB84"/>
        <color rgb="FF63BE7B"/>
      </colorScale>
    </cfRule>
  </conditionalFormatting>
  <conditionalFormatting sqref="J32">
    <cfRule type="colorScale" priority="51">
      <colorScale>
        <cfvo type="min"/>
        <cfvo type="percentile" val="50"/>
        <cfvo type="max"/>
        <color rgb="FFF8696B"/>
        <color rgb="FFFFEB84"/>
        <color rgb="FF63BE7B"/>
      </colorScale>
    </cfRule>
  </conditionalFormatting>
  <conditionalFormatting sqref="J33">
    <cfRule type="colorScale" priority="50">
      <colorScale>
        <cfvo type="min"/>
        <cfvo type="percentile" val="50"/>
        <cfvo type="max"/>
        <color rgb="FFF8696B"/>
        <color rgb="FFFFEB84"/>
        <color rgb="FF63BE7B"/>
      </colorScale>
    </cfRule>
  </conditionalFormatting>
  <conditionalFormatting sqref="J34">
    <cfRule type="colorScale" priority="49">
      <colorScale>
        <cfvo type="min"/>
        <cfvo type="percentile" val="50"/>
        <cfvo type="max"/>
        <color rgb="FFF8696B"/>
        <color rgb="FFFFEB84"/>
        <color rgb="FF63BE7B"/>
      </colorScale>
    </cfRule>
  </conditionalFormatting>
  <conditionalFormatting sqref="J35">
    <cfRule type="colorScale" priority="48">
      <colorScale>
        <cfvo type="min"/>
        <cfvo type="percentile" val="50"/>
        <cfvo type="max"/>
        <color rgb="FFF8696B"/>
        <color rgb="FFFFEB84"/>
        <color rgb="FF63BE7B"/>
      </colorScale>
    </cfRule>
  </conditionalFormatting>
  <conditionalFormatting sqref="J36">
    <cfRule type="colorScale" priority="47">
      <colorScale>
        <cfvo type="min"/>
        <cfvo type="percentile" val="50"/>
        <cfvo type="max"/>
        <color rgb="FFF8696B"/>
        <color rgb="FFFFEB84"/>
        <color rgb="FF63BE7B"/>
      </colorScale>
    </cfRule>
  </conditionalFormatting>
  <conditionalFormatting sqref="J37">
    <cfRule type="colorScale" priority="46">
      <colorScale>
        <cfvo type="min"/>
        <cfvo type="percentile" val="50"/>
        <cfvo type="max"/>
        <color rgb="FFF8696B"/>
        <color rgb="FFFFEB84"/>
        <color rgb="FF63BE7B"/>
      </colorScale>
    </cfRule>
  </conditionalFormatting>
  <conditionalFormatting sqref="J38">
    <cfRule type="colorScale" priority="45">
      <colorScale>
        <cfvo type="min"/>
        <cfvo type="percentile" val="50"/>
        <cfvo type="max"/>
        <color rgb="FFF8696B"/>
        <color rgb="FFFFEB84"/>
        <color rgb="FF63BE7B"/>
      </colorScale>
    </cfRule>
  </conditionalFormatting>
  <conditionalFormatting sqref="J39">
    <cfRule type="colorScale" priority="44">
      <colorScale>
        <cfvo type="min"/>
        <cfvo type="percentile" val="50"/>
        <cfvo type="max"/>
        <color rgb="FFF8696B"/>
        <color rgb="FFFFEB84"/>
        <color rgb="FF63BE7B"/>
      </colorScale>
    </cfRule>
  </conditionalFormatting>
  <conditionalFormatting sqref="J40">
    <cfRule type="colorScale" priority="43">
      <colorScale>
        <cfvo type="min"/>
        <cfvo type="percentile" val="50"/>
        <cfvo type="max"/>
        <color rgb="FFF8696B"/>
        <color rgb="FFFFEB84"/>
        <color rgb="FF63BE7B"/>
      </colorScale>
    </cfRule>
  </conditionalFormatting>
  <conditionalFormatting sqref="J41">
    <cfRule type="colorScale" priority="42">
      <colorScale>
        <cfvo type="min"/>
        <cfvo type="percentile" val="50"/>
        <cfvo type="max"/>
        <color rgb="FFF8696B"/>
        <color rgb="FFFFEB84"/>
        <color rgb="FF63BE7B"/>
      </colorScale>
    </cfRule>
  </conditionalFormatting>
  <conditionalFormatting sqref="J42">
    <cfRule type="colorScale" priority="41">
      <colorScale>
        <cfvo type="min"/>
        <cfvo type="percentile" val="50"/>
        <cfvo type="max"/>
        <color rgb="FFF8696B"/>
        <color rgb="FFFFEB84"/>
        <color rgb="FF63BE7B"/>
      </colorScale>
    </cfRule>
  </conditionalFormatting>
  <conditionalFormatting sqref="H3">
    <cfRule type="colorScale" priority="40">
      <colorScale>
        <cfvo type="min"/>
        <cfvo type="percentile" val="50"/>
        <cfvo type="max"/>
        <color rgb="FFF8696B"/>
        <color rgb="FFFFEB84"/>
        <color rgb="FF63BE7B"/>
      </colorScale>
    </cfRule>
  </conditionalFormatting>
  <conditionalFormatting sqref="H4">
    <cfRule type="colorScale" priority="39">
      <colorScale>
        <cfvo type="min"/>
        <cfvo type="percentile" val="50"/>
        <cfvo type="max"/>
        <color rgb="FFF8696B"/>
        <color rgb="FFFFEB84"/>
        <color rgb="FF63BE7B"/>
      </colorScale>
    </cfRule>
  </conditionalFormatting>
  <conditionalFormatting sqref="H5">
    <cfRule type="colorScale" priority="38">
      <colorScale>
        <cfvo type="min"/>
        <cfvo type="percentile" val="50"/>
        <cfvo type="max"/>
        <color rgb="FFF8696B"/>
        <color rgb="FFFFEB84"/>
        <color rgb="FF63BE7B"/>
      </colorScale>
    </cfRule>
  </conditionalFormatting>
  <conditionalFormatting sqref="H6">
    <cfRule type="colorScale" priority="37">
      <colorScale>
        <cfvo type="min"/>
        <cfvo type="percentile" val="50"/>
        <cfvo type="max"/>
        <color rgb="FFF8696B"/>
        <color rgb="FFFFEB84"/>
        <color rgb="FF63BE7B"/>
      </colorScale>
    </cfRule>
  </conditionalFormatting>
  <conditionalFormatting sqref="H7">
    <cfRule type="colorScale" priority="36">
      <colorScale>
        <cfvo type="min"/>
        <cfvo type="percentile" val="50"/>
        <cfvo type="max"/>
        <color rgb="FFF8696B"/>
        <color rgb="FFFFEB84"/>
        <color rgb="FF63BE7B"/>
      </colorScale>
    </cfRule>
  </conditionalFormatting>
  <conditionalFormatting sqref="H8">
    <cfRule type="colorScale" priority="35">
      <colorScale>
        <cfvo type="min"/>
        <cfvo type="percentile" val="50"/>
        <cfvo type="max"/>
        <color rgb="FFF8696B"/>
        <color rgb="FFFFEB84"/>
        <color rgb="FF63BE7B"/>
      </colorScale>
    </cfRule>
  </conditionalFormatting>
  <conditionalFormatting sqref="H9">
    <cfRule type="colorScale" priority="34">
      <colorScale>
        <cfvo type="min"/>
        <cfvo type="percentile" val="50"/>
        <cfvo type="max"/>
        <color rgb="FFF8696B"/>
        <color rgb="FFFFEB84"/>
        <color rgb="FF63BE7B"/>
      </colorScale>
    </cfRule>
  </conditionalFormatting>
  <conditionalFormatting sqref="H10">
    <cfRule type="colorScale" priority="33">
      <colorScale>
        <cfvo type="min"/>
        <cfvo type="percentile" val="50"/>
        <cfvo type="max"/>
        <color rgb="FFF8696B"/>
        <color rgb="FFFFEB84"/>
        <color rgb="FF63BE7B"/>
      </colorScale>
    </cfRule>
  </conditionalFormatting>
  <conditionalFormatting sqref="H11">
    <cfRule type="colorScale" priority="32">
      <colorScale>
        <cfvo type="min"/>
        <cfvo type="percentile" val="50"/>
        <cfvo type="max"/>
        <color rgb="FFF8696B"/>
        <color rgb="FFFFEB84"/>
        <color rgb="FF63BE7B"/>
      </colorScale>
    </cfRule>
  </conditionalFormatting>
  <conditionalFormatting sqref="H12">
    <cfRule type="colorScale" priority="31">
      <colorScale>
        <cfvo type="min"/>
        <cfvo type="percentile" val="50"/>
        <cfvo type="max"/>
        <color rgb="FFF8696B"/>
        <color rgb="FFFFEB84"/>
        <color rgb="FF63BE7B"/>
      </colorScale>
    </cfRule>
  </conditionalFormatting>
  <conditionalFormatting sqref="H13">
    <cfRule type="colorScale" priority="30">
      <colorScale>
        <cfvo type="min"/>
        <cfvo type="percentile" val="50"/>
        <cfvo type="max"/>
        <color rgb="FFF8696B"/>
        <color rgb="FFFFEB84"/>
        <color rgb="FF63BE7B"/>
      </colorScale>
    </cfRule>
  </conditionalFormatting>
  <conditionalFormatting sqref="H14">
    <cfRule type="colorScale" priority="29">
      <colorScale>
        <cfvo type="min"/>
        <cfvo type="percentile" val="50"/>
        <cfvo type="max"/>
        <color rgb="FFF8696B"/>
        <color rgb="FFFFEB84"/>
        <color rgb="FF63BE7B"/>
      </colorScale>
    </cfRule>
  </conditionalFormatting>
  <conditionalFormatting sqref="H15">
    <cfRule type="colorScale" priority="28">
      <colorScale>
        <cfvo type="min"/>
        <cfvo type="percentile" val="50"/>
        <cfvo type="max"/>
        <color rgb="FFF8696B"/>
        <color rgb="FFFFEB84"/>
        <color rgb="FF63BE7B"/>
      </colorScale>
    </cfRule>
  </conditionalFormatting>
  <conditionalFormatting sqref="H16">
    <cfRule type="colorScale" priority="27">
      <colorScale>
        <cfvo type="min"/>
        <cfvo type="percentile" val="50"/>
        <cfvo type="max"/>
        <color rgb="FFF8696B"/>
        <color rgb="FFFFEB84"/>
        <color rgb="FF63BE7B"/>
      </colorScale>
    </cfRule>
  </conditionalFormatting>
  <conditionalFormatting sqref="H17">
    <cfRule type="colorScale" priority="26">
      <colorScale>
        <cfvo type="min"/>
        <cfvo type="percentile" val="50"/>
        <cfvo type="max"/>
        <color rgb="FFF8696B"/>
        <color rgb="FFFFEB84"/>
        <color rgb="FF63BE7B"/>
      </colorScale>
    </cfRule>
  </conditionalFormatting>
  <conditionalFormatting sqref="H18">
    <cfRule type="colorScale" priority="25">
      <colorScale>
        <cfvo type="min"/>
        <cfvo type="percentile" val="50"/>
        <cfvo type="max"/>
        <color rgb="FFF8696B"/>
        <color rgb="FFFFEB84"/>
        <color rgb="FF63BE7B"/>
      </colorScale>
    </cfRule>
  </conditionalFormatting>
  <conditionalFormatting sqref="H19">
    <cfRule type="colorScale" priority="24">
      <colorScale>
        <cfvo type="min"/>
        <cfvo type="percentile" val="50"/>
        <cfvo type="max"/>
        <color rgb="FFF8696B"/>
        <color rgb="FFFFEB84"/>
        <color rgb="FF63BE7B"/>
      </colorScale>
    </cfRule>
  </conditionalFormatting>
  <conditionalFormatting sqref="H20">
    <cfRule type="colorScale" priority="23">
      <colorScale>
        <cfvo type="min"/>
        <cfvo type="percentile" val="50"/>
        <cfvo type="max"/>
        <color rgb="FFF8696B"/>
        <color rgb="FFFFEB84"/>
        <color rgb="FF63BE7B"/>
      </colorScale>
    </cfRule>
  </conditionalFormatting>
  <conditionalFormatting sqref="H21">
    <cfRule type="colorScale" priority="22">
      <colorScale>
        <cfvo type="min"/>
        <cfvo type="percentile" val="50"/>
        <cfvo type="max"/>
        <color rgb="FFF8696B"/>
        <color rgb="FFFFEB84"/>
        <color rgb="FF63BE7B"/>
      </colorScale>
    </cfRule>
  </conditionalFormatting>
  <conditionalFormatting sqref="H22">
    <cfRule type="colorScale" priority="21">
      <colorScale>
        <cfvo type="min"/>
        <cfvo type="percentile" val="50"/>
        <cfvo type="max"/>
        <color rgb="FFF8696B"/>
        <color rgb="FFFFEB84"/>
        <color rgb="FF63BE7B"/>
      </colorScale>
    </cfRule>
  </conditionalFormatting>
  <conditionalFormatting sqref="H23">
    <cfRule type="colorScale" priority="20">
      <colorScale>
        <cfvo type="min"/>
        <cfvo type="percentile" val="50"/>
        <cfvo type="max"/>
        <color rgb="FFF8696B"/>
        <color rgb="FFFFEB84"/>
        <color rgb="FF63BE7B"/>
      </colorScale>
    </cfRule>
  </conditionalFormatting>
  <conditionalFormatting sqref="H24">
    <cfRule type="colorScale" priority="19">
      <colorScale>
        <cfvo type="min"/>
        <cfvo type="percentile" val="50"/>
        <cfvo type="max"/>
        <color rgb="FFF8696B"/>
        <color rgb="FFFFEB84"/>
        <color rgb="FF63BE7B"/>
      </colorScale>
    </cfRule>
  </conditionalFormatting>
  <conditionalFormatting sqref="H25">
    <cfRule type="colorScale" priority="18">
      <colorScale>
        <cfvo type="min"/>
        <cfvo type="percentile" val="50"/>
        <cfvo type="max"/>
        <color rgb="FFF8696B"/>
        <color rgb="FFFFEB84"/>
        <color rgb="FF63BE7B"/>
      </colorScale>
    </cfRule>
  </conditionalFormatting>
  <conditionalFormatting sqref="H26">
    <cfRule type="colorScale" priority="17">
      <colorScale>
        <cfvo type="min"/>
        <cfvo type="percentile" val="50"/>
        <cfvo type="max"/>
        <color rgb="FFF8696B"/>
        <color rgb="FFFFEB84"/>
        <color rgb="FF63BE7B"/>
      </colorScale>
    </cfRule>
  </conditionalFormatting>
  <conditionalFormatting sqref="H27">
    <cfRule type="colorScale" priority="16">
      <colorScale>
        <cfvo type="min"/>
        <cfvo type="percentile" val="50"/>
        <cfvo type="max"/>
        <color rgb="FFF8696B"/>
        <color rgb="FFFFEB84"/>
        <color rgb="FF63BE7B"/>
      </colorScale>
    </cfRule>
  </conditionalFormatting>
  <conditionalFormatting sqref="H28">
    <cfRule type="colorScale" priority="15">
      <colorScale>
        <cfvo type="min"/>
        <cfvo type="percentile" val="50"/>
        <cfvo type="max"/>
        <color rgb="FFF8696B"/>
        <color rgb="FFFFEB84"/>
        <color rgb="FF63BE7B"/>
      </colorScale>
    </cfRule>
  </conditionalFormatting>
  <conditionalFormatting sqref="H29">
    <cfRule type="colorScale" priority="14">
      <colorScale>
        <cfvo type="min"/>
        <cfvo type="percentile" val="50"/>
        <cfvo type="max"/>
        <color rgb="FFF8696B"/>
        <color rgb="FFFFEB84"/>
        <color rgb="FF63BE7B"/>
      </colorScale>
    </cfRule>
  </conditionalFormatting>
  <conditionalFormatting sqref="H30">
    <cfRule type="colorScale" priority="13">
      <colorScale>
        <cfvo type="min"/>
        <cfvo type="percentile" val="50"/>
        <cfvo type="max"/>
        <color rgb="FFF8696B"/>
        <color rgb="FFFFEB84"/>
        <color rgb="FF63BE7B"/>
      </colorScale>
    </cfRule>
  </conditionalFormatting>
  <conditionalFormatting sqref="H31">
    <cfRule type="colorScale" priority="12">
      <colorScale>
        <cfvo type="min"/>
        <cfvo type="percentile" val="50"/>
        <cfvo type="max"/>
        <color rgb="FFF8696B"/>
        <color rgb="FFFFEB84"/>
        <color rgb="FF63BE7B"/>
      </colorScale>
    </cfRule>
  </conditionalFormatting>
  <conditionalFormatting sqref="H32">
    <cfRule type="colorScale" priority="11">
      <colorScale>
        <cfvo type="min"/>
        <cfvo type="percentile" val="50"/>
        <cfvo type="max"/>
        <color rgb="FFF8696B"/>
        <color rgb="FFFFEB84"/>
        <color rgb="FF63BE7B"/>
      </colorScale>
    </cfRule>
  </conditionalFormatting>
  <conditionalFormatting sqref="H33">
    <cfRule type="colorScale" priority="10">
      <colorScale>
        <cfvo type="min"/>
        <cfvo type="percentile" val="50"/>
        <cfvo type="max"/>
        <color rgb="FFF8696B"/>
        <color rgb="FFFFEB84"/>
        <color rgb="FF63BE7B"/>
      </colorScale>
    </cfRule>
  </conditionalFormatting>
  <conditionalFormatting sqref="H34">
    <cfRule type="colorScale" priority="9">
      <colorScale>
        <cfvo type="min"/>
        <cfvo type="percentile" val="50"/>
        <cfvo type="max"/>
        <color rgb="FFF8696B"/>
        <color rgb="FFFFEB84"/>
        <color rgb="FF63BE7B"/>
      </colorScale>
    </cfRule>
  </conditionalFormatting>
  <conditionalFormatting sqref="H35">
    <cfRule type="colorScale" priority="8">
      <colorScale>
        <cfvo type="min"/>
        <cfvo type="percentile" val="50"/>
        <cfvo type="max"/>
        <color rgb="FFF8696B"/>
        <color rgb="FFFFEB84"/>
        <color rgb="FF63BE7B"/>
      </colorScale>
    </cfRule>
  </conditionalFormatting>
  <conditionalFormatting sqref="H36">
    <cfRule type="colorScale" priority="7">
      <colorScale>
        <cfvo type="min"/>
        <cfvo type="percentile" val="50"/>
        <cfvo type="max"/>
        <color rgb="FFF8696B"/>
        <color rgb="FFFFEB84"/>
        <color rgb="FF63BE7B"/>
      </colorScale>
    </cfRule>
  </conditionalFormatting>
  <conditionalFormatting sqref="H37">
    <cfRule type="colorScale" priority="6">
      <colorScale>
        <cfvo type="min"/>
        <cfvo type="percentile" val="50"/>
        <cfvo type="max"/>
        <color rgb="FFF8696B"/>
        <color rgb="FFFFEB84"/>
        <color rgb="FF63BE7B"/>
      </colorScale>
    </cfRule>
  </conditionalFormatting>
  <conditionalFormatting sqref="H38">
    <cfRule type="colorScale" priority="5">
      <colorScale>
        <cfvo type="min"/>
        <cfvo type="percentile" val="50"/>
        <cfvo type="max"/>
        <color rgb="FFF8696B"/>
        <color rgb="FFFFEB84"/>
        <color rgb="FF63BE7B"/>
      </colorScale>
    </cfRule>
  </conditionalFormatting>
  <conditionalFormatting sqref="H39">
    <cfRule type="colorScale" priority="4">
      <colorScale>
        <cfvo type="min"/>
        <cfvo type="percentile" val="50"/>
        <cfvo type="max"/>
        <color rgb="FFF8696B"/>
        <color rgb="FFFFEB84"/>
        <color rgb="FF63BE7B"/>
      </colorScale>
    </cfRule>
  </conditionalFormatting>
  <conditionalFormatting sqref="H40">
    <cfRule type="colorScale" priority="3">
      <colorScale>
        <cfvo type="min"/>
        <cfvo type="percentile" val="50"/>
        <cfvo type="max"/>
        <color rgb="FFF8696B"/>
        <color rgb="FFFFEB84"/>
        <color rgb="FF63BE7B"/>
      </colorScale>
    </cfRule>
  </conditionalFormatting>
  <conditionalFormatting sqref="H41">
    <cfRule type="colorScale" priority="2">
      <colorScale>
        <cfvo type="min"/>
        <cfvo type="percentile" val="50"/>
        <cfvo type="max"/>
        <color rgb="FFF8696B"/>
        <color rgb="FFFFEB84"/>
        <color rgb="FF63BE7B"/>
      </colorScale>
    </cfRule>
  </conditionalFormatting>
  <conditionalFormatting sqref="H4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190BB-D5FF-4FAC-8127-1C2BE9C29404}">
  <dimension ref="B1:O11"/>
  <sheetViews>
    <sheetView tabSelected="1" zoomScale="89" zoomScaleNormal="70" workbookViewId="0">
      <selection activeCell="J6" sqref="J6"/>
    </sheetView>
  </sheetViews>
  <sheetFormatPr defaultColWidth="19.6640625" defaultRowHeight="15.6" x14ac:dyDescent="0.3"/>
  <cols>
    <col min="1" max="1" width="6.44140625" style="80" customWidth="1"/>
    <col min="2" max="2" width="27.44140625" style="93" bestFit="1" customWidth="1"/>
    <col min="3" max="3" width="19.88671875" style="98" customWidth="1"/>
    <col min="4" max="4" width="21.6640625" style="98" customWidth="1"/>
    <col min="5" max="5" width="21.44140625" style="98" customWidth="1"/>
    <col min="6" max="9" width="19.88671875" style="80" customWidth="1"/>
    <col min="10" max="10" width="52.6640625" style="94" customWidth="1"/>
    <col min="11" max="12" width="8.109375" style="80" customWidth="1"/>
    <col min="13" max="13" width="6.33203125" style="80" bestFit="1" customWidth="1"/>
    <col min="14" max="14" width="33.5546875" style="80" bestFit="1" customWidth="1"/>
    <col min="15" max="15" width="63.44140625" style="80" customWidth="1"/>
    <col min="16" max="16384" width="19.6640625" style="80"/>
  </cols>
  <sheetData>
    <row r="1" spans="2:15" ht="16.2" thickBot="1" x14ac:dyDescent="0.35">
      <c r="B1" s="322" t="s">
        <v>320</v>
      </c>
      <c r="C1" s="322"/>
      <c r="D1" s="322"/>
      <c r="E1" s="322"/>
      <c r="F1" s="322"/>
      <c r="G1" s="322"/>
      <c r="H1" s="322"/>
      <c r="I1" s="322"/>
      <c r="J1" s="322"/>
    </row>
    <row r="2" spans="2:15" ht="16.2" thickBot="1" x14ac:dyDescent="0.35">
      <c r="B2" s="323"/>
      <c r="C2" s="323"/>
      <c r="D2" s="323"/>
      <c r="E2" s="323"/>
      <c r="F2" s="323"/>
      <c r="G2" s="323"/>
      <c r="H2" s="323"/>
      <c r="I2" s="323"/>
      <c r="J2" s="323"/>
      <c r="N2" s="82" t="s">
        <v>151</v>
      </c>
      <c r="O2" s="83" t="s">
        <v>150</v>
      </c>
    </row>
    <row r="3" spans="2:15" ht="80.400000000000006" customHeight="1" x14ac:dyDescent="0.3">
      <c r="B3" s="99" t="s">
        <v>321</v>
      </c>
      <c r="C3" s="100" t="s">
        <v>143</v>
      </c>
      <c r="D3" s="100" t="s">
        <v>144</v>
      </c>
      <c r="E3" s="100" t="s">
        <v>145</v>
      </c>
      <c r="F3" s="101" t="s">
        <v>146</v>
      </c>
      <c r="G3" s="102" t="s">
        <v>147</v>
      </c>
      <c r="H3" s="102" t="s">
        <v>148</v>
      </c>
      <c r="I3" s="102" t="s">
        <v>149</v>
      </c>
      <c r="J3" s="103" t="s">
        <v>150</v>
      </c>
      <c r="K3" s="81"/>
      <c r="L3" s="81"/>
      <c r="N3" s="85" t="s">
        <v>152</v>
      </c>
      <c r="O3" s="86" t="s">
        <v>153</v>
      </c>
    </row>
    <row r="4" spans="2:15" ht="36" customHeight="1" x14ac:dyDescent="0.3">
      <c r="B4" s="95" t="s">
        <v>322</v>
      </c>
      <c r="C4" s="288">
        <v>42072.2</v>
      </c>
      <c r="D4" s="288">
        <v>-48716.7</v>
      </c>
      <c r="E4" s="289">
        <v>-10776</v>
      </c>
      <c r="F4" s="324"/>
      <c r="G4" s="325"/>
      <c r="H4" s="326"/>
      <c r="I4" s="282" t="s">
        <v>152</v>
      </c>
      <c r="J4" s="96" t="str">
        <f>VLOOKUP(I4,$N$3:$O$111,2,0)</f>
        <v xml:space="preserve">CASH RICH COMPANY </v>
      </c>
      <c r="K4" s="84"/>
      <c r="L4" s="84"/>
      <c r="N4" s="88" t="s">
        <v>154</v>
      </c>
      <c r="O4" s="89" t="s">
        <v>155</v>
      </c>
    </row>
    <row r="5" spans="2:15" ht="36" customHeight="1" x14ac:dyDescent="0.3">
      <c r="B5" s="87" t="s">
        <v>323</v>
      </c>
      <c r="C5" s="290">
        <v>103.49</v>
      </c>
      <c r="D5" s="290">
        <v>-14.93</v>
      </c>
      <c r="E5" s="291">
        <v>-81.180000000000007</v>
      </c>
      <c r="F5" s="327"/>
      <c r="G5" s="328"/>
      <c r="H5" s="329"/>
      <c r="I5" s="283" t="s">
        <v>152</v>
      </c>
      <c r="J5" s="274" t="str">
        <f>VLOOKUP(I5,$N$3:$O$111,2,0)</f>
        <v xml:space="preserve">CASH RICH COMPANY </v>
      </c>
      <c r="K5" s="84"/>
      <c r="L5" s="84"/>
      <c r="N5" s="88" t="s">
        <v>156</v>
      </c>
      <c r="O5" s="89" t="s">
        <v>312</v>
      </c>
    </row>
    <row r="6" spans="2:15" ht="36" customHeight="1" x14ac:dyDescent="0.3">
      <c r="B6" s="87" t="s">
        <v>324</v>
      </c>
      <c r="C6" s="290">
        <v>4689</v>
      </c>
      <c r="D6" s="290">
        <v>-764</v>
      </c>
      <c r="E6" s="291">
        <v>-2353</v>
      </c>
      <c r="F6" s="327"/>
      <c r="G6" s="328"/>
      <c r="H6" s="329"/>
      <c r="I6" s="284" t="s">
        <v>152</v>
      </c>
      <c r="J6" s="96" t="str">
        <f>VLOOKUP(I6,$N$3:$O$111,2,0)</f>
        <v xml:space="preserve">CASH RICH COMPANY </v>
      </c>
      <c r="K6" s="84"/>
      <c r="L6" s="84"/>
      <c r="N6" s="88" t="s">
        <v>157</v>
      </c>
      <c r="O6" s="89" t="s">
        <v>158</v>
      </c>
    </row>
    <row r="7" spans="2:15" ht="36" customHeight="1" x14ac:dyDescent="0.3">
      <c r="B7" s="87" t="s">
        <v>325</v>
      </c>
      <c r="C7" s="290">
        <v>57398</v>
      </c>
      <c r="D7" s="290">
        <v>-47117</v>
      </c>
      <c r="E7" s="291">
        <v>11525</v>
      </c>
      <c r="F7" s="327"/>
      <c r="G7" s="328"/>
      <c r="H7" s="329"/>
      <c r="I7" s="283" t="s">
        <v>154</v>
      </c>
      <c r="J7" s="274" t="str">
        <f>VLOOKUP(I7,$N$3:$O$111,2,0)</f>
        <v>PROFITABLE COMPANY GROWING</v>
      </c>
      <c r="K7" s="84"/>
      <c r="L7" s="84"/>
      <c r="N7" s="88" t="s">
        <v>159</v>
      </c>
      <c r="O7" s="89" t="s">
        <v>160</v>
      </c>
    </row>
    <row r="8" spans="2:15" ht="36" customHeight="1" thickBot="1" x14ac:dyDescent="0.35">
      <c r="B8" s="92" t="s">
        <v>326</v>
      </c>
      <c r="C8" s="292">
        <v>97.77</v>
      </c>
      <c r="D8" s="292">
        <v>-468.93</v>
      </c>
      <c r="E8" s="293">
        <v>-88.57</v>
      </c>
      <c r="F8" s="319"/>
      <c r="G8" s="320"/>
      <c r="H8" s="321"/>
      <c r="I8" s="285" t="s">
        <v>152</v>
      </c>
      <c r="J8" s="97" t="str">
        <f>VLOOKUP(I8,$N$3:$O$111,2,0)</f>
        <v xml:space="preserve">CASH RICH COMPANY </v>
      </c>
      <c r="K8" s="84"/>
      <c r="L8" s="84"/>
      <c r="N8" s="88" t="s">
        <v>161</v>
      </c>
      <c r="O8" s="89" t="s">
        <v>162</v>
      </c>
    </row>
    <row r="9" spans="2:15" x14ac:dyDescent="0.3">
      <c r="B9" s="286"/>
      <c r="C9" s="287"/>
      <c r="D9" s="287"/>
      <c r="E9" s="287"/>
      <c r="N9" s="88" t="s">
        <v>163</v>
      </c>
      <c r="O9" s="89" t="s">
        <v>164</v>
      </c>
    </row>
    <row r="10" spans="2:15" ht="31.8" thickBot="1" x14ac:dyDescent="0.35">
      <c r="N10" s="90" t="s">
        <v>165</v>
      </c>
      <c r="O10" s="91" t="s">
        <v>166</v>
      </c>
    </row>
    <row r="11" spans="2:15" ht="16.2" thickBot="1" x14ac:dyDescent="0.35">
      <c r="N11" s="90" t="s">
        <v>181</v>
      </c>
      <c r="O11" s="91" t="s">
        <v>180</v>
      </c>
    </row>
  </sheetData>
  <mergeCells count="6">
    <mergeCell ref="F8:H8"/>
    <mergeCell ref="B1:J2"/>
    <mergeCell ref="F4:H4"/>
    <mergeCell ref="F5:H5"/>
    <mergeCell ref="F6:H6"/>
    <mergeCell ref="F7:H7"/>
  </mergeCells>
  <conditionalFormatting sqref="F4:H8">
    <cfRule type="expression" dxfId="7" priority="1">
      <formula>MOD(ROW(),2)=0</formula>
    </cfRule>
  </conditionalFormatting>
  <pageMargins left="0.7" right="0.7" top="0.75" bottom="0.75" header="0.3" footer="0.3"/>
  <tableParts count="1">
    <tablePart r:id="rId1"/>
  </tableParts>
  <extLst>
    <ext xmlns:x14="http://schemas.microsoft.com/office/spreadsheetml/2009/9/main" uri="{05C60535-1F16-4fd2-B633-F4F36F0B64E0}">
      <x14:sparklineGroups xmlns:xm="http://schemas.microsoft.com/office/excel/2006/main">
        <x14:sparklineGroup type="column" displayEmptyCellsAs="gap" markers="1" negative="1" displayXAxis="1" xr2:uid="{82E9C012-7ADA-4D10-9856-AB34F2CFED4C}">
          <x14:colorSeries rgb="FF00B050"/>
          <x14:colorNegative rgb="FFFF0000"/>
          <x14:colorAxis rgb="FF000000"/>
          <x14:colorMarkers rgb="FF0070C0"/>
          <x14:colorFirst rgb="FFFFC000"/>
          <x14:colorLast rgb="FFFFC000"/>
          <x14:colorHigh rgb="FF00B050"/>
          <x14:colorLow rgb="FFFF0000"/>
          <x14:sparklines>
            <x14:sparkline>
              <xm:f>'Cashflow Interpretations'!C4:E4</xm:f>
              <xm:sqref>F4</xm:sqref>
            </x14:sparkline>
            <x14:sparkline>
              <xm:f>'Cashflow Interpretations'!C5:E5</xm:f>
              <xm:sqref>F5</xm:sqref>
            </x14:sparkline>
            <x14:sparkline>
              <xm:f>'Cashflow Interpretations'!C6:E6</xm:f>
              <xm:sqref>F6</xm:sqref>
            </x14:sparkline>
            <x14:sparkline>
              <xm:f>'Cashflow Interpretations'!C7:E7</xm:f>
              <xm:sqref>F7</xm:sqref>
            </x14:sparkline>
            <x14:sparkline>
              <xm:f>'Cashflow Interpretations'!C8:E8</xm:f>
              <xm:sqref>F8</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AFE9F3F8E58845ACE4828BACCF95DF" ma:contentTypeVersion="4" ma:contentTypeDescription="Create a new document." ma:contentTypeScope="" ma:versionID="0d425ce5c260d93e22ba6b4764dc53bb">
  <xsd:schema xmlns:xsd="http://www.w3.org/2001/XMLSchema" xmlns:xs="http://www.w3.org/2001/XMLSchema" xmlns:p="http://schemas.microsoft.com/office/2006/metadata/properties" xmlns:ns3="d1c26863-3e0d-4964-8a4b-c108f7da68dd" targetNamespace="http://schemas.microsoft.com/office/2006/metadata/properties" ma:root="true" ma:fieldsID="f3e62aee79527492afcbff5e0dbd1aa0" ns3:_="">
    <xsd:import namespace="d1c26863-3e0d-4964-8a4b-c108f7da68d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c26863-3e0d-4964-8a4b-c108f7da68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2DF69E-C9F1-45DD-A32C-07B5412DA1B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982BFCF-B3AE-4E2F-82A3-A7E62D48FC15}">
  <ds:schemaRefs>
    <ds:schemaRef ds:uri="http://schemas.microsoft.com/sharepoint/v3/contenttype/forms"/>
  </ds:schemaRefs>
</ds:datastoreItem>
</file>

<file path=customXml/itemProps3.xml><?xml version="1.0" encoding="utf-8"?>
<ds:datastoreItem xmlns:ds="http://schemas.openxmlformats.org/officeDocument/2006/customXml" ds:itemID="{FB3E1E00-8EF4-43B3-855C-5ED6746956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c26863-3e0d-4964-8a4b-c108f7da68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BEL Financial Model</vt:lpstr>
      <vt:lpstr>BEL Analysis</vt:lpstr>
      <vt:lpstr>Industry Fundamental Analysis</vt:lpstr>
      <vt:lpstr>Cashflow Interpretations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chowd</cp:lastModifiedBy>
  <cp:revision/>
  <dcterms:created xsi:type="dcterms:W3CDTF">2022-08-08T06:20:58Z</dcterms:created>
  <dcterms:modified xsi:type="dcterms:W3CDTF">2022-10-12T08:37:06Z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0x01010041AFE9F3F8E58845ACE4828BACCF95DF</vt:lpwstr>
  </property>
</Properties>
</file>