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Сводная таблица 1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h0y5pzN+uAbpTV7teWdDDov6sNgg=="/>
    </ext>
  </extLst>
</workbook>
</file>

<file path=xl/sharedStrings.xml><?xml version="1.0" encoding="utf-8"?>
<sst xmlns="http://schemas.openxmlformats.org/spreadsheetml/2006/main" count="8453" uniqueCount="3389">
  <si>
    <t>Reversed left context</t>
  </si>
  <si>
    <t>Reversed center</t>
  </si>
  <si>
    <t>Left context</t>
  </si>
  <si>
    <t>Center</t>
  </si>
  <si>
    <t>Punct</t>
  </si>
  <si>
    <t>Right context</t>
  </si>
  <si>
    <t>VERB</t>
  </si>
  <si>
    <t>NOUN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</si>
  <si>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</si>
  <si>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</si>
  <si>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</si>
  <si>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</si>
  <si>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</si>
  <si>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</si>
  <si>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</si>
  <si>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</si>
  <si>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</si>
  <si>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</si>
  <si>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</si>
  <si>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</si>
  <si>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</si>
  <si>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яялватсаз ,иинежярпан в ялетирз тажред йирес</t>
  </si>
  <si>
    <t>ьтавижерепос</t>
  </si>
  <si>
    <t>серий держат зрителя в напряжении, заставляя</t>
  </si>
  <si>
    <t>сопереживать</t>
  </si>
  <si>
    <t xml:space="preserve"> 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</si>
  <si>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как своим близким или родным</t>
    </r>
  </si>
  <si>
    <t>героям</t>
  </si>
  <si>
    <t>коллективный. Форум: 17 мгновений весны (2005-2010)</t>
  </si>
  <si>
    <t>коллективный</t>
  </si>
  <si>
    <t>Форум: 17 мгновений весны</t>
  </si>
  <si>
    <t>2005 | 2006 | 2007 | 2008 | 2009 | 2010</t>
  </si>
  <si>
    <t>нехудожественная | электронная коммуникация</t>
  </si>
  <si>
    <t>комментарии</t>
  </si>
  <si>
    <t>досуг, зрелища и развлечения | искусство и культура</t>
  </si>
  <si>
    <t>электронный текст</t>
  </si>
  <si>
    <t>омонимия снята</t>
  </si>
  <si>
    <r>
      <rPr>
        <rFont val="Calibri"/>
        <color theme="1"/>
        <sz val="11.0"/>
      </rPr>
      <t xml:space="preserve">[pelljack, муж]  Великолепная игра любимых актеров Тихонова, Броневого, Ланового, Евстигнеева и других погружают зрителя в захватывающую историю русского разведчика, и на протяжении всех двенадцати серий держат зрителя в напряжении, заставляя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как своим близким или родным людям.</t>
    </r>
  </si>
  <si>
    <t xml:space="preserve"> ,анартс яанморго теавижорп авонс и авонс</t>
  </si>
  <si>
    <t>яавижерепос</t>
  </si>
  <si>
    <t>снова и снова проживает огромная страна,</t>
  </si>
  <si>
    <t>сопереживая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</si>
  <si>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</si>
  <si>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r>
      <rPr>
        <rFont val="Calibri"/>
        <color theme="1"/>
        <sz val="11.0"/>
      </rPr>
      <t xml:space="preserve">[Кот Бегемот, nick]  Это мгновения, которые снова и снова проживает огромная страна,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</si>
  <si>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t xml:space="preserve"> и екызум ткат в ьсяагивд ,ьсалаводар</t>
  </si>
  <si>
    <t>радовалась, двигаясь в такт музыке и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</si>
  <si>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</si>
  <si>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>Александр Смотров. Тысячи людей собрались на Трафальгарской площади , чтобы увидеть новую версию знаменитого фильма «Броненосец Потемкин» // РИА «Новости», 2004.09.13</t>
  </si>
  <si>
    <t>Александр Смотров</t>
  </si>
  <si>
    <t>Тысячи людей собрались на Трафальгарской площади , чтобы увидеть новую версию знаменитого фильма «Броненосец Потемкин»</t>
  </si>
  <si>
    <t>2004</t>
  </si>
  <si>
    <t>нехудожественная | публицистика</t>
  </si>
  <si>
    <t>заметка</t>
  </si>
  <si>
    <t>искусство и культура</t>
  </si>
  <si>
    <t>РИА «Новости»</t>
  </si>
  <si>
    <t>2004.09.13</t>
  </si>
  <si>
    <t>электронное издание</t>
  </si>
  <si>
    <r>
      <rPr>
        <rFont val="Calibri"/>
        <color theme="1"/>
        <sz val="11.0"/>
      </rPr>
      <t xml:space="preserve">Многонациональная толпа, вздохнув, замирала в трагические моменты фильма и радовалась, двигаясь в такт музыке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</si>
  <si>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 xml:space="preserve"> месв ындогыв ьсилазако козоверепозург ялортнок ыметсис</t>
  </si>
  <si>
    <t>мыннавосеретниаз</t>
  </si>
  <si>
    <t>системы контроля грузоперевозок оказались выгодны всем</t>
  </si>
  <si>
    <t>заинтересованным</t>
  </si>
  <si>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</t>
    </r>
  </si>
  <si>
    <t>сторонам,</t>
  </si>
  <si>
    <t>Владислав Кулаков. Из конца в конец // «Computerworld», 2004</t>
  </si>
  <si>
    <t>Владислав Кулаков</t>
  </si>
  <si>
    <t>Из конца в конец</t>
  </si>
  <si>
    <t>статья</t>
  </si>
  <si>
    <t>бизнес, коммерция, экономика, финансы</t>
  </si>
  <si>
    <t>«Computerworld»</t>
  </si>
  <si>
    <t>журнал</t>
  </si>
  <si>
    <r>
      <rPr>
        <rFont val="Calibri"/>
        <color theme="1"/>
        <sz val="11.0"/>
      </rPr>
      <t xml:space="preserve">Автоматизированные системы контроля грузоперевозок оказались выгодны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 итог ― увеличение оборота вагонов.</t>
    </r>
  </si>
  <si>
    <t xml:space="preserve"> ьнечо йелетичу овтснишьлоб ятох ,анеортсан алыб</t>
  </si>
  <si>
    <t>ьсиливиду</t>
  </si>
  <si>
    <t>была настроена, хотя большинство учителей очень</t>
  </si>
  <si>
    <t>удивились</t>
  </si>
  <si>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</t>
    </r>
  </si>
  <si>
    <t>отсутствию</t>
  </si>
  <si>
    <t>Наши дети: Подростки (2004)</t>
  </si>
  <si>
    <t>Наши дети: Подростки</t>
  </si>
  <si>
    <t>форум</t>
  </si>
  <si>
    <t>частная жизнь</t>
  </si>
  <si>
    <r>
      <rPr>
        <rFont val="Calibri"/>
        <color theme="1"/>
        <sz val="11.0"/>
      </rPr>
      <t xml:space="preserve">Впоследствии всплыли кое-какие факты, исходя из которых, я заключила, что там ещё и классная не в его пользу была настроена, хотя большинство учителей очень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 сожаление.</t>
    </r>
  </si>
  <si>
    <t>ясйудаР</t>
  </si>
  <si>
    <t>Радуйся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</si>
  <si>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улыбайся и влюбляйся ― весенняя пора</t>
    </r>
  </si>
  <si>
    <t>жизни,</t>
  </si>
  <si>
    <t>Преврати свой дом в цветущий сад! // «Даша», 2004</t>
  </si>
  <si>
    <t>Преврати свой дом в цветущий сад!</t>
  </si>
  <si>
    <t>нехудожественная | реклама</t>
  </si>
  <si>
    <t>дом и домашнее хозяйство</t>
  </si>
  <si>
    <t>«Даша»</t>
  </si>
  <si>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улыбайся и влюбляйся ― весенняя пора для этого и создана.</t>
    </r>
  </si>
  <si>
    <t xml:space="preserve"> ен ьтавадто окелад" "адолом ёще атсевен</t>
  </si>
  <si>
    <t>ястечох</t>
  </si>
  <si>
    <t>невеста ещё молода" "далеко отдавать не</t>
  </si>
  <si>
    <t>хочется</t>
  </si>
  <si>
    <t>" "</t>
  </si>
  <si>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</t>
    </r>
  </si>
  <si>
    <t>девке</t>
  </si>
  <si>
    <t>Свадьба тюменских старожилов // «Народное творчество», 2004</t>
  </si>
  <si>
    <t>Свадьба тюменских старожилов</t>
  </si>
  <si>
    <t>«Народное творчество»</t>
  </si>
  <si>
    <r>
      <rPr>
        <rFont val="Calibri"/>
        <color theme="1"/>
        <sz val="11.0"/>
      </rPr>
      <t xml:space="preserve">Родители невесты, даже не имея ничего против жениха, считали необходимым сначала не соглашаться, отговариваясь тем, что "невеста ещё молода" "далеко отдавать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>" "</t>
    </r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 ума подкопить".</t>
    </r>
  </si>
  <si>
    <t xml:space="preserve"> окандО </t>
  </si>
  <si>
    <t>ьтавовтсвучос</t>
  </si>
  <si>
    <t>Однако</t>
  </si>
  <si>
    <t>сочувствовать</t>
  </si>
  <si>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</t>
    </r>
  </si>
  <si>
    <t>НТВ</t>
  </si>
  <si>
    <t>Александр Храмчихин. Комплекс полноценности // «Отечественные записки», 2003</t>
  </si>
  <si>
    <t>Александр Храмчихин</t>
  </si>
  <si>
    <t>Комплекс полноценности</t>
  </si>
  <si>
    <t>2003</t>
  </si>
  <si>
    <t>политика и общественная жизнь</t>
  </si>
  <si>
    <t>«Отечественные записки»</t>
  </si>
  <si>
    <r>
      <rPr>
        <rFont val="Calibri"/>
        <color theme="1"/>
        <sz val="11.0"/>
      </rPr>
      <t xml:space="preserve">Однако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 публичных разбирательств с Газпромом стало очевидно, что "уникальный творческий коллектив" боролся с режимом на деньги режима.</t>
    </r>
  </si>
  <si>
    <t xml:space="preserve"> Я" </t>
  </si>
  <si>
    <t>ясливидоп</t>
  </si>
  <si>
    <t>"Я</t>
  </si>
  <si>
    <t>подивился</t>
  </si>
  <si>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</t>
    </r>
  </si>
  <si>
    <t>развязности</t>
  </si>
  <si>
    <t>Вадим Крейд. Георгий Иванов в Йере // «Звезда», 2003</t>
  </si>
  <si>
    <t>Вадим Крейд</t>
  </si>
  <si>
    <t>Георгий Иванов в Йере</t>
  </si>
  <si>
    <t>нехудожественная | учебно-научная</t>
  </si>
  <si>
    <t>биография</t>
  </si>
  <si>
    <t>«Звезда»</t>
  </si>
  <si>
    <r>
      <rPr>
        <rFont val="Calibri"/>
        <color theme="1"/>
        <sz val="11.0"/>
      </rPr>
      <t xml:space="preserve">"Я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 по части репатриации, ― заметил Георгий Иванов.</t>
    </r>
  </si>
  <si>
    <t xml:space="preserve"> кат кочялтевС</t>
  </si>
  <si>
    <t>яславодарбо</t>
  </si>
  <si>
    <t>Светлячок так</t>
  </si>
  <si>
    <t>обрадовался</t>
  </si>
  <si>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</t>
    </r>
  </si>
  <si>
    <t>гостям,</t>
  </si>
  <si>
    <t>Георгий Юдин. Васильковое варенье // «Мурзилка», 2003</t>
  </si>
  <si>
    <t>Георгий Юдин</t>
  </si>
  <si>
    <t>Васильковое варенье</t>
  </si>
  <si>
    <t>художественная</t>
  </si>
  <si>
    <t>миниатюра</t>
  </si>
  <si>
    <t>«Мурзилка»</t>
  </si>
  <si>
    <r>
      <rPr>
        <rFont val="Calibri"/>
        <color theme="1"/>
        <sz val="11.0"/>
      </rPr>
      <t xml:space="preserve">Светлячок так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всё, что у него было: прозрачную, как стеклянные шарики, ежевику, большие красные яблоки, у которых от спелости внутри семечки, как в погремушке, гремели, и, самое главное, голубое васильковое варенье.</t>
    </r>
  </si>
  <si>
    <t xml:space="preserve"> водяр еиненлопоп еонченоксеб илИ </t>
  </si>
  <si>
    <t>хищюувтсвучос</t>
  </si>
  <si>
    <t>Или бесконечное пополнение рядов</t>
  </si>
  <si>
    <t>сочувствующих</t>
  </si>
  <si>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</si>
  <si>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>делу</t>
  </si>
  <si>
    <t>Евгений Жеребенков. Учитесь властвовать... // «Итоги», 2003.03.04</t>
  </si>
  <si>
    <t>Евгений Жеребенков</t>
  </si>
  <si>
    <t>Учитесь властвовать...</t>
  </si>
  <si>
    <t>«Итоги»</t>
  </si>
  <si>
    <t>2003.03.04</t>
  </si>
  <si>
    <r>
      <rPr>
        <rFont val="Calibri"/>
        <color theme="1"/>
        <sz val="11.0"/>
      </rPr>
      <t xml:space="preserve">Или бесконечное пополнение рядов </t>
    </r>
    <r>
      <rPr>
        <rFont val="Calibri"/>
        <b/>
        <color theme="1"/>
        <sz val="11.0"/>
      </rPr>
      <t>сочувствующих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</si>
  <si>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 xml:space="preserve"> ынжлод "идюл ыверадусог" ,ыб ьсолазаК елмерК</t>
  </si>
  <si>
    <t>ясьтаводар</t>
  </si>
  <si>
    <t>Кремле Казалось бы, "государевы люди" должны</t>
  </si>
  <si>
    <t>радоваться</t>
  </si>
  <si>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</si>
  <si>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>росту</t>
  </si>
  <si>
    <t>Иосиф Гальперин. Власть «делом» занимается // «Совершенно секретно», 2003.08.09</t>
  </si>
  <si>
    <t>Иосиф Гальперин</t>
  </si>
  <si>
    <t>Власть «делом» занимается</t>
  </si>
  <si>
    <t>«Совершенно секретно»</t>
  </si>
  <si>
    <t>2003.08.09</t>
  </si>
  <si>
    <t>газета</t>
  </si>
  <si>
    <r>
      <rPr>
        <rFont val="Calibri"/>
        <color theme="1"/>
        <sz val="11.0"/>
      </rPr>
      <t xml:space="preserve">Смута в Кремле Казалось бы, "государевы люди" должны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</si>
  <si>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 xml:space="preserve"> окьлот онжоМ </t>
  </si>
  <si>
    <t>ьтавовтсвучосоп</t>
  </si>
  <si>
    <t>Можно только</t>
  </si>
  <si>
    <t>посочувствовать</t>
  </si>
  <si>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</t>
    </r>
  </si>
  <si>
    <t>судам,</t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</si>
  <si>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</si>
  <si>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</si>
  <si>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</si>
  <si>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</si>
  <si>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</si>
  <si>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r>
      <rPr>
        <rFont val="Calibri"/>
        <color theme="1"/>
        <sz val="11.0"/>
      </rPr>
      <t xml:space="preserve">Можно только </t>
    </r>
    <r>
      <rPr>
        <rFont val="Calibri"/>
        <b/>
        <color theme="1"/>
        <sz val="11.0"/>
      </rPr>
      <t>посочувствовать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 на данный закон.</t>
    </r>
  </si>
  <si>
    <t xml:space="preserve"> ен язьлен ,юиротси утэ яанимопсВ </t>
  </si>
  <si>
    <t>ясьтивиду</t>
  </si>
  <si>
    <t>Вспоминая эту историю, нельзя не</t>
  </si>
  <si>
    <t>удивиться</t>
  </si>
  <si>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</si>
  <si>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>мудрости</t>
  </si>
  <si>
    <t>Светлана Ткачева. День влюбленных... // «100% здоровья», 2003.01.15</t>
  </si>
  <si>
    <t>Светлана Ткачева</t>
  </si>
  <si>
    <t>День влюбленных...</t>
  </si>
  <si>
    <t>интервью</t>
  </si>
  <si>
    <t>«100% здоровья»</t>
  </si>
  <si>
    <t>2003.01.15</t>
  </si>
  <si>
    <r>
      <rPr>
        <rFont val="Calibri"/>
        <color theme="1"/>
        <sz val="11.0"/>
      </rPr>
      <t xml:space="preserve">Вспоминая эту историю, нельзя не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</si>
  <si>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 xml:space="preserve"> добовс хынчоныр йинечинарго ,тятох ен зюоС</t>
  </si>
  <si>
    <t>ястяоб</t>
  </si>
  <si>
    <t>Союз не хотят, ограничений рыночных свобод</t>
  </si>
  <si>
    <t>боятся</t>
  </si>
  <si>
    <t xml:space="preserve">, </t>
  </si>
  <si>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</t>
    </r>
  </si>
  <si>
    <t>СПС</t>
  </si>
  <si>
    <t>Сергей Доренко. Левые силы - перезагрузка // «Завтра», 2003.08.13</t>
  </si>
  <si>
    <t>Сергей Доренко</t>
  </si>
  <si>
    <t>1959</t>
  </si>
  <si>
    <t>Левые силы - перезагрузка</t>
  </si>
  <si>
    <t>«Завтра»</t>
  </si>
  <si>
    <t>2003.08.13</t>
  </si>
  <si>
    <r>
      <rPr>
        <rFont val="Calibri"/>
        <color theme="1"/>
        <sz val="11.0"/>
      </rPr>
      <t xml:space="preserve">Коммунистов многие недолюбливают, в Сов. Союз не хотят, ограничений рыночных свобод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 верят.</t>
    </r>
  </si>
  <si>
    <t xml:space="preserve"> ано огесв ешьлоб оН </t>
  </si>
  <si>
    <t>ьсаливиду</t>
  </si>
  <si>
    <t>Но больше всего она</t>
  </si>
  <si>
    <t>удивилась</t>
  </si>
  <si>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</si>
  <si>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муравью,</t>
  </si>
  <si>
    <t>100 лет со дня рождения Елены Александровны Благининой // «Мурзилка», 2003</t>
  </si>
  <si>
    <t>100 лет со дня рождения Елены Александровны Благининой</t>
  </si>
  <si>
    <t>сказка</t>
  </si>
  <si>
    <r>
      <rPr>
        <rFont val="Calibri"/>
        <color theme="1"/>
        <sz val="11.0"/>
      </rPr>
      <t xml:space="preserve">Но больше всего она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</si>
  <si>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ясьтаводаР</t>
  </si>
  <si>
    <t>Радоваться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</si>
  <si>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и дальше, со всеми вытекающими</t>
    </r>
  </si>
  <si>
    <t>жизни</t>
  </si>
  <si>
    <t>Стиляга в гостях у «Марийской правды» // «Марийская правда» (Йошкар-Ола), 2003.01.21</t>
  </si>
  <si>
    <t>Стиляга в гостях у «Марийской правды»</t>
  </si>
  <si>
    <t>«Марийская правда» (Йошкар-Ола)</t>
  </si>
  <si>
    <t>2003.01.21</t>
  </si>
  <si>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и дальше, со всеми вытекающими последствиями.</t>
    </r>
  </si>
  <si>
    <t xml:space="preserve"> адгони и ьтатчем илгом тел ьтсеш</t>
  </si>
  <si>
    <t>шесть лет могли мечтать и иногда</t>
  </si>
  <si>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</si>
  <si>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>исполнению</t>
  </si>
  <si>
    <t>Андрей Митьков. Беги-стреляй. Итоги второго этапа Кубка мира по биатлону // «Известия», 2002.12.16</t>
  </si>
  <si>
    <t>Андрей Митьков</t>
  </si>
  <si>
    <t>Беги-стреляй. Итоги второго этапа Кубка мира по биатлону</t>
  </si>
  <si>
    <t>2002</t>
  </si>
  <si>
    <t>спорт</t>
  </si>
  <si>
    <t>«Известия»</t>
  </si>
  <si>
    <t>2002.12.16</t>
  </si>
  <si>
    <r>
      <rPr>
        <rFont val="Calibri"/>
        <color theme="1"/>
        <sz val="11.0"/>
      </rPr>
      <t xml:space="preserve">Уходом она словно открыла шлюзы к верхней ступени пьедестала, о котором последние шесть лет могли мечтать и иногда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</si>
  <si>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 xml:space="preserve"> ыб окьлот тангам йындом йогурд йобюЛ</t>
  </si>
  <si>
    <t>яславодароп</t>
  </si>
  <si>
    <t>Любой другой модный магнат только бы</t>
  </si>
  <si>
    <t>порадовался</t>
  </si>
  <si>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</t>
    </r>
  </si>
  <si>
    <t>ажиотажу</t>
  </si>
  <si>
    <t>Анна Карабаш, Екатерина Емельянова. Дом (не)моды // «Домовой», 2002.01.04</t>
  </si>
  <si>
    <t>Анна Карабаш, Екатерина Емельянова</t>
  </si>
  <si>
    <t>Дом (не)моды</t>
  </si>
  <si>
    <t>«Домовой»</t>
  </si>
  <si>
    <t>2002.01.04</t>
  </si>
  <si>
    <r>
      <rPr>
        <rFont val="Calibri"/>
        <color theme="1"/>
        <sz val="11.0"/>
      </rPr>
      <t xml:space="preserve">Любой другой модный магнат только бы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 случайный подарок ― лишний повод "засветиться" в прессе.</t>
    </r>
  </si>
  <si>
    <t xml:space="preserve"> хыннёщявсоп ,йинащевос тюавызос ен енилреБ в</t>
  </si>
  <si>
    <t>умещюагуп</t>
  </si>
  <si>
    <t>в Берлине не созывают совещаний, посвящённых</t>
  </si>
  <si>
    <t>пугающему</t>
  </si>
  <si>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</si>
  <si>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>Максим Соколов. Меня уже никто не любит. Колонка обозревателя // «Известия», 2002.09.25</t>
  </si>
  <si>
    <t>Максим Соколов</t>
  </si>
  <si>
    <t>Меня уже никто не любит. Колонка обозревателя</t>
  </si>
  <si>
    <t>комментарий</t>
  </si>
  <si>
    <t>2002.09.25</t>
  </si>
  <si>
    <r>
      <rPr>
        <rFont val="Calibri"/>
        <color theme="1"/>
        <sz val="11.0"/>
      </rPr>
      <t xml:space="preserve">Однако в Берлине не созывают совещаний, посвящённых </t>
    </r>
    <r>
      <rPr>
        <rFont val="Calibri"/>
        <b/>
        <color theme="1"/>
        <sz val="11.0"/>
      </rPr>
      <t>пугающему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</si>
  <si>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 xml:space="preserve"> тиотс а ,атевц оготсилмез ,оголеб оннешревос</t>
  </si>
  <si>
    <t>ьтачинвреноп</t>
  </si>
  <si>
    <t>совершенно белого, землистого цвета, а стоит</t>
  </si>
  <si>
    <t>понервничать</t>
  </si>
  <si>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</t>
    </r>
  </si>
  <si>
    <t>Галине,</t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</si>
  <si>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</si>
  <si>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</si>
  <si>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</si>
  <si>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</si>
  <si>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</si>
  <si>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</si>
  <si>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</si>
  <si>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"/>
        <color theme="1"/>
        <sz val="11.0"/>
      </rPr>
      <t xml:space="preserve">Вообще, Слава ― человек экспансивный, когда волнуется, становится совершенно белого, землистого цвета, а стоит </t>
    </r>
    <r>
      <rPr>
        <rFont val="Calibri"/>
        <b/>
        <color theme="1"/>
        <sz val="11.0"/>
      </rPr>
      <t>понервничать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 и она начинает пылать.</t>
    </r>
  </si>
  <si>
    <t xml:space="preserve"> ежу мотоп а ,алсензиорп алачанс анирИ</t>
  </si>
  <si>
    <t>ьсализароп</t>
  </si>
  <si>
    <t>Ирина сначала произнесла, а потом уже</t>
  </si>
  <si>
    <t>поразилась</t>
  </si>
  <si>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</si>
  <si>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>слову</t>
  </si>
  <si>
    <t>Токарева Виктория. Своя правда // «Новый Мир», 2002</t>
  </si>
  <si>
    <t>Токарева Виктория</t>
  </si>
  <si>
    <t>1937</t>
  </si>
  <si>
    <t>Своя правда</t>
  </si>
  <si>
    <t>повесть</t>
  </si>
  <si>
    <t>«Новый Мир»</t>
  </si>
  <si>
    <r>
      <rPr>
        <rFont val="Calibri"/>
        <color theme="1"/>
        <sz val="11.0"/>
      </rPr>
      <t xml:space="preserve">Ирина сначала произнесла, а потом уже </t>
    </r>
    <r>
      <rPr>
        <rFont val="Calibri"/>
        <b/>
        <color theme="1"/>
        <sz val="11.0"/>
      </rPr>
      <t>поразилась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</si>
  <si>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 xml:space="preserve"> еннеркси ― илунревс иеш оньлавкуб ыничжум ецилу</t>
  </si>
  <si>
    <t>ьсилаводар</t>
  </si>
  <si>
    <t>улице мужчины буквально шеи свернули ― искренне</t>
  </si>
  <si>
    <t>радовались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</si>
  <si>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</t>
    </r>
  </si>
  <si>
    <t>встрече</t>
  </si>
  <si>
    <t>Эльвира Савкина. Max Мara вывела vip-леди Самары на подиум // «Дело» (Самара), 2002.05.26</t>
  </si>
  <si>
    <t>Эльвира Савкина</t>
  </si>
  <si>
    <t>Max Мara вывела vip-леди Самары на подиум</t>
  </si>
  <si>
    <t>репортаж</t>
  </si>
  <si>
    <t>досуг, зрелища и развлечения</t>
  </si>
  <si>
    <t>«Дело» (Самара)</t>
  </si>
  <si>
    <t>2002.05.26</t>
  </si>
  <si>
    <r>
      <rPr>
        <rFont val="Calibri"/>
        <color theme="1"/>
        <sz val="11.0"/>
      </rPr>
      <t xml:space="preserve">Около пятидесяти стильно одетых дам ― оказавшиеся в этот момент на улице мужчины буквально шеи свернули ― искренне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 активно строили догадки о причине выдворения всех за дверь.</t>
    </r>
  </si>
  <si>
    <t xml:space="preserve"> я ,еретиП в яавыб ,зар йыджаК</t>
  </si>
  <si>
    <t>ьсюялмузи</t>
  </si>
  <si>
    <t>Каждый раз, бывая в Питере, я</t>
  </si>
  <si>
    <t>изумляюсь</t>
  </si>
  <si>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</t>
    </r>
  </si>
  <si>
    <t>красоте</t>
  </si>
  <si>
    <t>На том стоим // «Домовой», 2002.02.04</t>
  </si>
  <si>
    <t>На том стоим</t>
  </si>
  <si>
    <t>2002.02.04</t>
  </si>
  <si>
    <r>
      <rPr>
        <rFont val="Calibri"/>
        <color theme="1"/>
        <sz val="11.0"/>
      </rPr>
      <t xml:space="preserve">Каждый раз, бывая в Питере, я </t>
    </r>
    <r>
      <rPr>
        <rFont val="Calibri"/>
        <b/>
        <color theme="1"/>
        <sz val="11.0"/>
      </rPr>
      <t>изумляюсь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архитекторы, и мастерству столяров и плотников, работавших с самым простым инструментом.</t>
    </r>
  </si>
  <si>
    <t xml:space="preserve"> мет илазакс отч ,онтсевзиеН</t>
  </si>
  <si>
    <t>мишвынуирп</t>
  </si>
  <si>
    <t>Неизвестно, что сказали тем</t>
  </si>
  <si>
    <t>приунывшим</t>
  </si>
  <si>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</t>
    </r>
  </si>
  <si>
    <t>девчаткам,</t>
  </si>
  <si>
    <t>Василь Быков. Болото (2001)</t>
  </si>
  <si>
    <t>Василь Быков</t>
  </si>
  <si>
    <t>1924</t>
  </si>
  <si>
    <t>Болото</t>
  </si>
  <si>
    <t>2001</t>
  </si>
  <si>
    <t>Василь Быков. «Бедные люди»</t>
  </si>
  <si>
    <r>
      <rPr>
        <rFont val="Calibri"/>
        <color theme="1"/>
        <sz val="11.0"/>
      </rPr>
      <t xml:space="preserve">Неизвестно, что сказали тем </t>
    </r>
    <r>
      <rPr>
        <rFont val="Calibri"/>
        <b/>
        <color theme="1"/>
        <sz val="11.0"/>
      </rPr>
      <t>приунывшим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 же ссадили на повороте в аэропорт.</t>
    </r>
  </si>
  <si>
    <t xml:space="preserve"> ,ецнлос лачертсв ,иинавалп монтевсогурк в ытхав</t>
  </si>
  <si>
    <t>яславодар</t>
  </si>
  <si>
    <t>вахты в кругосветном плавании, встречал солнце,</t>
  </si>
  <si>
    <t>радовался</t>
  </si>
  <si>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</t>
    </r>
  </si>
  <si>
    <t>китам,</t>
  </si>
  <si>
    <t>Виталий Коржиков. [О себе] // «Мурзилка», 2001</t>
  </si>
  <si>
    <t>Виталий Коржиков</t>
  </si>
  <si>
    <t>1931</t>
  </si>
  <si>
    <t>[О себе]</t>
  </si>
  <si>
    <r>
      <rPr>
        <rFont val="Calibri"/>
        <color theme="1"/>
        <sz val="11.0"/>
      </rPr>
      <t xml:space="preserve">С одними стоял я ночные вахты в кругосветном плавании, встречал солнце,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 выносил грузы на ломкий арктический лёд. Без их рассказов, без их шуток и озорных небылиц не сложились бы, пожалуй, у меня книги для ребят: ни "Морской сундучок", ни "Волны словно кенгуру", ни "Жил человек у океана", ни "Коготь динозавра", ни тем более "Весёлое мореплавание Солнышкина"…</t>
    </r>
  </si>
  <si>
    <t xml:space="preserve"> матамхаш оп арим ноипмеч-скЭ </t>
  </si>
  <si>
    <t>Экс-чемпион мира по шахматам</t>
  </si>
  <si>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</si>
  <si>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>терактам</t>
  </si>
  <si>
    <t>Роман Средиземский. Безумный Фишер. Экс-чемпион мира по шахматам обрадовался терактам в США // «Известия», 2001.12.03</t>
  </si>
  <si>
    <t>Роман Средиземский</t>
  </si>
  <si>
    <t>Безумный Фишер. Экс-чемпион мира по шахматам обрадовался терактам в США</t>
  </si>
  <si>
    <t>2001.12.03</t>
  </si>
  <si>
    <r>
      <rPr>
        <rFont val="Calibri"/>
        <color theme="1"/>
        <sz val="11.0"/>
      </rPr>
      <t xml:space="preserve">Экс-чемпион мира по шахматам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</si>
  <si>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 xml:space="preserve"> ьнечо ыб едорв ,юинавозарбо оп роткод</t>
  </si>
  <si>
    <t>ьсилаводарбо</t>
  </si>
  <si>
    <t>доктор по образованию, вроде бы очень</t>
  </si>
  <si>
    <t>обрадовались</t>
  </si>
  <si>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</t>
    </r>
  </si>
  <si>
    <t>предложению</t>
  </si>
  <si>
    <t>Ромуальд Шидловский. Шкурный интерес. Почему Коби Брайант не приезжает в Россию // «Известия», 2001.08.14</t>
  </si>
  <si>
    <t>Ромуальд Шидловский</t>
  </si>
  <si>
    <t>Шкурный интерес. Почему Коби Брайант не приезжает в Россию</t>
  </si>
  <si>
    <t>2001.08.14</t>
  </si>
  <si>
    <r>
      <rPr>
        <rFont val="Calibri"/>
        <color theme="1"/>
        <sz val="11.0"/>
      </rPr>
      <t xml:space="preserve">Сам Эминем и его родной брат Дре, доктор по образованию, вроде бы очень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 Adidas Streetball Challenge.</t>
    </r>
  </si>
  <si>
    <t xml:space="preserve"> и итсопут йонневтсбос яслажароп ьшил янюлоК</t>
  </si>
  <si>
    <t>ясливид</t>
  </si>
  <si>
    <t>Колюня лишь поражался собственной тупости и</t>
  </si>
  <si>
    <t>дивился</t>
  </si>
  <si>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</si>
  <si>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>мощи</t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</si>
  <si>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</si>
  <si>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</si>
  <si>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</si>
  <si>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</si>
  <si>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</si>
  <si>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роман</t>
  </si>
  <si>
    <r>
      <rPr>
        <rFont val="Calibri"/>
        <color theme="1"/>
        <sz val="11.0"/>
      </rPr>
      <t xml:space="preserve">Потом Анатолий разбирал по памяти партию и показывал ошибки и верные ходы так играючи и легко, что Колюня лишь поражался собственной тупости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</si>
  <si>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 xml:space="preserve"> лизоргирп ,мовтсечонидо миксжум йымимот ,и лижулс</t>
  </si>
  <si>
    <t>йоннагупереп</t>
  </si>
  <si>
    <t>служил и, томимый мужским одиночеством, пригрозил</t>
  </si>
  <si>
    <t>перепуганной</t>
  </si>
  <si>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</t>
    </r>
  </si>
  <si>
    <t>матери</t>
  </si>
  <si>
    <r>
      <rPr>
        <rFont val="Calibri"/>
        <color theme="1"/>
        <sz val="11.0"/>
      </rPr>
      <t xml:space="preserve">Был, правда, один шанс ― поехать на Байконур, где тогда всё только начиналось, но переселяться в степную глушь не захотела Людмила Ивановна ― хорошенькая полуполька, которая ― опять же по рассказам спешно устроившей сватовство бабушки ― вышла замуж за дядю через день после их знакомства и укатила с молодым лейтенантом в Восточную Германию, где он в ту пору служил и, томимый мужским одиночеством, пригрозил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 мать не сыщет жену на Родине во время положенного служивому отпуска.</t>
    </r>
  </si>
  <si>
    <t xml:space="preserve"> и кодапмал юинечевс яслялиму ,яинеп огонвокрец</t>
  </si>
  <si>
    <t>церковного пения, умилялся свечению лампадок и</t>
  </si>
  <si>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</t>
    </r>
  </si>
  <si>
    <t>одеждам</t>
  </si>
  <si>
    <r>
      <rPr>
        <rFont val="Calibri"/>
        <color theme="1"/>
        <sz val="11.0"/>
      </rPr>
      <t xml:space="preserve">Он хорошо знал, что никого и ничего там нет, хотел объяснить и доказать невежественным людям, среди которых попадались не только глупые старухи, но и женщины средних лет и их покорные дети, которых изверги родители заставляли кланяться и креститься, вставать на колени и целовать иконы, он хотел всех несчастных детишек защитить, спасти от морока и обмана, но сам невольно попадал под власть непонятного церковного пения, умилялся свечению лампадок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миру, обходивших храмы с кадилом священников, куда более похожих на таинственных существ, чем ряженые Деды Морозы с грубыми Снегурками; он никогда иереям не кланялся, вызывающе смотрел в слегка насмешливые и прозорливые, всё ведавшие, спокойные глаза и вспоминал надменную и недобрую чилийку Соню из Ивановского интернационального детского дома, в которую тоже был немножко влюблён, а она однажды очень серьёзно и печально сказала ему, что, хотя комсомолка и носит на теле малиновую рубашку, в сердце всё равно остаётся католичкой, ибо была на том воспитана и не может от власти воспоминания освободиться.</t>
    </r>
  </si>
  <si>
    <t xml:space="preserve"> онтяирпен и лавонверзов янюлоК ,упоп умокьнератс</t>
  </si>
  <si>
    <t>ясливиду</t>
  </si>
  <si>
    <t>старенькому попу, Колюня возревновал и неприятно</t>
  </si>
  <si>
    <t>удивился</t>
  </si>
  <si>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</t>
    </r>
  </si>
  <si>
    <t>метаморфозе,</t>
  </si>
  <si>
    <r>
      <rPr>
        <rFont val="Calibri"/>
        <color theme="1"/>
        <sz val="11.0"/>
      </rPr>
      <t xml:space="preserve">а теперь этот самый Колосков уверенно и привычно прикладывался к иконам, ставил свечи, подходил к помазанию и умильно целовал руку старенькому попу, Колюня возревновал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 нечто генетически-лицемерное, и разговора не поддержал.</t>
    </r>
  </si>
  <si>
    <t xml:space="preserve"> ― ланзу адгок А </t>
  </si>
  <si>
    <t>А когда узнал ―</t>
  </si>
  <si>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</t>
    </r>
  </si>
  <si>
    <t>полноте</t>
  </si>
  <si>
    <t>Вера Белоусова. Второй выстрел (2000)</t>
  </si>
  <si>
    <t>Вера Белоусова</t>
  </si>
  <si>
    <t>Второй выстрел</t>
  </si>
  <si>
    <t>Вера Белоусова. Второй выстрел</t>
  </si>
  <si>
    <r>
      <rPr>
        <rFont val="Calibri"/>
        <color theme="1"/>
        <sz val="11.0"/>
      </rPr>
      <t xml:space="preserve">Причём заметьте: когда это впервые пришло мне в голову, я ещё знать не знал про Ольгу и отца.  А когда узнал ―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  Выходит, мы с Сонькой думали об одном и том же…</t>
    </r>
  </si>
  <si>
    <t xml:space="preserve"> отсорп анО </t>
  </si>
  <si>
    <t>ьсалаводар</t>
  </si>
  <si>
    <t>Она просто</t>
  </si>
  <si>
    <t>радовалась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</si>
  <si>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</t>
    </r>
  </si>
  <si>
    <t>возможности</t>
  </si>
  <si>
    <r>
      <rPr>
        <rFont val="Calibri"/>
        <color theme="1"/>
        <sz val="11.0"/>
      </rPr>
      <t xml:space="preserve">Она и не думала задаваться вопросом, зачем я её расспрашиваю.  Она просто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  Вот что я от неё узнал.</t>
    </r>
  </si>
  <si>
    <t xml:space="preserve"> ,икичьлап иовс ьтачузи ,ясьтабылу иланичан ино</t>
  </si>
  <si>
    <t>они начинали улыбаться, изучать свои пальчики,</t>
  </si>
  <si>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</si>
  <si>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>узнаванию</t>
  </si>
  <si>
    <t>Людмила Улицкая. Казус Кукоцкого [Путешествие в седьмую сторону света] // «Новый Мир», 2000</t>
  </si>
  <si>
    <t>Людмила Улицкая</t>
  </si>
  <si>
    <t>1943</t>
  </si>
  <si>
    <t>Казус Кукоцкого [Путешествие в седьмую сторону света]</t>
  </si>
  <si>
    <r>
      <rPr>
        <rFont val="Calibri"/>
        <color theme="1"/>
        <sz val="11.0"/>
      </rPr>
      <t xml:space="preserve">На них тратились великие силы и труды, а потом они исчезали, и Павел Алексеевич почти никогда не видел этих мальчиков и девочек в ту пору, когда они начинали улыбаться, изучать свои пальчики,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</si>
  <si>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 xml:space="preserve"> ― !юуксвелорок енм И ― </t>
  </si>
  <si>
    <t>ьсяудар</t>
  </si>
  <si>
    <t>― И мне королевскую! ―</t>
  </si>
  <si>
    <t>радуясь</t>
  </si>
  <si>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</si>
  <si>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t>приключению,</t>
  </si>
  <si>
    <r>
      <rPr>
        <rFont val="Calibri"/>
        <color theme="1"/>
        <sz val="11.0"/>
      </rPr>
      <t xml:space="preserve">― И мне королевскую! ―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</si>
  <si>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t>ьсяялмузИ</t>
  </si>
  <si>
    <t>Изумляясь</t>
  </si>
  <si>
    <r>
      <rPr>
        <rFont val="Calibri"/>
        <b/>
        <color theme="1"/>
        <sz val="11.0"/>
      </rPr>
      <t>лёгкости</t>
    </r>
    <r>
      <rPr>
        <rFont val="Calibri"/>
        <color theme="1"/>
        <sz val="11.0"/>
      </rPr>
      <t xml:space="preserve"> и послушности своего тела, она</t>
    </r>
  </si>
  <si>
    <t>лёгкости</t>
  </si>
  <si>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лёгкости</t>
    </r>
    <r>
      <rPr>
        <rFont val="Calibri"/>
        <color theme="1"/>
        <sz val="11.0"/>
      </rPr>
      <t xml:space="preserve"> и послушности своего тела, она обхватила шершавый металлический шест и, прижимаясь к нему всем телом, полезла вверх.</t>
    </r>
  </si>
  <si>
    <t xml:space="preserve"> и еварт оп вогаш окьлоксен алаледс</t>
  </si>
  <si>
    <t>сделала несколько шагов по траве и</t>
  </si>
  <si>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</t>
    </r>
  </si>
  <si>
    <t>богатству</t>
  </si>
  <si>
    <r>
      <rPr>
        <rFont val="Calibri"/>
        <color theme="1"/>
        <sz val="11.0"/>
      </rPr>
      <t xml:space="preserve">Она сделала несколько шагов по траве и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 стопы к земле: чувствовала каждую травинку, взаимное расположение стеблей и даже влагалищные соединения узких листьев.</t>
    </r>
  </si>
  <si>
    <t xml:space="preserve"> нО </t>
  </si>
  <si>
    <t>Он</t>
  </si>
  <si>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</t>
    </r>
  </si>
  <si>
    <t>Тане,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</si>
  <si>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 боксёрского лица, но быстро сникал, видя Танину тоску и плохо скрытую жалость.</t>
    </r>
  </si>
  <si>
    <t xml:space="preserve"> яажлодорп ,нос в яслилаворп ,йишвапс ен</t>
  </si>
  <si>
    <t>ясьтялмузи</t>
  </si>
  <si>
    <t>не спавший, провалился в сон, продолжая</t>
  </si>
  <si>
    <t>изумляться</t>
  </si>
  <si>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</t>
    </r>
  </si>
  <si>
    <t>состоянию</t>
  </si>
  <si>
    <r>
      <rPr>
        <rFont val="Calibri"/>
        <color theme="1"/>
        <sz val="11.0"/>
      </rPr>
      <t xml:space="preserve">Отдав весь боезапас молодого бойца, он, двое суток не спавший, провалился в сон, продолжая </t>
    </r>
    <r>
      <rPr>
        <rFont val="Calibri"/>
        <b/>
        <color theme="1"/>
        <sz val="11.0"/>
      </rPr>
      <t>изумляться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 острого скотства…</t>
    </r>
  </si>
  <si>
    <t xml:space="preserve"> отдуб как акшубаБ </t>
  </si>
  <si>
    <t>течох</t>
  </si>
  <si>
    <t>Бабушка как будто</t>
  </si>
  <si>
    <t>хочет</t>
  </si>
  <si>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</si>
  <si>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t>Жене</t>
  </si>
  <si>
    <r>
      <rPr>
        <rFont val="Calibri"/>
        <color theme="1"/>
        <sz val="11.0"/>
      </rPr>
      <t xml:space="preserve">Бабушка как будто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</si>
  <si>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t xml:space="preserve"> ,липорп и ― усрук умоньламиним оп илбур</t>
  </si>
  <si>
    <t>рубли по минимальному курсу ― и пропил,</t>
  </si>
  <si>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</si>
  <si>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>удаче.</t>
  </si>
  <si>
    <t>Алексей Слаповский. Международная любовь (1999)</t>
  </si>
  <si>
    <t>Алексей Слаповский</t>
  </si>
  <si>
    <t>1957</t>
  </si>
  <si>
    <t>Международная любовь</t>
  </si>
  <si>
    <t>1999</t>
  </si>
  <si>
    <t>рассказ</t>
  </si>
  <si>
    <t>Проза новой России: В 4 т. Т. 3</t>
  </si>
  <si>
    <r>
      <rPr>
        <rFont val="Calibri"/>
        <color theme="1"/>
        <sz val="11.0"/>
      </rPr>
      <t xml:space="preserve">Променял доллары на рубли по минимальному курсу ― и пропил,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</si>
  <si>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 xml:space="preserve"> к как ,мин с и мён</t>
  </si>
  <si>
    <t>йомибюл</t>
  </si>
  <si>
    <t>нём и с ним, как к</t>
  </si>
  <si>
    <t>любимой</t>
  </si>
  <si>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</t>
    </r>
  </si>
  <si>
    <t>женщине</t>
  </si>
  <si>
    <t>Алексей Слаповский. Не сбылась моя мечта (1999)</t>
  </si>
  <si>
    <t>Не сбылась моя мечта</t>
  </si>
  <si>
    <r>
      <rPr>
        <rFont val="Calibri"/>
        <color theme="1"/>
        <sz val="11.0"/>
      </rPr>
      <t xml:space="preserve">И, как любимая женщина всегда в тебе и с тобой, так и дом оставался бы всегда в нём и с ним, как к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 дрожащей радостью, так и он нетерпеливо возвращался бы к дому из дальних странствий, хотя, по правде сказать, Алексей Тихонович никуда никогда не ездил, будучи по профессии оператором станков с ЧПУ, то есть Числовым Программным Управлением.</t>
    </r>
  </si>
  <si>
    <t xml:space="preserve"> ино и ,асираЛ анеж и итед</t>
  </si>
  <si>
    <t>дети и жена Лариса, и они</t>
  </si>
  <si>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</t>
    </r>
  </si>
  <si>
    <t>отцу</t>
  </si>
  <si>
    <r>
      <rPr>
        <rFont val="Calibri"/>
        <color theme="1"/>
        <sz val="11.0"/>
      </rPr>
      <t xml:space="preserve">Алексей Тихонович пил рюмочку за рюмочкой, но не пьянел, лишь глаза становились всё яснее и яснее ― и совсем прояснились и оказались такими, какими знали их всегда дети и жена Лариса, и они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 поняли, что это такое, Дом, и старший, Степан, которому уже было двадцать с лишним лет, выпивал понемногу и спрашивал свою подругу:</t>
    </r>
  </si>
  <si>
    <t xml:space="preserve"> ,елов ан алиномог аровтеД </t>
  </si>
  <si>
    <t>Детвора гомонила на воле,</t>
  </si>
  <si>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</t>
    </r>
  </si>
  <si>
    <t>каникулам.</t>
  </si>
  <si>
    <t>Борис Екимов. Пиночет (1999)</t>
  </si>
  <si>
    <t>Борис Екимов</t>
  </si>
  <si>
    <t>1938</t>
  </si>
  <si>
    <t>Пиночет</t>
  </si>
  <si>
    <t>Борис Екимов. Пиночет</t>
  </si>
  <si>
    <r>
      <rPr>
        <rFont val="Calibri"/>
        <color theme="1"/>
        <sz val="11.0"/>
      </rPr>
      <t xml:space="preserve">Искрился радужными переливами свежий снежок на крышах домов, сараев, на пригорках.  Детвора гомонила на воле,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 Катерина, женщина уже немолодая, мать троих детей, выйдя на улицу, почуяла себя чуть не девчонкой.</t>
    </r>
  </si>
  <si>
    <t xml:space="preserve"> ,неримс овилшулсоп лыб ,яслашалгос оннёлмоту юонм</t>
  </si>
  <si>
    <t>мною утомлённо соглашался, был послушливо смирен,</t>
  </si>
  <si>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</t>
    </r>
  </si>
  <si>
    <t>обустройству</t>
  </si>
  <si>
    <t>Виктор Астафьев. Затеси (1999) // «Новый Мир», 2000</t>
  </si>
  <si>
    <t>Виктор Астафьев</t>
  </si>
  <si>
    <t>Затеси</t>
  </si>
  <si>
    <r>
      <rPr>
        <rFont val="Calibri"/>
        <color theme="1"/>
        <sz val="11.0"/>
      </rPr>
      <t xml:space="preserve">Он со мною утомлённо соглашался, был послушливо смирен,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 прибьёт, расставит, работать начнёт.</t>
    </r>
  </si>
  <si>
    <t xml:space="preserve"> и ,улигом мишвялбулгу ,матябер к яслертомсирп</t>
  </si>
  <si>
    <t>яслизароп</t>
  </si>
  <si>
    <t>присмотрелся к ребятам, углублявшим могилу, и</t>
  </si>
  <si>
    <t>поразился</t>
  </si>
  <si>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</si>
  <si>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лопате</t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</si>
  <si>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</si>
  <si>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</si>
  <si>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</si>
  <si>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</si>
  <si>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</si>
  <si>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"/>
        <color theme="1"/>
        <sz val="11.0"/>
      </rPr>
      <t xml:space="preserve">Андрей Николаевич присмотрелся к ребятам, углублявшим могилу, и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</si>
  <si>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ьсяудаР</t>
  </si>
  <si>
    <t>Радуясь</t>
  </si>
  <si>
    <r>
      <rPr>
        <rFont val="Calibri"/>
        <b/>
        <color theme="1"/>
        <sz val="11.0"/>
      </rPr>
      <t>приобретению</t>
    </r>
    <r>
      <rPr>
        <rFont val="Calibri"/>
        <color theme="1"/>
        <sz val="11.0"/>
      </rPr>
      <t>, Андрей Николаевич не сунул бельгийский</t>
    </r>
  </si>
  <si>
    <t>приобретению,</t>
  </si>
  <si>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приобретению</t>
    </r>
    <r>
      <rPr>
        <rFont val="Calibri"/>
        <color theme="1"/>
        <sz val="11.0"/>
      </rPr>
      <t>, Андрей Николаевич не сунул бельгийский инструмент под пиджак.</t>
    </r>
  </si>
  <si>
    <t xml:space="preserve"> ,яслуньлымху онневоркто ветсаГ а ,ьсилавыдялгереп абатШ</t>
  </si>
  <si>
    <t>ьсявид</t>
  </si>
  <si>
    <t>Штаба переглядывались, а Гастев откровенно ухмыльнулся,</t>
  </si>
  <si>
    <t>дивясь</t>
  </si>
  <si>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</si>
  <si>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t>искусству</t>
  </si>
  <si>
    <t>Анатолий Азольский. Облдрамтеатр // «Новый Мир», 1997</t>
  </si>
  <si>
    <t>Облдрамтеатр</t>
  </si>
  <si>
    <t>1997</t>
  </si>
  <si>
    <r>
      <rPr>
        <rFont val="Calibri"/>
        <color theme="1"/>
        <sz val="11.0"/>
      </rPr>
      <t xml:space="preserve">Члены Штаба переглядывались, а Гастев откровенно ухмыльнулся, </t>
    </r>
    <r>
      <rPr>
        <rFont val="Calibri"/>
        <b/>
        <color theme="1"/>
        <sz val="11.0"/>
      </rPr>
      <t>дивясь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</si>
  <si>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t xml:space="preserve"> ончедрес ано ,уфакш в ядиС </t>
  </si>
  <si>
    <t>Сидя в шкафу, она сердечно</t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</si>
  <si>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</t>
    </r>
  </si>
  <si>
    <t>успехам</t>
  </si>
  <si>
    <t>Вячеслав Пьецух. Шкаф (1997)</t>
  </si>
  <si>
    <t>Вячеслав Пьецух</t>
  </si>
  <si>
    <t>1946</t>
  </si>
  <si>
    <t>Шкаф</t>
  </si>
  <si>
    <r>
      <rPr>
        <rFont val="Calibri"/>
        <color theme="1"/>
        <sz val="11.0"/>
      </rPr>
      <t xml:space="preserve">Сидя в шкафу, она сердечно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войной, и остро переживала такие драмы, как предательство маршала Тито, небывалое наводнение в братском Китае и вспышку холеры на Соломоновых островах.</t>
    </r>
  </si>
  <si>
    <t xml:space="preserve"> умотэоП </t>
  </si>
  <si>
    <t>Поэтому</t>
  </si>
  <si>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</si>
  <si>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вопросу</t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</si>
  <si>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</si>
  <si>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</si>
  <si>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</si>
  <si>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</si>
  <si>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</si>
  <si>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</si>
  <si>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"/>
        <color theme="1"/>
        <sz val="11.0"/>
      </rPr>
      <t xml:space="preserve">Поэтому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</si>
  <si>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ьсишваводарбО</t>
  </si>
  <si>
    <t>Обрадовавшись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</si>
  <si>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Рины, я договорилась встретиться с</t>
    </r>
  </si>
  <si>
    <t>приходу</t>
  </si>
  <si>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Рины, я договорилась встретиться с ней после премьеры и пообедать вместе в находившемся рядом ресторане.</t>
    </r>
  </si>
  <si>
    <t xml:space="preserve"> ен ыбьлертс ,ясьтадеъто олыб онжом едг</t>
  </si>
  <si>
    <t>ясьтяоб</t>
  </si>
  <si>
    <t>где можно было отъедаться, стрельбы не</t>
  </si>
  <si>
    <t>бояться</t>
  </si>
  <si>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</t>
    </r>
  </si>
  <si>
    <t>офицерам</t>
  </si>
  <si>
    <t>Виктор Астафьев. Обертон (1995-1996)</t>
  </si>
  <si>
    <t>Обертон</t>
  </si>
  <si>
    <t>1995 | 1996</t>
  </si>
  <si>
    <t>Астафьев В. Обертон.</t>
  </si>
  <si>
    <r>
      <rPr>
        <rFont val="Calibri"/>
        <color theme="1"/>
        <sz val="11.0"/>
      </rPr>
      <t xml:space="preserve">Ольвия, совсем почти не тронутая войною, была тем райским местечком, где можно было отъедаться, стрельбы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женитьбой, и солдатам ― правда, реже ― случалось встретиться с любовью, этим вечно обновляющим даром Господним.</t>
    </r>
  </si>
  <si>
    <t xml:space="preserve"> ,йобос омас ,и ажум огонщомопсеб ,огещюадартс</t>
  </si>
  <si>
    <t>ьсалаводарбо</t>
  </si>
  <si>
    <t>страдающего, беспомощного мужа и, само собой,</t>
  </si>
  <si>
    <t>обрадовалась</t>
  </si>
  <si>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</t>
    </r>
  </si>
  <si>
    <t>сыну,</t>
  </si>
  <si>
    <r>
      <rPr>
        <rFont val="Calibri"/>
        <color theme="1"/>
        <sz val="11.0"/>
      </rPr>
      <t xml:space="preserve">Она уже устала от страдающего, беспомощного мужа и, само собой,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 дома, избавителю от тяжестей, от полуголодной, бесправной жизни.</t>
    </r>
  </si>
  <si>
    <t>ьсишвивидоП</t>
  </si>
  <si>
    <t>Подивившись</t>
  </si>
  <si>
    <r>
      <rPr>
        <rFont val="Calibri"/>
        <b/>
        <color theme="1"/>
        <sz val="11.0"/>
      </rPr>
      <t>ходу</t>
    </r>
    <r>
      <rPr>
        <rFont val="Calibri"/>
        <color theme="1"/>
        <sz val="11.0"/>
      </rPr>
      <t xml:space="preserve"> собственных мыслей, Андрей Андреев встал</t>
    </r>
  </si>
  <si>
    <t>ходу</t>
  </si>
  <si>
    <t>Алексей Слаповский. Гибель гитариста (1994-1995)</t>
  </si>
  <si>
    <t>Гибель гитариста</t>
  </si>
  <si>
    <t>1994 | 1995</t>
  </si>
  <si>
    <t>Слаповский А. День денег</t>
  </si>
  <si>
    <r>
      <rPr>
        <rFont val="Calibri"/>
        <b/>
        <color theme="1"/>
        <sz val="11.0"/>
      </rPr>
      <t>Подивившись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ходу</t>
    </r>
    <r>
      <rPr>
        <rFont val="Calibri"/>
        <color theme="1"/>
        <sz val="11.0"/>
      </rPr>
      <t xml:space="preserve"> собственных мыслей, Андрей Андреев встал и подошёл к зеркалу.</t>
    </r>
  </si>
  <si>
    <t xml:space="preserve"> ,еенрев ― ьсалитобазо гурдв ьтам туТ</t>
  </si>
  <si>
    <t>Тут мать вдруг озаботилась ― вернее,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</si>
  <si>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</si>
  <si>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t>случаю</t>
  </si>
  <si>
    <r>
      <rPr>
        <rFont val="Calibri"/>
        <color theme="1"/>
        <sz val="11.0"/>
      </rPr>
      <t xml:space="preserve">Тут мать вдруг озаботилась ― вернее,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</si>
  <si>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t xml:space="preserve"> я ьрепет И </t>
  </si>
  <si>
    <t>И теперь я</t>
  </si>
  <si>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</t>
    </r>
  </si>
  <si>
    <t>Фазиль Искандер. Путь из варяг в греки (1990)</t>
  </si>
  <si>
    <t>Фазиль Искандер</t>
  </si>
  <si>
    <t>1929</t>
  </si>
  <si>
    <t>Путь из варяг в греки</t>
  </si>
  <si>
    <t>1990</t>
  </si>
  <si>
    <t>Собр. соч.: В 6 т. - М., 1997</t>
  </si>
  <si>
    <r>
      <rPr>
        <rFont val="Calibri"/>
        <color theme="1"/>
        <sz val="11.0"/>
      </rPr>
      <t xml:space="preserve">И теперь я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 материнских шагов.</t>
    </r>
  </si>
  <si>
    <t xml:space="preserve"> ,омидиВ </t>
  </si>
  <si>
    <t>ьсишваводарбо</t>
  </si>
  <si>
    <t>Видимо,</t>
  </si>
  <si>
    <t>обрадовавшись</t>
  </si>
  <si>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</t>
    </r>
  </si>
  <si>
    <t>освобождению</t>
  </si>
  <si>
    <t>Фазиль Искандер. Мученики сцены (1989)</t>
  </si>
  <si>
    <t>Мученики сцены</t>
  </si>
  <si>
    <t>1989</t>
  </si>
  <si>
    <t>Стоянка человека. Повести и рассказы.</t>
  </si>
  <si>
    <t>1995</t>
  </si>
  <si>
    <r>
      <rPr>
        <rFont val="Calibri"/>
        <color theme="1"/>
        <sz val="11.0"/>
      </rPr>
      <t xml:space="preserve">Видимо, </t>
    </r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 на своё прежнее место, весело заржал, и Евгений Дмитриевич был очень доволен этим ржанием.</t>
    </r>
  </si>
  <si>
    <t xml:space="preserve"> чивеескелА йилиМ И </t>
  </si>
  <si>
    <t>И Милий Алексеевич</t>
  </si>
  <si>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</t>
    </r>
  </si>
  <si>
    <t>оплошке</t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</si>
  <si>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</si>
  <si>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</si>
  <si>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</si>
  <si>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</si>
  <si>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</si>
  <si>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"/>
        <color theme="1"/>
        <sz val="11.0"/>
      </rPr>
      <t xml:space="preserve">Однако радуйся, радуйся, Милий Алексеевич: оплошали при Лютом органы, и товарищ Жданов не дознался, хотя и поносил Ахматову, как позже Семичастный ― Пастернака.  И Милий Алексеевич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  Тихо, хорошо порадовался, не подозревая, какой гром вот-вот грянет.</t>
    </r>
  </si>
  <si>
    <t xml:space="preserve"> сироБ </t>
  </si>
  <si>
    <t>яслажибо</t>
  </si>
  <si>
    <t>Борис</t>
  </si>
  <si>
    <t>обижался</t>
  </si>
  <si>
    <t xml:space="preserve">: </t>
  </si>
  <si>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</t>
    </r>
  </si>
  <si>
    <t>больным</t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</si>
  <si>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</si>
  <si>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</si>
  <si>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</si>
  <si>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</si>
  <si>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</si>
  <si>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</si>
  <si>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"/>
        <color theme="1"/>
        <sz val="11.0"/>
      </rPr>
      <t xml:space="preserve">А жена-врач уходила на работу ни свет ни заря, пропадала на дежурствах, а то и так, без дежурств, высиживала сутками у постелей тяжёлых больных.  Борис </t>
    </r>
    <r>
      <rPr>
        <rFont val="Calibri"/>
        <b/>
        <color theme="1"/>
        <sz val="11.0"/>
      </rPr>
      <t>обижался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  "Я разве не больной?</t>
    </r>
  </si>
  <si>
    <t xml:space="preserve"> ен окьлот ― И </t>
  </si>
  <si>
    <t>ьсетйагуп</t>
  </si>
  <si>
    <t>И ― только не</t>
  </si>
  <si>
    <t>пугайтесь</t>
  </si>
  <si>
    <t xml:space="preserve"> ― </t>
  </si>
  <si>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</t>
    </r>
  </si>
  <si>
    <t>психиатру.</t>
  </si>
  <si>
    <r>
      <rPr>
        <rFont val="Calibri"/>
        <color theme="1"/>
        <sz val="11.0"/>
      </rPr>
      <t xml:space="preserve">Покажите его невропатологу.  И ― только не </t>
    </r>
    <r>
      <rPr>
        <rFont val="Calibri"/>
        <b/>
        <color theme="1"/>
        <sz val="11.0"/>
      </rPr>
      <t>пугайтесь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  Обыватели боятся таких визитов, и зря.</t>
    </r>
  </si>
  <si>
    <t xml:space="preserve"> как ,маН </t>
  </si>
  <si>
    <t>мищябюл</t>
  </si>
  <si>
    <t>Нам, как</t>
  </si>
  <si>
    <t>любящим</t>
  </si>
  <si>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</si>
  <si>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t>супругам,</t>
  </si>
  <si>
    <r>
      <rPr>
        <rFont val="Calibri"/>
        <color theme="1"/>
        <sz val="11.0"/>
      </rPr>
      <t xml:space="preserve">Нам, как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</si>
  <si>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t xml:space="preserve"> и тсерко лертомсоп яинемтаз отсемв оН</t>
  </si>
  <si>
    <t>яслунсажу</t>
  </si>
  <si>
    <t>Но вместо затмения посмотрел окрест и</t>
  </si>
  <si>
    <t>ужаснулся</t>
  </si>
  <si>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</si>
  <si>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</si>
  <si>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</si>
  <si>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</si>
  <si>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</si>
  <si>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</si>
  <si>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"/>
        <color theme="1"/>
        <sz val="11.0"/>
      </rPr>
      <t xml:space="preserve">Но вместо затмения посмотрел окрест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</si>
  <si>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t xml:space="preserve"> аждарагаМ </t>
  </si>
  <si>
    <t>Магараджа</t>
  </si>
  <si>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</t>
    </r>
  </si>
  <si>
    <t>чудесам</t>
  </si>
  <si>
    <r>
      <rPr>
        <rFont val="Calibri"/>
        <color theme="1"/>
        <sz val="11.0"/>
      </rPr>
      <t xml:space="preserve">Магараджа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 фишек.</t>
    </r>
  </si>
  <si>
    <t xml:space="preserve"> мён в еокцемен ьрепеТ </t>
  </si>
  <si>
    <t>олавовтсвучос</t>
  </si>
  <si>
    <t>Теперь немецкое в нём</t>
  </si>
  <si>
    <t>сочувствовало</t>
  </si>
  <si>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>, ужасалось, отзывалось на рыдания и</t>
    </r>
  </si>
  <si>
    <t>окружающим,</t>
  </si>
  <si>
    <r>
      <rPr>
        <rFont val="Calibri"/>
        <color theme="1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</si>
  <si>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 xml:space="preserve"> ,олавокил ― еокссур а ,итремс и яинадыр</t>
  </si>
  <si>
    <t>ьсолаводар</t>
  </si>
  <si>
    <t>рыдания и смерти, а русское ― ликовало,</t>
  </si>
  <si>
    <t>радовалось</t>
  </si>
  <si>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</si>
  <si>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>возмездию.</t>
  </si>
  <si>
    <r>
      <rPr>
        <rFont val="Calibri"/>
        <color theme="1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</si>
  <si>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 xml:space="preserve"> ястеагалдерп юлетатиЧ </t>
  </si>
  <si>
    <t>Читателю предлагается</t>
  </si>
  <si>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</t>
    </r>
  </si>
  <si>
    <t>крепости</t>
  </si>
  <si>
    <t>Эдуард Лимонов. У нас была Великая Эпоха (1987)</t>
  </si>
  <si>
    <t>Эдуард Лимонов</t>
  </si>
  <si>
    <t>У нас была Великая Эпоха</t>
  </si>
  <si>
    <t>Собр. соч.: В 3 т.</t>
  </si>
  <si>
    <r>
      <rPr>
        <rFont val="Calibri"/>
        <color theme="1"/>
        <sz val="11.0"/>
      </rPr>
      <t xml:space="preserve">Зубами он мог поднять меру гороха.  Читателю предлагается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  Однако сколько же это ― "мера"?</t>
    </r>
  </si>
  <si>
    <t xml:space="preserve"> ежу ыб ароп ,иицюловер йокилеВ елсоп</t>
  </si>
  <si>
    <t>ясьтиокопсу</t>
  </si>
  <si>
    <t>после Великой революции, пора бы уже</t>
  </si>
  <si>
    <t>успокоиться</t>
  </si>
  <si>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</t>
    </r>
  </si>
  <si>
    <t>жителям</t>
  </si>
  <si>
    <r>
      <rPr>
        <rFont val="Calibri"/>
        <color theme="1"/>
        <sz val="11.0"/>
      </rPr>
      <t xml:space="preserve">И подумал, что сейчас, спустя семьдесят лет после Великой революции, пора бы уже </t>
    </r>
    <r>
      <rPr>
        <rFont val="Calibri"/>
        <b/>
        <color theme="1"/>
        <sz val="11.0"/>
      </rPr>
      <t>успокоиться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 свою историю, и революционных поэтов-романтиков, и поэтов-романтиков контрреволюционных.</t>
    </r>
  </si>
  <si>
    <t xml:space="preserve"> к ьтсонвотог яанняотсоп алаводору ен ёЕ</t>
  </si>
  <si>
    <t>умоннёщумзов</t>
  </si>
  <si>
    <t>Её не уродовала постоянная готовность к</t>
  </si>
  <si>
    <t>возмущённому</t>
  </si>
  <si>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</si>
  <si>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>отпору.</t>
  </si>
  <si>
    <t>Сергей Довлатов. Заповедник (1983)</t>
  </si>
  <si>
    <t>Сергей Довлатов</t>
  </si>
  <si>
    <t>1941</t>
  </si>
  <si>
    <t>Заповедник</t>
  </si>
  <si>
    <t>1983</t>
  </si>
  <si>
    <t>Собрание прозы в 3 т. Т.1</t>
  </si>
  <si>
    <t>1993</t>
  </si>
  <si>
    <r>
      <rPr>
        <rFont val="Calibri"/>
        <color theme="1"/>
        <sz val="11.0"/>
      </rPr>
      <t xml:space="preserve">Её не уродовала постоянная готовность к </t>
    </r>
    <r>
      <rPr>
        <rFont val="Calibri"/>
        <b/>
        <color theme="1"/>
        <sz val="11.0"/>
      </rPr>
      <t>возмущённому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</si>
  <si>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 xml:space="preserve"> и меинег ,мотэоп окьлот лыб но</t>
  </si>
  <si>
    <t>лавовтсвучос</t>
  </si>
  <si>
    <t>он был только поэтом, гением и</t>
  </si>
  <si>
    <t>сочувствовал</t>
  </si>
  <si>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</si>
  <si>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t>движению</t>
  </si>
  <si>
    <r>
      <rPr>
        <rFont val="Calibri"/>
        <color theme="1"/>
        <sz val="11.0"/>
      </rPr>
      <t xml:space="preserve">Не монархист, не заговорщик, не христианин ― он был только поэтом, гением и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</si>
  <si>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t xml:space="preserve"> ,ытимеситна еиксняровд и елсич мот в</t>
  </si>
  <si>
    <t>ясеишваводар</t>
  </si>
  <si>
    <t>в том числе и дворянские антисемиты,</t>
  </si>
  <si>
    <t>радовавшиеся</t>
  </si>
  <si>
    <t xml:space="preserve"> "</t>
  </si>
  <si>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</t>
    </r>
  </si>
  <si>
    <t>пробуждению</t>
  </si>
  <si>
    <t>Фридрих Горенштейн. Куча (1982) // «Октябрь», 1996</t>
  </si>
  <si>
    <t>Фридрих Горенштейн</t>
  </si>
  <si>
    <t>1932</t>
  </si>
  <si>
    <t>Куча</t>
  </si>
  <si>
    <t>1982</t>
  </si>
  <si>
    <t>«Октябрь»</t>
  </si>
  <si>
    <r>
      <rPr>
        <rFont val="Calibri"/>
        <color theme="1"/>
        <sz val="11.0"/>
      </rPr>
      <t xml:space="preserve">И дворяне, в том числе и дворянские антисемиты, </t>
    </r>
    <r>
      <rPr>
        <rFont val="Calibri"/>
        <b/>
        <color theme="1"/>
        <sz val="11.0"/>
      </rPr>
      <t>радовавшиеся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 гнев и этот "труд" на себе.</t>
    </r>
  </si>
  <si>
    <t xml:space="preserve"> ечморг мет ,аногомас то екдулеж в</t>
  </si>
  <si>
    <t>ьсолетох</t>
  </si>
  <si>
    <t>в желудке от самогона, тем громче</t>
  </si>
  <si>
    <t>хотелось</t>
  </si>
  <si>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</t>
    </r>
  </si>
  <si>
    <t>Аркадию</t>
  </si>
  <si>
    <r>
      <rPr>
        <rFont val="Calibri"/>
        <color theme="1"/>
        <sz val="11.0"/>
      </rPr>
      <t xml:space="preserve">Но чем дольше они говорили об антоновке или анисовом яблоке из Поволжья и чем теплей становилось в желудке от самогона, тем громче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 яме, а теплота святой воды и сочный вкус безгрешного плода высоко над ним и воспринимаются им только в воображении.</t>
    </r>
  </si>
  <si>
    <t xml:space="preserve"> Я ― </t>
  </si>
  <si>
    <t>― Я</t>
  </si>
  <si>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</t>
    </r>
  </si>
  <si>
    <t>признакам</t>
  </si>
  <si>
    <t>Анатолий Алексин. Раздел имущества (1979)</t>
  </si>
  <si>
    <t>Анатолий Алексин</t>
  </si>
  <si>
    <t>Раздел имущества</t>
  </si>
  <si>
    <t>1979</t>
  </si>
  <si>
    <t>Собр. соч.: В 3 тт. Т. 2</t>
  </si>
  <si>
    <t>1980</t>
  </si>
  <si>
    <r>
      <rPr>
        <rFont val="Calibri"/>
        <color theme="1"/>
        <sz val="11.0"/>
      </rPr>
      <t xml:space="preserve">― Ты же так радовалась этой мысли?  ―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  Твоя судьба была для меня дороже личного счастья!</t>
    </r>
  </si>
  <si>
    <t>лавовтсвучоС</t>
  </si>
  <si>
    <t>Сочувствовал</t>
  </si>
  <si>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</t>
    </r>
  </si>
  <si>
    <t>убийцам</t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</si>
  <si>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</si>
  <si>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</si>
  <si>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</si>
  <si>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</si>
  <si>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</si>
  <si>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</si>
  <si>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t>1992</t>
  </si>
  <si>
    <r>
      <rPr>
        <rFont val="Calibri"/>
        <color theme="1"/>
        <sz val="11.0"/>
      </rPr>
      <t xml:space="preserve">― Террор через соучастие. 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  Вот как!</t>
    </r>
  </si>
  <si>
    <t>яславодарбО</t>
  </si>
  <si>
    <t>Обрадовался</t>
  </si>
  <si>
    <r>
      <rPr>
        <rFont val="Calibri"/>
        <b/>
        <color theme="1"/>
        <sz val="11.0"/>
      </rPr>
      <t>приказу</t>
    </r>
    <r>
      <rPr>
        <rFont val="Calibri"/>
        <color theme="1"/>
        <sz val="11.0"/>
      </rPr>
      <t xml:space="preserve"> наркома об активных методах допроса.</t>
    </r>
  </si>
  <si>
    <t>приказу</t>
  </si>
  <si>
    <t>Ю. О. Домбровский. Факультет ненужных вещей, часть 4 (1978)</t>
  </si>
  <si>
    <t>Факультет ненужных вещей, часть 4</t>
  </si>
  <si>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приказу</t>
    </r>
    <r>
      <rPr>
        <rFont val="Calibri"/>
        <color theme="1"/>
        <sz val="11.0"/>
      </rPr>
      <t xml:space="preserve"> наркома об активных методах допроса.</t>
    </r>
  </si>
  <si>
    <t xml:space="preserve"> есв ,икялмез еигурд илширп ,ясливонатсо я</t>
  </si>
  <si>
    <t>илавовтсвучос</t>
  </si>
  <si>
    <t>я остановился, пришли другие земляки, все</t>
  </si>
  <si>
    <t>сочувствовали</t>
  </si>
  <si>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</t>
    </r>
  </si>
  <si>
    <t>папе,</t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</si>
  <si>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</si>
  <si>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</si>
  <si>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</si>
  <si>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</si>
  <si>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</si>
  <si>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</si>
  <si>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r>
      <rPr>
        <rFont val="Calibri"/>
        <color theme="1"/>
        <sz val="11.0"/>
      </rPr>
      <t xml:space="preserve">Остановился я у земляков, их в Чернигове было много; к тем, у кого я остановился, пришли другие земляки, все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 пошла об адвокатах.</t>
    </r>
  </si>
  <si>
    <t xml:space="preserve"> анО </t>
  </si>
  <si>
    <t>алавовтсвучос</t>
  </si>
  <si>
    <t>Она</t>
  </si>
  <si>
    <t>сочувствовала</t>
  </si>
  <si>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</t>
    </r>
  </si>
  <si>
    <t>партизанам,</t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</si>
  <si>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сочувствовала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 отца неспособным к борьбе: сразу попадётся, и его замучают.</t>
    </r>
  </si>
  <si>
    <t xml:space="preserve"> умеом к ьсунрев ьтяпо я и</t>
  </si>
  <si>
    <t>умомибюл</t>
  </si>
  <si>
    <t>и я опять вернусь к моему</t>
  </si>
  <si>
    <t>любимому</t>
  </si>
  <si>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</si>
  <si>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t>слонёнку.</t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</si>
  <si>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</si>
  <si>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</si>
  <si>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</si>
  <si>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</si>
  <si>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</si>
  <si>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"/>
        <color theme="1"/>
        <sz val="11.0"/>
      </rPr>
      <t xml:space="preserve">― Это будет так забавно, прибавила она, ― и я опять вернусь к моему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</si>
  <si>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t xml:space="preserve"> ен мав илежуеН" :ламуд и иревд</t>
  </si>
  <si>
    <t>двери и думал: "Неужели вам не</t>
  </si>
  <si>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</si>
  <si>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t>подлецам,</t>
  </si>
  <si>
    <t>Юрий Трифонов. Дом на набережной (1976)</t>
  </si>
  <si>
    <t>Юрий Трифонов</t>
  </si>
  <si>
    <t>Дом на набережной</t>
  </si>
  <si>
    <t>1976</t>
  </si>
  <si>
    <t>СС в 4 тт., т.2</t>
  </si>
  <si>
    <t>1986</t>
  </si>
  <si>
    <r>
      <rPr>
        <rFont val="Calibri"/>
        <color theme="1"/>
        <sz val="11.0"/>
      </rPr>
      <t xml:space="preserve">Я посматривал за решётку, на стоявшие у стены банки, кувшины и кастрюли, на занавеску стеклянной двери и думал: "Неужели вам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</si>
  <si>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t xml:space="preserve"> к ьтзел А" </t>
  </si>
  <si>
    <t>"А лезть к</t>
  </si>
  <si>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</t>
    </r>
  </si>
  <si>
    <t>девчонке</t>
  </si>
  <si>
    <r>
      <rPr>
        <rFont val="Calibri"/>
        <color theme="1"/>
        <sz val="11.0"/>
      </rPr>
      <t xml:space="preserve">"А лезть к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 ― это как с точки зрения морали?" ― то его прожигало чувство стыда и он готов был всё сделать, на всё пойти, лишь бы исправить то, что случилось.</t>
    </r>
  </si>
  <si>
    <t xml:space="preserve"> ьнечО</t>
  </si>
  <si>
    <t>Очень</t>
  </si>
  <si>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</si>
  <si>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>Егору</t>
  </si>
  <si>
    <t>Василий Шукшин. Калина красная (1973)</t>
  </si>
  <si>
    <t>Василий Шукшин</t>
  </si>
  <si>
    <t>Калина красная</t>
  </si>
  <si>
    <t>1973</t>
  </si>
  <si>
    <t>киноповесть</t>
  </si>
  <si>
    <t>Василий Шукшин. Собрание сочинений (в 3 томах), т3</t>
  </si>
  <si>
    <r>
      <rPr>
        <rFont val="Calibri"/>
        <color theme="1"/>
        <sz val="11.0"/>
      </rPr>
      <t xml:space="preserve">Очень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</si>
  <si>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 xml:space="preserve"> лавызакоп я ,оге яинелварпан и артев</t>
  </si>
  <si>
    <t>мыннёлвиду</t>
  </si>
  <si>
    <t>ветра и направления его, я показывал</t>
  </si>
  <si>
    <t>удивлённым</t>
  </si>
  <si>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</t>
    </r>
  </si>
  <si>
    <t>домохозяйкам</t>
  </si>
  <si>
    <t>Фазиль Искандер. Время счастливых находок (1973)</t>
  </si>
  <si>
    <t>Время счастливых находок</t>
  </si>
  <si>
    <r>
      <rPr>
        <rFont val="Calibri"/>
        <color theme="1"/>
        <sz val="11.0"/>
      </rPr>
      <t xml:space="preserve">Я его закидывал на деревья, а потом на следующий день, когда ко мне приходили за помощью, после некоторых раздумий и расспросов, где что висело, как бы вычислив уравнение с учётом скорости ветра и направления его, я показывал </t>
    </r>
    <r>
      <rPr>
        <rFont val="Calibri"/>
        <b/>
        <color theme="1"/>
        <sz val="11.0"/>
      </rPr>
      <t>удивлённым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 же его снимал с деревьев.</t>
    </r>
  </si>
  <si>
    <t xml:space="preserve"> кат нО </t>
  </si>
  <si>
    <t>Он так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</si>
  <si>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</t>
    </r>
  </si>
  <si>
    <t>встрече,</t>
  </si>
  <si>
    <t>Юрий Коваль. Картофельная собака (1972)</t>
  </si>
  <si>
    <t>Юрий Коваль</t>
  </si>
  <si>
    <t>Картофельная собака</t>
  </si>
  <si>
    <t>1972</t>
  </si>
  <si>
    <t>Юрий Коваль. Солнечное пятно</t>
  </si>
  <si>
    <r>
      <rPr>
        <rFont val="Calibri"/>
        <color theme="1"/>
        <sz val="11.0"/>
      </rPr>
      <t xml:space="preserve">Он так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 были знакомы.</t>
    </r>
  </si>
  <si>
    <t xml:space="preserve"> ,лачирказ окморг и ынитуап йонзележ оге</t>
  </si>
  <si>
    <t>его железной паутины и громко закричал,</t>
  </si>
  <si>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</si>
  <si>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>воле.</t>
  </si>
  <si>
    <t>Василий Шукшин. Печки-лавочки (1970-1972)</t>
  </si>
  <si>
    <t>Печки-лавочки</t>
  </si>
  <si>
    <t>1970 | 1971 | 1972</t>
  </si>
  <si>
    <r>
      <rPr>
        <rFont val="Calibri"/>
        <color theme="1"/>
        <sz val="11.0"/>
      </rPr>
      <t xml:space="preserve">Поезд выскочил из его железной паутины и громко закричал,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</si>
  <si>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 xml:space="preserve"> оге а ,араду елис ен он</t>
  </si>
  <si>
    <t>йоннёлвешудо</t>
  </si>
  <si>
    <t>но не силе удара, а его</t>
  </si>
  <si>
    <t>одушевлённой</t>
  </si>
  <si>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</si>
  <si>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>злости,</t>
  </si>
  <si>
    <t>Фазиль Искандер. Святое озеро (1969)</t>
  </si>
  <si>
    <t>Святое озеро</t>
  </si>
  <si>
    <t>1969</t>
  </si>
  <si>
    <r>
      <rPr>
        <rFont val="Calibri"/>
        <color theme="1"/>
        <sz val="11.0"/>
      </rPr>
      <t xml:space="preserve">Не за что зацепиться. вспышку боли во всём теле, и вспышку удивления, но не силе удара, а его </t>
    </r>
    <r>
      <rPr>
        <rFont val="Calibri"/>
        <b/>
        <color theme="1"/>
        <sz val="11.0"/>
      </rPr>
      <t>одушевлённой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</si>
  <si>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 xml:space="preserve"> ,лировог деД</t>
  </si>
  <si>
    <t>ьсяялмузи</t>
  </si>
  <si>
    <t>Дед говорил,</t>
  </si>
  <si>
    <t>изумляясь</t>
  </si>
  <si>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</t>
    </r>
  </si>
  <si>
    <t>Дмитриеву:</t>
  </si>
  <si>
    <t>Юрий Трифонов. Обмен (1969)</t>
  </si>
  <si>
    <t>Обмен</t>
  </si>
  <si>
    <t>Трифонов Ю.А. Избранные произведения: В 2т.</t>
  </si>
  <si>
    <r>
      <rPr>
        <rFont val="Calibri"/>
        <color theme="1"/>
        <sz val="11.0"/>
      </rPr>
      <t xml:space="preserve">Дед говорил,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 кушетку, и твоя прекрасная Елена и не менее прекрасная тёща дружно говорили ему" ты".</t>
    </r>
  </si>
  <si>
    <t xml:space="preserve"> ,я отч ,олшыв юобос омас от-как</t>
  </si>
  <si>
    <t>как-то само собою вышло, что я,</t>
  </si>
  <si>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</t>
    </r>
  </si>
  <si>
    <t>солнцу</t>
  </si>
  <si>
    <t>К. И. Чуковский. Короленко в кругу друзей (1940-1969)</t>
  </si>
  <si>
    <t>К. И. Чуковский</t>
  </si>
  <si>
    <t>1882</t>
  </si>
  <si>
    <t>Короленко в кругу друзей</t>
  </si>
  <si>
    <t>1940 | 1941 | 1942 | 1943 | 1944 | 1945 | 1946 | 1947 | 1948 | 1949 | 1950 | 1951 | 1952 | 1953 | 1954 | 1955 | 1956 | 1957 | 1958 | 1959 | 1960 | 1961 | 1962 | 1963 | 1964 | 1965 | 1966 | 1967 | 1968 | 1969</t>
  </si>
  <si>
    <t>К.Чуковский. Собрание сочинений. Т.5</t>
  </si>
  <si>
    <r>
      <rPr>
        <rFont val="Calibri"/>
        <color theme="1"/>
        <sz val="11.0"/>
      </rPr>
      <t xml:space="preserve">Ветер весело накинулся на люстриновый пиджак Короленко, заплясал в его кудрях и бороде, а сверкающий под солнцем Кронштадтский собор запрыгал то вверх, то вниз, и как-то само собою вышло, что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 самого стал громко читать нараспев стихи моих любимейших поэтов.</t>
    </r>
  </si>
  <si>
    <t xml:space="preserve"> каТ </t>
  </si>
  <si>
    <t>Так</t>
  </si>
  <si>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</t>
    </r>
  </si>
  <si>
    <t>Осколупову.</t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</si>
  <si>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</si>
  <si>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</si>
  <si>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</si>
  <si>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</si>
  <si>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</si>
  <si>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"/>
        <color theme="1"/>
        <sz val="11.0"/>
      </rPr>
      <t xml:space="preserve">Так настоял замминистра.  Так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  Расчёт был на то, чтобы дать хоть какую-нибудь недоработанную, но свежепокрашенную вещь.</t>
    </r>
  </si>
  <si>
    <t xml:space="preserve"> ,илемуш ,агурд гурд илавырерп онномерецсеб ,илиропс</t>
  </si>
  <si>
    <t>спорили, бесцеремонно прерывали друг друга, шумели,</t>
  </si>
  <si>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</si>
  <si>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t>одинаковости</t>
  </si>
  <si>
    <t>Д. А. Гранин. Месяц вверх ногами (1966)</t>
  </si>
  <si>
    <t>Д. А. Гранин</t>
  </si>
  <si>
    <t>Месяц вверх ногами</t>
  </si>
  <si>
    <t>1966</t>
  </si>
  <si>
    <t>очерк</t>
  </si>
  <si>
    <t>путешествия</t>
  </si>
  <si>
    <t>Гранин Д.А. Собр. соч.: В 2 т. Т. 2</t>
  </si>
  <si>
    <r>
      <rPr>
        <rFont val="Calibri"/>
        <color theme="1"/>
        <sz val="11.0"/>
      </rPr>
      <t xml:space="preserve">Никто уже не внимал друг другу, мы спорили, бесцеремонно прерывали друг друга, шумели,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</si>
  <si>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t xml:space="preserve"> и илагырп ино ,имыннаворираперп ябес илавовтсвуч</t>
  </si>
  <si>
    <t>чувствовали себя препарированными, они прыгали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</si>
  <si>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</si>
  <si>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r>
      <rPr>
        <rFont val="Calibri"/>
        <color theme="1"/>
        <sz val="11.0"/>
      </rPr>
      <t xml:space="preserve">С той разницей, что кенгуру не чувствовали себя препарированными, они прыгали и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</si>
  <si>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t xml:space="preserve"> ьнечо жУ </t>
  </si>
  <si>
    <t>Уж очень</t>
  </si>
  <si>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</si>
  <si>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t>прокурору</t>
  </si>
  <si>
    <t>Ю. О. Домбровский. Хранитель древностей / Приложение (1964)</t>
  </si>
  <si>
    <t>Хранитель древностей / Приложение</t>
  </si>
  <si>
    <t>1964</t>
  </si>
  <si>
    <t>Домбровский Ю.О. Собр. соч.: В 6 т. Т. 4</t>
  </si>
  <si>
    <r>
      <rPr>
        <rFont val="Calibri"/>
        <color theme="1"/>
        <sz val="11.0"/>
      </rPr>
      <t xml:space="preserve">Уж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</si>
  <si>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t xml:space="preserve"> нО</t>
  </si>
  <si>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</t>
    </r>
  </si>
  <si>
    <t>чувству</t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</si>
  <si>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</si>
  <si>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</si>
  <si>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</si>
  <si>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</si>
  <si>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</si>
  <si>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холодном, пустом вагоне.</t>
    </r>
  </si>
  <si>
    <t xml:space="preserve"> ен но оН </t>
  </si>
  <si>
    <t>Но он не</t>
  </si>
  <si>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</t>
    </r>
  </si>
  <si>
    <t>покою</t>
  </si>
  <si>
    <r>
      <rPr>
        <rFont val="Calibri"/>
        <color theme="1"/>
        <sz val="11.0"/>
      </rPr>
      <t xml:space="preserve">Но он не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 поезда.</t>
    </r>
  </si>
  <si>
    <t xml:space="preserve"> еН </t>
  </si>
  <si>
    <t>илетох</t>
  </si>
  <si>
    <t>Не</t>
  </si>
  <si>
    <t>хотели</t>
  </si>
  <si>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</t>
    </r>
  </si>
  <si>
    <t>детям</t>
  </si>
  <si>
    <r>
      <rPr>
        <rFont val="Calibri"/>
        <color theme="1"/>
        <sz val="11.0"/>
      </rPr>
      <t xml:space="preserve">Значит, нарочно убивали голодной смертью людей.  Не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  Неужели Сталин хуже Ирода был?</t>
    </r>
  </si>
  <si>
    <t xml:space="preserve"> И</t>
  </si>
  <si>
    <t>И</t>
  </si>
  <si>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</t>
    </r>
  </si>
  <si>
    <t>Шухову</t>
  </si>
  <si>
    <t>Александр Солженицын. Один день Ивана Денисовича (1961)</t>
  </si>
  <si>
    <t>Один день Ивана Денисовича</t>
  </si>
  <si>
    <t>1961</t>
  </si>
  <si>
    <t>Солженицын А.И. На краях</t>
  </si>
  <si>
    <r>
      <rPr>
        <rFont val="Calibri"/>
        <color theme="1"/>
        <sz val="11.0"/>
      </rPr>
      <t xml:space="preserve">И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 работать, где вчера, на другое ли место переходить ― а боязно перебивать его высокую думу.</t>
    </r>
  </si>
  <si>
    <t xml:space="preserve"> ьтируказ ишак косим хувд елсоП</t>
  </si>
  <si>
    <t>После двух мисок каши закурить</t>
  </si>
  <si>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</si>
  <si>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r>
      <rPr>
        <rFont val="Calibri"/>
        <color theme="1"/>
        <sz val="11.0"/>
      </rPr>
      <t xml:space="preserve">После двух мисок каши закурить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</si>
  <si>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t xml:space="preserve"> ясьтадерп ястечох енМ </t>
  </si>
  <si>
    <t>Мне хочется предаться</t>
  </si>
  <si>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</t>
    </r>
  </si>
  <si>
    <t>занятию:</t>
  </si>
  <si>
    <t>Василий Аксенов. Звездный билет // «Юность», 1961</t>
  </si>
  <si>
    <t>Василий Аксенов</t>
  </si>
  <si>
    <t>Звездный билет</t>
  </si>
  <si>
    <t>«Юность»</t>
  </si>
  <si>
    <r>
      <rPr>
        <rFont val="Calibri"/>
        <color theme="1"/>
        <sz val="11.0"/>
      </rPr>
      <t xml:space="preserve">Мне хочется предаться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 руки под голову, ни о чём не думать и созерцать этот продолговатый четырёхугольник, похожий своими пропорциями на железнодорожный билет.</t>
    </r>
  </si>
  <si>
    <t>юувтсвучоС</t>
  </si>
  <si>
    <t>Сочувствую</t>
  </si>
  <si>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</t>
    </r>
  </si>
  <si>
    <t>молодёжи".</t>
  </si>
  <si>
    <r>
      <rPr>
        <rFont val="Calibri"/>
        <color theme="1"/>
        <sz val="11.0"/>
      </rPr>
      <t xml:space="preserve">"Сочувствую ему, пусть поест.  </t>
    </r>
    <r>
      <rPr>
        <rFont val="Calibri"/>
        <b/>
        <color theme="1"/>
        <sz val="11.0"/>
      </rPr>
      <t>Сочувствую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 В зале на столах стояли свечи.</t>
    </r>
  </si>
  <si>
    <t xml:space="preserve"> и мылам ясьтавовтсьловод ьсиличуан ыМ </t>
  </si>
  <si>
    <t>Мы научились довольствоваться малым и</t>
  </si>
  <si>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</si>
  <si>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t>малому.</t>
  </si>
  <si>
    <t>В. Т. Шаламов. Колымские рассказы (1954-1961)</t>
  </si>
  <si>
    <t>В. Т. Шаламов</t>
  </si>
  <si>
    <t>Колымские рассказы</t>
  </si>
  <si>
    <t>1954 | 1955 | 1956 | 1957 | 1958 | 1959 | 1960 | 1961</t>
  </si>
  <si>
    <t>рассказ | цикл</t>
  </si>
  <si>
    <t>Шаламов В.Т. Собр. соч.</t>
  </si>
  <si>
    <r>
      <rPr>
        <rFont val="Calibri"/>
        <color theme="1"/>
        <sz val="11.0"/>
      </rPr>
      <t xml:space="preserve">Мы научились довольствоваться малым и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</si>
  <si>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t xml:space="preserve"> енйатв но и ,уменжерп-оп ьсолаватсо ёсв</t>
  </si>
  <si>
    <t>всё оставалось по-прежнему, и он втайне</t>
  </si>
  <si>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</si>
  <si>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t>прочности</t>
  </si>
  <si>
    <r>
      <rPr>
        <rFont val="Calibri"/>
        <color theme="1"/>
        <sz val="11.0"/>
      </rPr>
      <t xml:space="preserve">Год прошёл, и в сердце Серафима всё оставалось по-прежнему, и он втайне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</si>
  <si>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t xml:space="preserve"> каК </t>
  </si>
  <si>
    <t>Как</t>
  </si>
  <si>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</si>
  <si>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t>телу</t>
  </si>
  <si>
    <r>
      <rPr>
        <rFont val="Calibri"/>
        <color theme="1"/>
        <sz val="11.0"/>
      </rPr>
      <t xml:space="preserve">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</si>
  <si>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t xml:space="preserve"> отч ,умотоп окьлот ен онмуортсо ,онволсогонм</t>
  </si>
  <si>
    <t>многословно, остроумно не только потому, что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</si>
  <si>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</si>
  <si>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</si>
  <si>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</si>
  <si>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</si>
  <si>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</si>
  <si>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"/>
        <color theme="1"/>
        <sz val="11.0"/>
      </rPr>
      <t xml:space="preserve">Странная вещь, Евгения Николаевна ощущала, что они говорят так оживлённо, многословно, остроумно не только потому, что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</si>
  <si>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t xml:space="preserve"> ,атадлос йонйов огоннечумаз моцил с ,атсор</t>
  </si>
  <si>
    <t>роста, с лицом замученного войной солдата,</t>
  </si>
  <si>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</si>
  <si>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t>Крымову.</t>
  </si>
  <si>
    <r>
      <rPr>
        <rFont val="Calibri"/>
        <color theme="1"/>
        <sz val="11.0"/>
      </rPr>
      <t xml:space="preserve">Батюк, человек небольшого роста, с лицом замученного войной солдата,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</si>
  <si>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t xml:space="preserve"> муртШ </t>
  </si>
  <si>
    <t>Штрум</t>
  </si>
  <si>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</t>
    </r>
  </si>
  <si>
    <t>успеху,</t>
  </si>
  <si>
    <r>
      <rPr>
        <rFont val="Calibri"/>
        <color theme="1"/>
        <sz val="11.0"/>
      </rPr>
      <t xml:space="preserve">Казалось, что вопрос решён, ― опытные данные перестали противоречить теории.  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  Соколов поздравлял Штрума, а тревога и неудовлетворённость оставались.</t>
    </r>
  </si>
  <si>
    <t xml:space="preserve"> йогурд ,тирад ебжурд в нидо каТ</t>
  </si>
  <si>
    <t>ястеудар</t>
  </si>
  <si>
    <t>Так один в дружбе дарит, другой</t>
  </si>
  <si>
    <t>радуется</t>
  </si>
  <si>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</si>
  <si>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>подаркам.</t>
  </si>
  <si>
    <t>Василий Гроссман. Жизнь и судьба, часть 2 (1960)</t>
  </si>
  <si>
    <t>Жизнь и судьба, часть 2</t>
  </si>
  <si>
    <r>
      <rPr>
        <rFont val="Calibri"/>
        <color theme="1"/>
        <sz val="11.0"/>
      </rPr>
      <t xml:space="preserve">Так один в дружбе дарит, другой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</si>
  <si>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 xml:space="preserve"> ,ьнзиж тюелаж и тябюл оньловзиорпен и</t>
  </si>
  <si>
    <t>ястюудар</t>
  </si>
  <si>
    <t>и непроизвольно любят и жалеют жизнь,</t>
  </si>
  <si>
    <t>радуются</t>
  </si>
  <si>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</t>
    </r>
  </si>
  <si>
    <t>теплу</t>
  </si>
  <si>
    <r>
      <rPr>
        <rFont val="Calibri"/>
        <color theme="1"/>
        <sz val="11.0"/>
      </rPr>
      <t xml:space="preserve">И вот обыкновенные люди несут в своих сердцах любовь к живому, естественно и непроизвольно любят и жалеют жизнь,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 и не зажигают костров и пожаров на площадях.</t>
    </r>
  </si>
  <si>
    <t xml:space="preserve"> ,йовксоМ с юинадивс меч ,ешьлоб ,йулажоп</t>
  </si>
  <si>
    <t>пожалуй, больше, чем свиданию с Москвой,</t>
  </si>
  <si>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</si>
  <si>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t>избавлению</t>
  </si>
  <si>
    <t>Василий Гроссман. Жизнь и судьба, часть 3 (1960)</t>
  </si>
  <si>
    <t>Жизнь и судьба, часть 3</t>
  </si>
  <si>
    <r>
      <rPr>
        <rFont val="Calibri"/>
        <color theme="1"/>
        <sz val="11.0"/>
      </rPr>
      <t xml:space="preserve">Эвакуированные москвичи, готовясь в обратную дорогу, пожалуй, больше, чем свиданию с Москвой,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</si>
  <si>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t xml:space="preserve"> ен муртШ ьнед тотэ В</t>
  </si>
  <si>
    <t>В этот день Штрум не</t>
  </si>
  <si>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</t>
    </r>
  </si>
  <si>
    <t>торжеству</t>
  </si>
  <si>
    <r>
      <rPr>
        <rFont val="Calibri"/>
        <color theme="1"/>
        <sz val="11.0"/>
      </rPr>
      <t xml:space="preserve">В этот день Штрум не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 навек в ящик его домашнего стола.</t>
    </r>
  </si>
  <si>
    <t xml:space="preserve"> муртШ</t>
  </si>
  <si>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</t>
    </r>
  </si>
  <si>
    <t>победе,</t>
  </si>
  <si>
    <r>
      <rPr>
        <rFont val="Calibri"/>
        <color theme="1"/>
        <sz val="11.0"/>
      </rPr>
      <t xml:space="preserve">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 победили.</t>
    </r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</si>
  <si>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</t>
    </r>
  </si>
  <si>
    <r>
      <rPr>
        <rFont val="Calibri"/>
        <color theme="1"/>
        <sz val="11.0"/>
      </rPr>
      <t xml:space="preserve">Он с деланным безразличием спрашивал у Людмилы Николаевны: "Ну как, звонила тебе твоя подружка, что она, как здоровье Петра Лаврентьевича? "Он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  Но радовался он не от хорошего чувства к Соколову.</t>
    </r>
  </si>
  <si>
    <t xml:space="preserve"> ,тичанЗ </t>
  </si>
  <si>
    <t>Значит,</t>
  </si>
  <si>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</t>
    </r>
  </si>
  <si>
    <r>
      <rPr>
        <rFont val="Calibri"/>
        <color theme="1"/>
        <sz val="11.0"/>
      </rPr>
      <t xml:space="preserve">Отказаться подписать письмо?  Значит,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  Нет, невозможно.</t>
    </r>
  </si>
  <si>
    <t xml:space="preserve"> ,энаЛ литавхдоп ― ,ад ,аД ― </t>
  </si>
  <si>
    <t>― Да, да, ― подхватил Ланэ,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</si>
  <si>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</si>
  <si>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t>предлогу</t>
  </si>
  <si>
    <t>Ю. О. Домбровский. Обезьяна приходит за своим черепом, часть 2 (1943-1958)</t>
  </si>
  <si>
    <t>Обезьяна приходит за своим черепом, часть 2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</si>
  <si>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</si>
  <si>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</si>
  <si>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"/>
        <color theme="1"/>
        <sz val="11.0"/>
      </rPr>
      <t xml:space="preserve">― Да, да, ― подхватил Ланэ,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</si>
  <si>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t xml:space="preserve"> мокшилс жу :онневтсйовс олыб адгони уме</t>
  </si>
  <si>
    <t>ему иногда было свойственно: уж слишком</t>
  </si>
  <si>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</t>
    </r>
  </si>
  <si>
    <t>Ланэ</t>
  </si>
  <si>
    <r>
      <rPr>
        <rFont val="Calibri"/>
        <color theme="1"/>
        <sz val="11.0"/>
      </rPr>
      <t xml:space="preserve">В первую минуту подействовали, конечно, растерянность и невозможность быстро сообразить все обстоятельства, что ему иногда было свойственно: уж слишком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профессору, что он не подлец.</t>
    </r>
  </si>
  <si>
    <t xml:space="preserve"> ,молет месв умен к яслунревоп нО</t>
  </si>
  <si>
    <t>Он повернулся к нему всем телом,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</si>
  <si>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</t>
    </r>
  </si>
  <si>
    <r>
      <rPr>
        <rFont val="Calibri"/>
        <color theme="1"/>
        <sz val="11.0"/>
      </rPr>
      <t xml:space="preserve">Он повернулся к нему всем телом,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 новую жертву ― пусть и это расхлебывает Гарднер.</t>
    </r>
  </si>
  <si>
    <t xml:space="preserve"> оге ,екизиф оп ьдартет юущбо юунсарк</t>
  </si>
  <si>
    <t>красную общую тетрадь по физике, его</t>
  </si>
  <si>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</si>
  <si>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t>предмету.</t>
  </si>
  <si>
    <t>Э. Г. Казакевич. Звезда (1946)</t>
  </si>
  <si>
    <t>Э. Г. Казакевич</t>
  </si>
  <si>
    <t>1913</t>
  </si>
  <si>
    <t>Звезда</t>
  </si>
  <si>
    <t>Соч. в 2 тт.</t>
  </si>
  <si>
    <r>
      <rPr>
        <rFont val="Calibri"/>
        <color theme="1"/>
        <sz val="11.0"/>
      </rPr>
      <t xml:space="preserve">Мать писала о том, что она нашла красную общую тетрадь по физике, его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</si>
  <si>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t xml:space="preserve"> иксешичьлам ,ясляемсаз окьлот я оН</t>
  </si>
  <si>
    <t>Но я только засмеялся, мальчишески</t>
  </si>
  <si>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</si>
  <si>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>недоумению</t>
  </si>
  <si>
    <t>И. А. Ефремов. Озеро горных духов (1942-1943)</t>
  </si>
  <si>
    <t>И. А. Ефремов</t>
  </si>
  <si>
    <t>Озеро горных духов</t>
  </si>
  <si>
    <t>1942 | 1943</t>
  </si>
  <si>
    <t>В мире фантастики и приключений. -- Л.: Лениздат, 1963</t>
  </si>
  <si>
    <r>
      <rPr>
        <rFont val="Calibri"/>
        <color theme="1"/>
        <sz val="11.0"/>
      </rPr>
      <t xml:space="preserve">Но я только засмеялся, мальчишески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</si>
  <si>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 xml:space="preserve"> Я </t>
  </si>
  <si>
    <t>учох</t>
  </si>
  <si>
    <t>Я</t>
  </si>
  <si>
    <t>хочу</t>
  </si>
  <si>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</t>
    </r>
  </si>
  <si>
    <t>товарищу</t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</si>
  <si>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</si>
  <si>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</si>
  <si>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</si>
  <si>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</si>
  <si>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</si>
  <si>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</si>
  <si>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"/>
        <color theme="1"/>
        <sz val="11.0"/>
      </rPr>
      <t xml:space="preserve">― Я извиняюсь, ― сказал он, и лицо его потемнело, ― вы не можете подождать минутку?  Я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  ― О, с удовольствием! ― воскликнул неизвестный, ― здесь так хорошо под липами, а я, кстати, никуда и не спешу.</t>
    </r>
  </si>
  <si>
    <t xml:space="preserve"> огонмен ― ,аД ― </t>
  </si>
  <si>
    <t>ьсишвивиду</t>
  </si>
  <si>
    <t>― Да, ― немного</t>
  </si>
  <si>
    <t>удивившись</t>
  </si>
  <si>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</t>
    </r>
  </si>
  <si>
    <t>осведомлённости</t>
  </si>
  <si>
    <r>
      <rPr>
        <rFont val="Calibri"/>
        <color theme="1"/>
        <sz val="11.0"/>
      </rPr>
      <t xml:space="preserve">― Да, ― немного </t>
    </r>
    <r>
      <rPr>
        <rFont val="Calibri"/>
        <b/>
        <color theme="1"/>
        <sz val="11.0"/>
      </rPr>
      <t>удивившись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 высказать свой взгляд на государственную власть.</t>
    </r>
  </si>
  <si>
    <t xml:space="preserve"> анвонотнА яегалеП отч и ,олыб ен</t>
  </si>
  <si>
    <t>ястеударбо</t>
  </si>
  <si>
    <t>не было, и что Пелагея Антоновна</t>
  </si>
  <si>
    <t>обрадуется</t>
  </si>
  <si>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</si>
  <si>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t>контрамарке.</t>
  </si>
  <si>
    <r>
      <rPr>
        <rFont val="Calibri"/>
        <color theme="1"/>
        <sz val="11.0"/>
      </rPr>
      <t xml:space="preserve">Тут вертелась и вилла в Ницце, и дрессированный кот, и мысль о том, что свидетелей действительно не было, и что Пелагея Антоновна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</si>
  <si>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t xml:space="preserve"> ротартсинимда ,огоксмиР оцил в ьсишведялгВ</t>
  </si>
  <si>
    <t>Вглядевшись в лицо Римского, администратор</t>
  </si>
  <si>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</si>
  <si>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t>перемене,</t>
  </si>
  <si>
    <r>
      <rPr>
        <rFont val="Calibri"/>
        <color theme="1"/>
        <sz val="11.0"/>
      </rPr>
      <t xml:space="preserve">Вглядевшись в лицо Римского, администратор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</si>
  <si>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t xml:space="preserve"> навИ йывилачлом он ,отэ ан ьтизарзов</t>
  </si>
  <si>
    <t>возразить на это, но молчаливый Иван</t>
  </si>
  <si>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</si>
  <si>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t>гостю,</t>
  </si>
  <si>
    <r>
      <rPr>
        <rFont val="Calibri"/>
        <color theme="1"/>
        <sz val="11.0"/>
      </rPr>
      <t xml:space="preserve">Иван не сумел возразить на это, но молчаливый Иван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</si>
  <si>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t xml:space="preserve"> я отч окьлоТ ― </t>
  </si>
  <si>
    <t>― Только что я</t>
  </si>
  <si>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</t>
    </r>
  </si>
  <si>
    <t>солнышку,</t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</si>
  <si>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</si>
  <si>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</si>
  <si>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</si>
  <si>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</si>
  <si>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"/>
        <color theme="1"/>
        <sz val="11.0"/>
      </rPr>
      <t xml:space="preserve">― Только что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 что нажила, вырастила зерно, чуть запели струны, я шла, как в храм… и вот…</t>
    </r>
  </si>
  <si>
    <t xml:space="preserve"> и йоннёжярпан олавовтсбосопс отэ ёсв ― ,унартс</t>
  </si>
  <si>
    <t>йоннавонловзв</t>
  </si>
  <si>
    <t>страну, ― всё это способствовало напряжённой и</t>
  </si>
  <si>
    <t>взволнованной</t>
  </si>
  <si>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</si>
  <si>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>мысли.</t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</si>
  <si>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</si>
  <si>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</si>
  <si>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</si>
  <si>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</si>
  <si>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</si>
  <si>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</si>
  <si>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"/>
        <color theme="1"/>
        <sz val="11.0"/>
      </rPr>
      <t xml:space="preserve">Дыхание боевых дней, передвижение армии, тревога, охватившая страну, ― всё это способствовало напряжённой и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</si>
  <si>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 xml:space="preserve"> оге инд еыннертевзеб окандО </t>
  </si>
  <si>
    <t>илиокопсеб</t>
  </si>
  <si>
    <t>Однако безветренные дни его</t>
  </si>
  <si>
    <t>беспокоили</t>
  </si>
  <si>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</t>
    </r>
  </si>
  <si>
    <t>крестьянам</t>
  </si>
  <si>
    <t>А. П. Платонов. Государственный житель (1929)</t>
  </si>
  <si>
    <t>А. П. Платонов</t>
  </si>
  <si>
    <t>1899</t>
  </si>
  <si>
    <t>Государственный житель</t>
  </si>
  <si>
    <t>Андрей Платонов. Государственный житель</t>
  </si>
  <si>
    <t>1988</t>
  </si>
  <si>
    <r>
      <rPr>
        <rFont val="Calibri"/>
        <color theme="1"/>
        <sz val="11.0"/>
      </rPr>
      <t xml:space="preserve">Однако безветренные дни его </t>
    </r>
    <r>
      <rPr>
        <rFont val="Calibri"/>
        <b/>
        <color theme="1"/>
        <sz val="11.0"/>
      </rPr>
      <t>беспокоили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 городом застаивается заражённый воздух, ухудшая санитарное условие.</t>
    </r>
  </si>
  <si>
    <t xml:space="preserve"> и ирреП ламудоп ― !дианаТ ,но тоВ</t>
  </si>
  <si>
    <t>Вот он, Танаид! ― подумал Перри и</t>
  </si>
  <si>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</t>
    </r>
  </si>
  <si>
    <t>затее</t>
  </si>
  <si>
    <t>А. П. Платонов. Епифанские шлюзы (1927)</t>
  </si>
  <si>
    <t>Епифанские шлюзы</t>
  </si>
  <si>
    <t>1927</t>
  </si>
  <si>
    <t>Андрей Платонов. Собрание сочинений в 5-ти томах.</t>
  </si>
  <si>
    <r>
      <rPr>
        <rFont val="Calibri"/>
        <color theme="1"/>
        <sz val="11.0"/>
      </rPr>
      <t xml:space="preserve">― Вот он, Танаид! ― подумал Перри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земля, так знаменита обширная природа, сквозь которую надо устроить водяной ход кораблям.</t>
    </r>
  </si>
  <si>
    <t xml:space="preserve"> но ,ьсишвунхемсу оньловен ,И </t>
  </si>
  <si>
    <t>И, невольно усмехнувшись, он</t>
  </si>
  <si>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</si>
  <si>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t>живучести</t>
  </si>
  <si>
    <t>Б. Л. Пастернак. Воздушные пути (1924)</t>
  </si>
  <si>
    <t>Б. Л. Пастернак</t>
  </si>
  <si>
    <t>1890</t>
  </si>
  <si>
    <t>Воздушные пути</t>
  </si>
  <si>
    <t>Борис Пастернак. Полное собрание сочинений в 11 томах</t>
  </si>
  <si>
    <t>2005</t>
  </si>
  <si>
    <r>
      <rPr>
        <rFont val="Calibri"/>
        <color theme="1"/>
        <sz val="11.0"/>
      </rPr>
      <t xml:space="preserve">И, невольно усмехнувшись, он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</si>
  <si>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</t>
    </r>
  </si>
  <si>
    <t>подарку</t>
  </si>
  <si>
    <t>З. Н. Гиппиус. Задумчивый странник (о Розанове) (1923)</t>
  </si>
  <si>
    <t>З. Н. Гиппиус</t>
  </si>
  <si>
    <t>1869</t>
  </si>
  <si>
    <t>Задумчивый странник (о Розанове)</t>
  </si>
  <si>
    <t>1923</t>
  </si>
  <si>
    <t>Василий Розанов: Pro et contra. Кн. I.</t>
  </si>
  <si>
    <r>
      <rPr>
        <rFont val="Calibri"/>
        <color theme="1"/>
        <sz val="11.0"/>
      </rPr>
      <t xml:space="preserve">Очень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 платок.</t>
    </r>
  </si>
  <si>
    <t xml:space="preserve"> иншыраб ;ханизагам в еищажулс тюелМ </t>
  </si>
  <si>
    <t>Млеют служащие в магазинах; барышни</t>
  </si>
  <si>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</si>
  <si>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t>блузочкам</t>
  </si>
  <si>
    <t>Б. К. Зайцев. Улица св. Николая (1921)</t>
  </si>
  <si>
    <t>Б. К. Зайцев</t>
  </si>
  <si>
    <t>1881</t>
  </si>
  <si>
    <t>Улица св. Николая</t>
  </si>
  <si>
    <t>1921</t>
  </si>
  <si>
    <t>Собрание сочинений в 5 т. -- Т. 2. Улица Святого Николая: Повести. Рассказы.</t>
  </si>
  <si>
    <r>
      <rPr>
        <rFont val="Calibri"/>
        <color theme="1"/>
        <sz val="11.0"/>
      </rPr>
      <t xml:space="preserve">Млеют служащие в магазинах; барышни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</si>
  <si>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t xml:space="preserve"> ,мындеварп и мыншерг ястеудар ,йещядохазен ичон</t>
  </si>
  <si>
    <t>ночи незаходящей, радуется грешным и праведным,</t>
  </si>
  <si>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</si>
  <si>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t>смерти</t>
  </si>
  <si>
    <t>Е. И. Замятин. Север (1918)</t>
  </si>
  <si>
    <t>Е. И. Замятин</t>
  </si>
  <si>
    <t>1884</t>
  </si>
  <si>
    <t>Север</t>
  </si>
  <si>
    <t>Е.И. Замятин. Избранные произведения в двух томах Том 1</t>
  </si>
  <si>
    <r>
      <rPr>
        <rFont val="Calibri"/>
        <color theme="1"/>
        <sz val="11.0"/>
      </rPr>
      <t xml:space="preserve">Молится, радуется летнему незаходящему солнцу, радуется зимней ночи незаходящей, радуется грешным и праведным,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</si>
  <si>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t xml:space="preserve"> оншартс но отч ;итсондаж то и</t>
  </si>
  <si>
    <t>и от жадности; что он страшно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</si>
  <si>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</t>
    </r>
  </si>
  <si>
    <t>И. А. Бунин. Грамматика любви (1915)</t>
  </si>
  <si>
    <t>И. А. Бунин</t>
  </si>
  <si>
    <t>1870</t>
  </si>
  <si>
    <t>Грамматика любви</t>
  </si>
  <si>
    <t>1915</t>
  </si>
  <si>
    <t>И. А. Бунин. Собрание сочинений в 6-ти т</t>
  </si>
  <si>
    <r>
      <rPr>
        <rFont val="Calibri"/>
        <color theme="1"/>
        <sz val="11.0"/>
      </rPr>
      <t xml:space="preserve">Тот отвечал поспешно, но односложно, путался, видимо, и от застенчивости, и от жадности; что он страшно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 сбудет их недешево, сказалось в первых же его словах, в той неловкой торопливости, с которой он заявил, что таких книг, как у него, ни за какие деньги нельзя достать.</t>
    </r>
  </si>
  <si>
    <t xml:space="preserve"> модохомим ыВ еыроток ,мяьверед ,етидох ыВ</t>
  </si>
  <si>
    <t>етеагорт</t>
  </si>
  <si>
    <t>Вы ходите, деревьям, которые Вы мимоходом</t>
  </si>
  <si>
    <t>трогаете</t>
  </si>
  <si>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</si>
  <si>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t>прислуге,</t>
  </si>
  <si>
    <t>А. И. Куприн. Гранатовый браслет (1911)</t>
  </si>
  <si>
    <t>А. И. Куприн</t>
  </si>
  <si>
    <t>Гранатовый браслет</t>
  </si>
  <si>
    <t>А. И. Куприн. Собрание сочинений в 9 т.</t>
  </si>
  <si>
    <r>
      <rPr>
        <rFont val="Calibri"/>
        <color theme="1"/>
        <sz val="11.0"/>
      </rPr>
      <t xml:space="preserve">Я мысленно кланяюсь до земли мебели, на которой Вы сидите, паркету, по которому Вы ходите, деревьям, которые Вы мимоходом </t>
    </r>
    <r>
      <rPr>
        <rFont val="Calibri"/>
        <b/>
        <color theme="1"/>
        <sz val="11.0"/>
      </rPr>
      <t>трогаете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</si>
  <si>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t xml:space="preserve"> и от-мин С </t>
  </si>
  <si>
    <t>С ним-то и</t>
  </si>
  <si>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</si>
  <si>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t>Льву</t>
  </si>
  <si>
    <t>П. А. Сергеенко. Вечер в Ясной (1910)</t>
  </si>
  <si>
    <t>П. А. Сергеенко</t>
  </si>
  <si>
    <t>1854</t>
  </si>
  <si>
    <t>Вечер в Ясной</t>
  </si>
  <si>
    <t>1910</t>
  </si>
  <si>
    <t>Интервью и беседы с Львом Толстым / сост. и комм. В. Я. Лакшина</t>
  </si>
  <si>
    <r>
      <rPr>
        <rFont val="Calibri"/>
        <color theme="1"/>
        <sz val="11.0"/>
      </rPr>
      <t xml:space="preserve">С ним-то 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</si>
  <si>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t xml:space="preserve"> ьнечо он ,ьтип либюл ен и</t>
  </si>
  <si>
    <t>и не любил пить, но очень</t>
  </si>
  <si>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</t>
    </r>
  </si>
  <si>
    <t>водке,</t>
  </si>
  <si>
    <t>М. П. Арцыбашев. Жена (1905)</t>
  </si>
  <si>
    <t>М. П. Арцыбашев</t>
  </si>
  <si>
    <t>1878</t>
  </si>
  <si>
    <t>Жена</t>
  </si>
  <si>
    <t>Арцыбашев М. Собрание сочинений в трех томах. Т. 1.</t>
  </si>
  <si>
    <t>1994</t>
  </si>
  <si>
    <r>
      <rPr>
        <rFont val="Calibri"/>
        <color theme="1"/>
        <sz val="11.0"/>
      </rPr>
      <t xml:space="preserve">Я тогда пил мало и не любил пить, но очень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 на вкус.</t>
    </r>
  </si>
  <si>
    <t xml:space="preserve"> икшичьлаМ </t>
  </si>
  <si>
    <t>Мальчишки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</si>
  <si>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</t>
    </r>
  </si>
  <si>
    <t>А. П. Чехов. Скрипка Ротшильда (1894)</t>
  </si>
  <si>
    <t>А. П. Чехов</t>
  </si>
  <si>
    <t>1860</t>
  </si>
  <si>
    <t>Скрипка Ротшильда</t>
  </si>
  <si>
    <t>1894</t>
  </si>
  <si>
    <t>А.П. Чехов. Полное собрание сочинений и писем</t>
  </si>
  <si>
    <t>1974</t>
  </si>
  <si>
    <r>
      <rPr>
        <rFont val="Calibri"/>
        <color theme="1"/>
        <sz val="11.0"/>
      </rPr>
      <t xml:space="preserve">Мальчишки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 криками: "Жид!</t>
    </r>
  </si>
  <si>
    <t xml:space="preserve"> кат и ьтилдем алатс ен яьтсог</t>
  </si>
  <si>
    <t>гостья не стала медлить и так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</si>
  <si>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</t>
    </r>
  </si>
  <si>
    <t>предлогу,</t>
  </si>
  <si>
    <t>А. Н. Апухтин. Между жизнью и смертью (1892)</t>
  </si>
  <si>
    <t>А. Н. Апухтин</t>
  </si>
  <si>
    <t>1840</t>
  </si>
  <si>
    <t>Между жизнью и смертью</t>
  </si>
  <si>
    <t>Русская фантастическая проза XIX - начала XX века</t>
  </si>
  <si>
    <t>1991</t>
  </si>
  <si>
    <r>
      <rPr>
        <rFont val="Calibri"/>
        <color theme="1"/>
        <sz val="11.0"/>
      </rPr>
      <t xml:space="preserve">Церемонная гостья не стала медлить и так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 тот же вечер.</t>
    </r>
  </si>
  <si>
    <t xml:space="preserve"> ясаВ</t>
  </si>
  <si>
    <t>Вася</t>
  </si>
  <si>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</t>
    </r>
  </si>
  <si>
    <t>Д. Н. Мамин-Сибиряк. Клад (1889)</t>
  </si>
  <si>
    <t>Д. Н. Мамин-Сибиряк</t>
  </si>
  <si>
    <t>1852</t>
  </si>
  <si>
    <t>Клад</t>
  </si>
  <si>
    <t>1889</t>
  </si>
  <si>
    <t>Д.Н. Мамин-Сибиряк. Золото. Роман, рассказы, повесть</t>
  </si>
  <si>
    <r>
      <rPr>
        <rFont val="Calibri"/>
        <color theme="1"/>
        <sz val="11.0"/>
      </rPr>
      <t xml:space="preserve">Вася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 на его кровать.</t>
    </r>
  </si>
  <si>
    <t xml:space="preserve"> ,тирг ,жу ыМ </t>
  </si>
  <si>
    <t>Мы уж, грит,</t>
  </si>
  <si>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</t>
    </r>
  </si>
  <si>
    <t>полиции</t>
  </si>
  <si>
    <r>
      <rPr>
        <rFont val="Calibri"/>
        <color theme="1"/>
        <sz val="11.0"/>
      </rPr>
      <t xml:space="preserve">Мы уж, грит,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 этот раз и проснись.</t>
    </r>
  </si>
  <si>
    <t xml:space="preserve"> миобо и ,анилиЖ аримидалВ и янем</t>
  </si>
  <si>
    <t>мымибюл</t>
  </si>
  <si>
    <t>меня и Владимира Жилина, и обоим</t>
  </si>
  <si>
    <t>любимым</t>
  </si>
  <si>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</t>
    </r>
  </si>
  <si>
    <t>внукам,</t>
  </si>
  <si>
    <t>П. И. Мельников-Печерский. Начало неоконченной автобиографии (1863)</t>
  </si>
  <si>
    <t>П. И. Мельников-Печерский</t>
  </si>
  <si>
    <t>1819</t>
  </si>
  <si>
    <t>Начало неоконченной автобиографии</t>
  </si>
  <si>
    <t>1863</t>
  </si>
  <si>
    <t>автобиография</t>
  </si>
  <si>
    <t>Мельников-Печерский П. И. Собрание сочинений в 6 т., том 1</t>
  </si>
  <si>
    <r>
      <rPr>
        <rFont val="Calibri"/>
        <color theme="1"/>
        <sz val="11.0"/>
      </rPr>
      <t xml:space="preserve">Он меня очень любил, меня и Владимира Жилина, и обоим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говаривал: "учитесь, учитесь, да читайте больше.</t>
    </r>
  </si>
  <si>
    <t xml:space="preserve"> как ебес тюялуг иквеД </t>
  </si>
  <si>
    <t>тятох</t>
  </si>
  <si>
    <t>Девки гуляют себе как</t>
  </si>
  <si>
    <t>хотят</t>
  </si>
  <si>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</si>
  <si>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>А. Н. Островский. Гроза (1860)</t>
  </si>
  <si>
    <t>А. Н. Островский</t>
  </si>
  <si>
    <t>1823</t>
  </si>
  <si>
    <t>Гроза</t>
  </si>
  <si>
    <t>пьеса</t>
  </si>
  <si>
    <t>А.Н. Островский. Полное собрание сочинений</t>
  </si>
  <si>
    <t>1951</t>
  </si>
  <si>
    <r>
      <rPr>
        <rFont val="Calibri"/>
        <color theme="1"/>
        <sz val="11.0"/>
      </rPr>
      <t xml:space="preserve">Девки гуляют себе как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</si>
  <si>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 xml:space="preserve"> ад онбодан ыб ясьтавобюл ,ястирогаз еиняис</t>
  </si>
  <si>
    <t>ясьтивид</t>
  </si>
  <si>
    <t>сияние загорится, любоваться бы надобно да</t>
  </si>
  <si>
    <t>дивиться</t>
  </si>
  <si>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</t>
    </r>
  </si>
  <si>
    <t>премудрости:</t>
  </si>
  <si>
    <r>
      <rPr>
        <rFont val="Calibri"/>
        <color theme="1"/>
        <sz val="11.0"/>
      </rPr>
      <t xml:space="preserve">Северное сияние загорится, любоваться бы надобно да </t>
    </r>
    <r>
      <rPr>
        <rFont val="Calibri"/>
        <b/>
        <color theme="1"/>
        <sz val="11.0"/>
      </rPr>
      <t>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заря", а вы ужасаетесь да придумываете: к войне это или к мору.</t>
    </r>
  </si>
  <si>
    <t xml:space="preserve"> и адгот тов ,ьшинзалбос йедюл ,ьшибугоп</t>
  </si>
  <si>
    <t>ясйудар</t>
  </si>
  <si>
    <t>погубишь, людей соблазнишь, вот тогда и</t>
  </si>
  <si>
    <t>радуйся</t>
  </si>
  <si>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</si>
  <si>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t>красоте-то</t>
  </si>
  <si>
    <r>
      <rPr>
        <rFont val="Calibri"/>
        <color theme="1"/>
        <sz val="11.0"/>
      </rPr>
      <t xml:space="preserve">Себя погубишь, людей соблазнишь, вот тогда и </t>
    </r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</si>
  <si>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t xml:space="preserve"> ешчул ыв тов А </t>
  </si>
  <si>
    <t>ьсетивидоп</t>
  </si>
  <si>
    <t>А вот вы лучше</t>
  </si>
  <si>
    <t>подивитесь</t>
  </si>
  <si>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</si>
  <si>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>смышлёности</t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</si>
  <si>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</si>
  <si>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</si>
  <si>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</si>
  <si>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</si>
  <si>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</si>
  <si>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</si>
  <si>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"/>
        <color theme="1"/>
        <sz val="11.0"/>
      </rPr>
      <t xml:space="preserve">А вот вы лучше </t>
    </r>
    <r>
      <rPr>
        <rFont val="Calibri"/>
        <b/>
        <color theme="1"/>
        <sz val="11.0"/>
      </rPr>
      <t>подивитесь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</si>
  <si>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 xml:space="preserve"> и ьсилаводар ым умечоп ,вокинневтсешетуп хикссур</t>
  </si>
  <si>
    <t>ясмеудар</t>
  </si>
  <si>
    <t>русских путешественников, почему мы радовались и</t>
  </si>
  <si>
    <t>радуемся</t>
  </si>
  <si>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</t>
    </r>
  </si>
  <si>
    <t>появлению</t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</si>
  <si>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</si>
  <si>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</si>
  <si>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</si>
  <si>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</si>
  <si>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t>1855</t>
  </si>
  <si>
    <r>
      <rPr>
        <rFont val="Calibri"/>
        <color theme="1"/>
        <sz val="11.0"/>
      </rPr>
      <t xml:space="preserve">Вследствие всего нами сейчас сказанного, читатель легко поймёт, почему мы так ценим даровитых русских путешественников, почему мы радовались и </t>
    </r>
    <r>
      <rPr>
        <rFont val="Calibri"/>
        <b/>
        <color theme="1"/>
        <sz val="11.0"/>
      </rPr>
      <t>радуемся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 Японии" г. Гончарова.</t>
    </r>
  </si>
  <si>
    <t xml:space="preserve"> ончев ,мыньлетичанзен оге к олш ешчул</t>
  </si>
  <si>
    <t>мыннежовертсв</t>
  </si>
  <si>
    <t>лучше шло к его незначительным, вечно</t>
  </si>
  <si>
    <t>встревоженным</t>
  </si>
  <si>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</si>
  <si>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>чертам.</t>
  </si>
  <si>
    <t>И. С. Тургенев. Певцы (1850)</t>
  </si>
  <si>
    <t>Певцы</t>
  </si>
  <si>
    <t>1850</t>
  </si>
  <si>
    <t>И.С. Тургенев. Муму Записки охотника: рассказы</t>
  </si>
  <si>
    <r>
      <rPr>
        <rFont val="Calibri"/>
        <color theme="1"/>
        <sz val="11.0"/>
      </rPr>
      <t xml:space="preserve">И действительно, оно как нельзя лучше шло к его незначительным, вечно </t>
    </r>
    <r>
      <rPr>
        <rFont val="Calibri"/>
        <b/>
        <color theme="1"/>
        <sz val="11.0"/>
      </rPr>
      <t>встревоженным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</si>
  <si>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 xml:space="preserve"> ,умотижорп ьтавовтсвучос окобулг ботч ,итсонноротсесв йот</t>
  </si>
  <si>
    <t>умоннадартсыв</t>
  </si>
  <si>
    <t>той всесторонности, чтоб глубоко сочувствовать прожитому,</t>
  </si>
  <si>
    <t>выстраданному</t>
  </si>
  <si>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</si>
  <si>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>опыту</t>
  </si>
  <si>
    <t>А. И. Герцен. Сорока-воровка (1846)</t>
  </si>
  <si>
    <t>А. И. Герцен</t>
  </si>
  <si>
    <t>1812</t>
  </si>
  <si>
    <t>Сорока-воровка</t>
  </si>
  <si>
    <t>1846</t>
  </si>
  <si>
    <t>А.И. Герцен. Сочинения в 9 томах. Том 1</t>
  </si>
  <si>
    <t>1955</t>
  </si>
  <si>
    <r>
      <rPr>
        <rFont val="Calibri"/>
        <color theme="1"/>
        <sz val="11.0"/>
      </rPr>
      <t xml:space="preserve">Но если мы и перешагнули за плетень патриархальности, так не дошли же опять до той всесторонности, чтоб глубоко сочувствовать прожитому, </t>
    </r>
    <r>
      <rPr>
        <rFont val="Calibri"/>
        <b/>
        <color theme="1"/>
        <sz val="11.0"/>
      </rPr>
      <t>выстраданному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</si>
  <si>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 xml:space="preserve"> ыв илсе ,умотоп И </t>
  </si>
  <si>
    <t>етитох</t>
  </si>
  <si>
    <t>И потому, если вы</t>
  </si>
  <si>
    <t>хотите</t>
  </si>
  <si>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</t>
    </r>
  </si>
  <si>
    <t>людям,</t>
  </si>
  <si>
    <t>В. Г. Белинский. Общая риторика Н.Ф.Кошанского (1844)</t>
  </si>
  <si>
    <t>В. Г. Белинский</t>
  </si>
  <si>
    <t>1811</t>
  </si>
  <si>
    <t>Общая риторика Н.Ф.Кошанского</t>
  </si>
  <si>
    <t>1844</t>
  </si>
  <si>
    <t>рецензия</t>
  </si>
  <si>
    <t>образование</t>
  </si>
  <si>
    <t>В.Г.Белинский. Полное собрание сочинений в 13 т.</t>
  </si>
  <si>
    <t>1953</t>
  </si>
  <si>
    <r>
      <rPr>
        <rFont val="Calibri"/>
        <color theme="1"/>
        <sz val="11.0"/>
      </rPr>
      <t xml:space="preserve">И потому, если вы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ораторами, дать понятие о том, что такое красноречие, а людям, которые хотят быть ораторами, дать средство к изучению красноречия, ― то не пишите реторики, а переберите речи известных ораторов всех народов и всех веков, снабдите их подробною биографиею каждого оратора, необходимыми историческими примечаниями, ― и вы окажете этою книгою великую услугу и ораторам и не ораторам.</t>
    </r>
  </si>
  <si>
    <t xml:space="preserve"> ,онтяорев ,)чивортеП навИ ламуд кат( йиксморуМ</t>
  </si>
  <si>
    <t>Муромский (так думал Иван Петрович), вероятно,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</si>
  <si>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</si>
  <si>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>А. С. Пушкин. Барышня-крестьянка (1830)</t>
  </si>
  <si>
    <t>А. С. Пушкин</t>
  </si>
  <si>
    <t>1799</t>
  </si>
  <si>
    <t>Барышня-крестьянка</t>
  </si>
  <si>
    <t>1830</t>
  </si>
  <si>
    <t>А. Пушкин. Полное собрание сочинений</t>
  </si>
  <si>
    <t>1937 | 1938 | 1939 | 1940 | 1941 | 1942 | 1943 | 1944 | 1945 | 1946 | 1947 | 1948 | 1949</t>
  </si>
  <si>
    <r>
      <rPr>
        <rFont val="Calibri"/>
        <color theme="1"/>
        <sz val="11.0"/>
      </rPr>
      <t xml:space="preserve">Старый же Берестов, с своей стороны, хотя и признавал в своём соседе некоторое сумасбродство (или, по его выражению, английскую дурь), однако же не отрицал в нём и многих отличных достоинств, например: редкой оборотливости; Григорий Иванович был близкий родственник графу Пронскому, человеку знатному и сильному; граф мог быть очень полезен Алексею, а Муромский (так думал Иван Петрович), вероятно,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</si>
  <si>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 xml:space="preserve"> ,янифарг онсарпаН </t>
  </si>
  <si>
    <t>яаннагупси</t>
  </si>
  <si>
    <t>Напрасно графиня,</t>
  </si>
  <si>
    <t>испуганная</t>
  </si>
  <si>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</t>
    </r>
  </si>
  <si>
    <t>исступлению</t>
  </si>
  <si>
    <t>А. С. Пушкин. Арап Петра Великого (1828)</t>
  </si>
  <si>
    <t>Арап Петра Великого</t>
  </si>
  <si>
    <t>1828</t>
  </si>
  <si>
    <r>
      <rPr>
        <rFont val="Calibri"/>
        <color theme="1"/>
        <sz val="11.0"/>
      </rPr>
      <t xml:space="preserve">Напрасно графиня, </t>
    </r>
    <r>
      <rPr>
        <rFont val="Calibri"/>
        <b/>
        <color theme="1"/>
        <sz val="11.0"/>
      </rPr>
      <t>испуганная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 увещания дружбы и советы благоразумия, она сама ослабевала.</t>
    </r>
  </si>
  <si>
    <t xml:space="preserve"> ин окьлокс от ,адог ёще лижулсыв</t>
  </si>
  <si>
    <t>выслужил ещё года, то сколько ни</t>
  </si>
  <si>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</t>
    </r>
  </si>
  <si>
    <t>господину</t>
  </si>
  <si>
    <t>А. Т. Болотов. Жизнь и приключения Андрея Болотова, описанные самим им для своих потомков (1800)</t>
  </si>
  <si>
    <t>А. Т. Болотов</t>
  </si>
  <si>
    <t>1738</t>
  </si>
  <si>
    <t>Жизнь и приключения Андрея Болотова, описанные самим им для своих потомков</t>
  </si>
  <si>
    <t>1800</t>
  </si>
  <si>
    <t>Путь к трону: История дворцового переворота 28 июня 1762 года.</t>
  </si>
  <si>
    <r>
      <rPr>
        <rFont val="Calibri"/>
        <color theme="1"/>
        <sz val="11.0"/>
      </rPr>
      <t xml:space="preserve">В оном переименован я был из флигель-адъютантов армейским капитаном; ибо как я в чине сем не выслужил ещё года, то сколько ни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 чин майорский, но учинить того никак было не можно; но я всего меньше гнался уже за оным, а желал только того, чтоб меня скорее отставили и отпустили на свободу.</t>
    </r>
  </si>
  <si>
    <t>ястивиД</t>
  </si>
  <si>
    <t>Дивится</t>
  </si>
  <si>
    <r>
      <rPr>
        <rFont val="Calibri"/>
        <b/>
        <color theme="1"/>
        <sz val="11.0"/>
      </rPr>
      <t>сновидению</t>
    </r>
    <r>
      <rPr>
        <rFont val="Calibri"/>
        <color theme="1"/>
        <sz val="11.0"/>
      </rPr>
      <t xml:space="preserve"> своему, но ещё больше дивится</t>
    </r>
  </si>
  <si>
    <t>сновидению</t>
  </si>
  <si>
    <t>А. Н. Радищев. Бова (1798-1799)</t>
  </si>
  <si>
    <t>А. Н. Радищев</t>
  </si>
  <si>
    <t>1749</t>
  </si>
  <si>
    <t>Бова</t>
  </si>
  <si>
    <t>1798 | 1799</t>
  </si>
  <si>
    <t>Радищев А. Н. Полное собрание сочинений: В 3 т. Т. 1</t>
  </si>
  <si>
    <r>
      <rPr>
        <rFont val="Calibri"/>
        <b/>
        <color theme="1"/>
        <sz val="11.0"/>
      </rPr>
      <t>Дивится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сновидению</t>
    </r>
    <r>
      <rPr>
        <rFont val="Calibri"/>
        <color theme="1"/>
        <sz val="11.0"/>
      </rPr>
      <t xml:space="preserve"> своему, но ещё больше дивится, видя близ себя малое зеркальцо.</t>
    </r>
  </si>
  <si>
    <t xml:space="preserve"> ищясыт зи ,ебет к еинетчоп и</t>
  </si>
  <si>
    <t>ясхишвилвиду</t>
  </si>
  <si>
    <t>и почтение к тебе, из тысящи</t>
  </si>
  <si>
    <t>удивлившихся</t>
  </si>
  <si>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</t>
    </r>
  </si>
  <si>
    <t>великости</t>
  </si>
  <si>
    <t>А. Н. Радищев. Письмо к другу, жительствующему в Тобольске, по долгу звания своего (1790)</t>
  </si>
  <si>
    <t>Письмо к другу, жительствующему в Тобольске, по долгу звания своего</t>
  </si>
  <si>
    <t>1790</t>
  </si>
  <si>
    <t>письмо литературное</t>
  </si>
  <si>
    <r>
      <rPr>
        <rFont val="Calibri"/>
        <color theme="1"/>
        <sz val="11.0"/>
      </rPr>
      <t xml:space="preserve">― Когда громкия дела твои возбуждали удивление и почтение к тебе, из тысящи </t>
    </r>
    <r>
      <rPr>
        <rFont val="Calibri"/>
        <b/>
        <color theme="1"/>
        <sz val="11.0"/>
      </rPr>
      <t>удивлившихся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 ли хотя един кто от чистоты сердца тебя возносил.</t>
    </r>
  </si>
  <si>
    <t xml:space="preserve"> ыт ботч ,речев йиншаречв я алидоворп</t>
  </si>
  <si>
    <t>ьсалаводароп</t>
  </si>
  <si>
    <t>проводила я вчерашний вечер, чтоб ты</t>
  </si>
  <si>
    <t>порадовалась</t>
  </si>
  <si>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</si>
  <si>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веселью</t>
  </si>
  <si>
    <t>Д. И. Фонвизин. Добрый наставник (1783-1784)</t>
  </si>
  <si>
    <t>Д. И. Фонвизин</t>
  </si>
  <si>
    <t>1744</t>
  </si>
  <si>
    <t>Добрый наставник</t>
  </si>
  <si>
    <t>1783 | 1784</t>
  </si>
  <si>
    <t>Фонвизин Д.И. Собрание сочинений: В 2 т. Т. 1</t>
  </si>
  <si>
    <r>
      <rPr>
        <rFont val="Calibri"/>
        <color theme="1"/>
        <sz val="11.0"/>
      </rPr>
      <t xml:space="preserve">Я расскажу тебе, как без них проводила я вчерашний вечер, чтоб ты </t>
    </r>
    <r>
      <rPr>
        <rFont val="Calibri"/>
        <b/>
        <color theme="1"/>
        <sz val="11.0"/>
      </rPr>
      <t>порадовалась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</si>
  <si>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( макитокран к ясласакирп ен адгокин ешьлоб</t>
  </si>
  <si>
    <t>ятох</t>
  </si>
  <si>
    <t>больше никогда не прикасался к наркотикам (</t>
  </si>
  <si>
    <t>хотя</t>
  </si>
  <si>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</t>
    </r>
  </si>
  <si>
    <t>словам</t>
  </si>
  <si>
    <t>Денис Ларионов. Эскапизм, соблазн и галлюциноз: история русской нарколитературы от Гоголя до Пепперштейна (2019)</t>
  </si>
  <si>
    <t>Денис Ларионов</t>
  </si>
  <si>
    <t>Эскапизм, соблазн и галлюциноз: история русской нарколитературы от Гоголя до Пепперштейна</t>
  </si>
  <si>
    <t>2019</t>
  </si>
  <si>
    <t>здоровье и медицина | искусство и культура</t>
  </si>
  <si>
    <t>омонимия не снята</t>
  </si>
  <si>
    <r>
      <rPr>
        <rFont val="Calibri"/>
        <color theme="1"/>
        <sz val="11.0"/>
      </rPr>
      <t>Менее обеспеченные работники журналистского и поэтического цеха довольствовались более дешевым гашишем: уже в эмиграции Георгий Иванов вспоминал свой bad trip от «толстой папиросы, набитой гашишем», после которого он больше никогда не прикасался к наркотикам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 можно верить).</t>
    </r>
  </si>
  <si>
    <t xml:space="preserve"> оге о моллиБ с теавиравогзар скоС</t>
  </si>
  <si>
    <t>Сокс разговаривает с Биллом о его</t>
  </si>
  <si>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</t>
    </r>
  </si>
  <si>
    <t>команде</t>
  </si>
  <si>
    <t>Люся Ширшова, Нелли Боулс. Живое общение становится предметом роскоши, а гаджеты — уделом низших классов (2019)</t>
  </si>
  <si>
    <t>Люся Ширшова | Нелли Боулс</t>
  </si>
  <si>
    <t>1985</t>
  </si>
  <si>
    <t>Живое общение становится предметом роскоши, а гаджеты — уделом низших классов</t>
  </si>
  <si>
    <t>психология | социология</t>
  </si>
  <si>
    <r>
      <rPr>
        <rFont val="Calibri"/>
        <color theme="1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</si>
  <si>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 xml:space="preserve"> оге теарги ,)ыднамок йотэ ьтсеч в</t>
  </si>
  <si>
    <t>еымибюл</t>
  </si>
  <si>
    <t>в честь этой команды), играет его</t>
  </si>
  <si>
    <t>любимые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</si>
  <si>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</t>
    </r>
  </si>
  <si>
    <t>песни,</t>
  </si>
  <si>
    <r>
      <rPr>
        <rFont val="Calibri"/>
        <color theme="1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</si>
  <si>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>ятоХ</t>
  </si>
  <si>
    <t>Хотя</t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</si>
  <si>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 отметить, что оба</t>
    </r>
  </si>
  <si>
    <t>справедливости</t>
  </si>
  <si>
    <t>Михаил Киселев. 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 (2019)</t>
  </si>
  <si>
    <t>Михаил Киселев</t>
  </si>
  <si>
    <t>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</t>
  </si>
  <si>
    <t>искусство и культура | история | религия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</si>
  <si>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 отметить, что оба этих слова восходят к общему индоевропейскому корню* seq - —«говорить, рассказывать».</t>
    </r>
  </si>
  <si>
    <t xml:space="preserve"> етйуборпоП </t>
  </si>
  <si>
    <t>Попробуйте</t>
  </si>
  <si>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</si>
  <si>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t>человеку,</t>
  </si>
  <si>
    <t>Олег Матфатов. Темная сторона эмпатии. Почему сопереживание само по себе не делает лучше ни нас, ни окружающий мир (2019)</t>
  </si>
  <si>
    <t>Олег Матфатов</t>
  </si>
  <si>
    <t>Темная сторона эмпатии. Почему сопереживание само по себе не делает лучше ни нас, ни окружающий мир</t>
  </si>
  <si>
    <t>психология</t>
  </si>
  <si>
    <r>
      <rPr>
        <rFont val="Calibri"/>
        <color theme="1"/>
        <sz val="11.0"/>
      </rPr>
      <t xml:space="preserve">Попробуйте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</si>
  <si>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t xml:space="preserve"> и иифарготоф ан ьтертомс илисорпоп оге</t>
  </si>
  <si>
    <t>его попросили смотреть на фотографии и</t>
  </si>
  <si>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</t>
    </r>
  </si>
  <si>
    <t>страданиям</t>
  </si>
  <si>
    <r>
      <rPr>
        <rFont val="Calibri"/>
        <color theme="1"/>
        <sz val="11.0"/>
      </rPr>
      <t xml:space="preserve">В одном из экспериментов его попросили смотреть на фотографии и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 изображены.</t>
    </r>
  </si>
  <si>
    <t xml:space="preserve"> ямерв еовс ёсв литявсоп и утобар</t>
  </si>
  <si>
    <t>работу и посвятил всё свое время</t>
  </si>
  <si>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</si>
  <si>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>Петр Талантов. Пионеры психонавтики: как ученые ставили эксперименты с психоделиками на себе (2019)</t>
  </si>
  <si>
    <t>Петр Талантов</t>
  </si>
  <si>
    <t>Пионеры психонавтики: как ученые ставили эксперименты с психоделиками на себе</t>
  </si>
  <si>
    <t>администрация и управление | здоровье и медицина | криминал</t>
  </si>
  <si>
    <r>
      <rPr>
        <rFont val="Calibri"/>
        <color theme="1"/>
        <sz val="11.0"/>
      </rPr>
      <t xml:space="preserve">Он начал участвовать в экспериментах по изучению свойств психоделиков и проводить собственные исследования в этой области, а в 1966 году оставил работу и посвятил всё свое время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</si>
  <si>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 xml:space="preserve"> тиП </t>
  </si>
  <si>
    <t>тидиванен</t>
  </si>
  <si>
    <t>Пит</t>
  </si>
  <si>
    <t>ненавидит</t>
  </si>
  <si>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</t>
    </r>
  </si>
  <si>
    <t>Германию</t>
  </si>
  <si>
    <t>Юлия Степанова. Берлин: вне системы. Как живут люди в сквотах и независимых поселениях (2019)</t>
  </si>
  <si>
    <t>Юлия Степанова</t>
  </si>
  <si>
    <t>Берлин: вне системы. Как живут люди в сквотах и независимых поселениях</t>
  </si>
  <si>
    <r>
      <rPr>
        <rFont val="Calibri"/>
        <color theme="1"/>
        <sz val="11.0"/>
      </rPr>
      <t xml:space="preserve">Пит </t>
    </r>
    <r>
      <rPr>
        <rFont val="Calibri"/>
        <b/>
        <color theme="1"/>
        <sz val="11.0"/>
      </rPr>
      <t>ненавидит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 налоги, и считает, что если жить в этой стране — то только в Берлине.</t>
    </r>
  </si>
  <si>
    <t xml:space="preserve"> окьлот ,ястежак енм как ,юиротиррет ушан</t>
  </si>
  <si>
    <t>нашу территорию, как мне кажется, только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</si>
  <si>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</t>
    </r>
  </si>
  <si>
    <t>тому,</t>
  </si>
  <si>
    <t>Станислав Кучер. Вери хайли лайкли (2018.03.15) // «Сноб», 2018</t>
  </si>
  <si>
    <t>Станислав Кучер</t>
  </si>
  <si>
    <t>Вери хайли лайкли</t>
  </si>
  <si>
    <t>2018.03.15</t>
  </si>
  <si>
    <t>«Сноб»</t>
  </si>
  <si>
    <t>2018</t>
  </si>
  <si>
    <r>
      <rPr>
        <rFont val="Calibri"/>
        <color theme="1"/>
        <sz val="11.0"/>
      </rPr>
      <t xml:space="preserve">У нас разные умники любят порассуждать о дружбе с Китаем, типа у нас много общего и вообще… Так вот, китайцы, у которых, в отличие от американцев и англичан, действительно есть виды на нашу территорию, как мне кажется, только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 варварами к западу от стены».</t>
    </r>
  </si>
  <si>
    <t xml:space="preserve"> ялд меинавонсо ястивонатс ен отэ есВ</t>
  </si>
  <si>
    <t>йоннещумзов</t>
  </si>
  <si>
    <t>Все это не становится основанием для</t>
  </si>
  <si>
    <t>возмущенной</t>
  </si>
  <si>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</si>
  <si>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t>реакции</t>
  </si>
  <si>
    <t>М. Я. Блинкин. «Уберите сами». Как крупным городам справиться со снежными заносами (2018.02.28) // «Сноб», 2018</t>
  </si>
  <si>
    <t>М. Я. Блинкин</t>
  </si>
  <si>
    <t>1947</t>
  </si>
  <si>
    <t>«Уберите сами». Как крупным городам справиться со снежными заносами</t>
  </si>
  <si>
    <t>2018.02.28</t>
  </si>
  <si>
    <t>администрацияи управление | социология | частная жизнь</t>
  </si>
  <si>
    <r>
      <rPr>
        <rFont val="Calibri"/>
        <color theme="1"/>
        <sz val="11.0"/>
      </rPr>
      <t xml:space="preserve">Все это не становится основанием для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</si>
  <si>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t xml:space="preserve"> ,»яаксвотномреЛ« или »аскраМ ткепсорП« ,»яакснижрезД« ортем</t>
  </si>
  <si>
    <t>метро «Дзержинская», «Проспект Маркса» или «Лермонтовская»,</t>
  </si>
  <si>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</si>
  <si>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>станции</t>
  </si>
  <si>
    <t>Анатолий Чечуха. Я стою у ресторана... // «Бельские просторы», 2018</t>
  </si>
  <si>
    <t>Анатолий Чечуха</t>
  </si>
  <si>
    <t>Я стою у ресторана...</t>
  </si>
  <si>
    <t>«Бельские просторы»</t>
  </si>
  <si>
    <r>
      <rPr>
        <rFont val="Calibri"/>
        <color theme="1"/>
        <sz val="11.0"/>
      </rPr>
      <t xml:space="preserve">Или, к примеру, давно не бывавшие в Москве люди говорят, что какой-то магазин в Москве находится у метро «Дзержинская», «Проспект Маркса» или «Лермонтовская»,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</si>
  <si>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 xml:space="preserve"> ясьтаминаз ил окгеЛ </t>
  </si>
  <si>
    <t>Легко ли заниматься</t>
  </si>
  <si>
    <t>делом</t>
  </si>
  <si>
    <t>Андрей Никитин, Федук. «Я чувачок, у которого получается»: Федук -- о себе, Урганте, «Версусе» и околофутболе // Афиша Daily, 2018</t>
  </si>
  <si>
    <t>Андрей Никитин | Федук</t>
  </si>
  <si>
    <t>«Я чувачок, у которого получается»: Федук -- о себе, Урганте, «Версусе» и околофутболе</t>
  </si>
  <si>
    <t>Афиша Daily</t>
  </si>
  <si>
    <r>
      <rPr>
        <rFont val="Calibri"/>
        <color theme="1"/>
        <sz val="11.0"/>
      </rPr>
      <t xml:space="preserve">Музыкант, преподаватель «Школы Маскелиаде».  Легко ли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</si>
  <si>
    <t xml:space="preserve"> ен от-умечоп жуМ он – отсорп каК</t>
  </si>
  <si>
    <t>яслидытс</t>
  </si>
  <si>
    <t>Как просто – но Муж почему-то не</t>
  </si>
  <si>
    <t>стыдился</t>
  </si>
  <si>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</t>
    </r>
  </si>
  <si>
    <t>банальности</t>
  </si>
  <si>
    <t>Вадим Богданов. Жизнь не должна закончиться // «Бельские просторы», 2018</t>
  </si>
  <si>
    <t>Вадим Богданов</t>
  </si>
  <si>
    <t>Жизнь не должна закончиться</t>
  </si>
  <si>
    <r>
      <rPr>
        <rFont val="Calibri"/>
        <color theme="1"/>
        <sz val="11.0"/>
      </rPr>
      <t xml:space="preserve">Как просто – но Муж почему-то не </t>
    </r>
    <r>
      <rPr>
        <rFont val="Calibri"/>
        <b/>
        <color theme="1"/>
        <sz val="11.0"/>
      </rPr>
      <t>стыдился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 обвиняла себя в уступчивости.</t>
    </r>
  </si>
  <si>
    <t xml:space="preserve"> вадзос ,ьсилкесерп мозар гурдв еинагордос и</t>
  </si>
  <si>
    <t>юущюагуп</t>
  </si>
  <si>
    <t>и содрогание вдруг разом пресеклись, создав</t>
  </si>
  <si>
    <t>пугающую</t>
  </si>
  <si>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</si>
  <si>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t>тишину.</t>
  </si>
  <si>
    <r>
      <rPr>
        <rFont val="Calibri"/>
        <color theme="1"/>
        <sz val="11.0"/>
      </rPr>
      <t xml:space="preserve">Оборвав обе фразы, гром и содрогание вдруг разом пресеклись, создав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</si>
  <si>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t xml:space="preserve"> раксА</t>
  </si>
  <si>
    <t>яслимузи</t>
  </si>
  <si>
    <t>Аскар</t>
  </si>
  <si>
    <t>изумился</t>
  </si>
  <si>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</t>
    </r>
  </si>
  <si>
    <t>улыбчивости</t>
  </si>
  <si>
    <t>Гузалия Ариткулова. Контур, выжженный на асфальте // «Бельские просторы», 2018</t>
  </si>
  <si>
    <t>Гузалия Ариткулова</t>
  </si>
  <si>
    <t>1965</t>
  </si>
  <si>
    <t>Контур, выжженный на асфальте</t>
  </si>
  <si>
    <r>
      <rPr>
        <rFont val="Calibri"/>
        <color theme="1"/>
        <sz val="11.0"/>
      </rPr>
      <t xml:space="preserve">Аскар </t>
    </r>
    <r>
      <rPr>
        <rFont val="Calibri"/>
        <b/>
        <color theme="1"/>
        <sz val="11.0"/>
      </rPr>
      <t>изумился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 музыке.</t>
    </r>
  </si>
  <si>
    <t xml:space="preserve"> ,виторпан ,автстед агурд иклокдоп ан ьсялз</t>
  </si>
  <si>
    <t>злясь на подколки друга детства, напротив,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</si>
  <si>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</t>
    </r>
  </si>
  <si>
    <r>
      <rPr>
        <rFont val="Calibri"/>
        <color theme="1"/>
        <sz val="11.0"/>
      </rPr>
      <t xml:space="preserve">«Он прежний», – думал Аскар, совершенно не злясь на подколки друга детства, напротив,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 невзначай поинтересовался:</t>
    </r>
  </si>
  <si>
    <t xml:space="preserve"> летох раксА</t>
  </si>
  <si>
    <t>ьтитумс</t>
  </si>
  <si>
    <t>Аскар хотел</t>
  </si>
  <si>
    <t>смутить</t>
  </si>
  <si>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</t>
    </r>
  </si>
  <si>
    <t>Ангелину,</t>
  </si>
  <si>
    <r>
      <rPr>
        <rFont val="Calibri"/>
        <color theme="1"/>
        <sz val="11.0"/>
      </rPr>
      <t xml:space="preserve">Аскар хотел </t>
    </r>
    <r>
      <rPr>
        <rFont val="Calibri"/>
        <b/>
        <color theme="1"/>
        <sz val="11.0"/>
      </rPr>
      <t>смутить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вопросом: «А ты бы хотел?»</t>
    </r>
  </si>
  <si>
    <t xml:space="preserve"> или ынелвиду илыб ен :иицаутис йонтраднатсен</t>
  </si>
  <si>
    <t>ынагупан</t>
  </si>
  <si>
    <t>нестандартной ситуации: не были удивлены или</t>
  </si>
  <si>
    <t>напуганы</t>
  </si>
  <si>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</t>
    </r>
  </si>
  <si>
    <t>чумовым</t>
  </si>
  <si>
    <r>
      <rPr>
        <rFont val="Calibri"/>
        <color theme="1"/>
        <sz val="11.0"/>
      </rPr>
      <t xml:space="preserve">Оба питались энергией нестандартной ситуации: не были удивлены или </t>
    </r>
    <r>
      <rPr>
        <rFont val="Calibri"/>
        <b/>
        <color theme="1"/>
        <sz val="11.0"/>
      </rPr>
      <t>напуганы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 лицах отразился живейший интерес к происходящему.</t>
    </r>
  </si>
  <si>
    <t xml:space="preserve"> :ииссоР в хишйератс зи нидо ― киндур</t>
  </si>
  <si>
    <t>рудник ― один из старейших в России:</t>
  </si>
  <si>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</t>
    </r>
  </si>
  <si>
    <t>экспедиции</t>
  </si>
  <si>
    <t>Даниил Туровский. 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 // Медуzа, 2018</t>
  </si>
  <si>
    <t>Даниил Туровский</t>
  </si>
  <si>
    <t>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</t>
  </si>
  <si>
    <t>администрация и управление | бизнес, коммерция, экономика, финансы | производство | частная жизнь</t>
  </si>
  <si>
    <t>Медуzа</t>
  </si>
  <si>
    <r>
      <rPr>
        <rFont val="Calibri"/>
        <color theme="1"/>
        <sz val="11.0"/>
      </rPr>
      <t xml:space="preserve">Дарасунский рудник ― один из старейших в России: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 залежей начались еще при Иване III, нашли их только в XVIII веке ― и как раз в Забайкалье.</t>
    </r>
  </si>
  <si>
    <t xml:space="preserve"> ен – </t>
  </si>
  <si>
    <t>яслитумс</t>
  </si>
  <si>
    <t>– не</t>
  </si>
  <si>
    <t>смутился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</si>
  <si>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</t>
    </r>
  </si>
  <si>
    <t>молодой</t>
  </si>
  <si>
    <t>Елена Сафронова. Так проходит слава земная // «Бельские просторы», 2018</t>
  </si>
  <si>
    <t>Елена Сафронова</t>
  </si>
  <si>
    <t>Так проходит слава земная</t>
  </si>
  <si>
    <r>
      <rPr>
        <rFont val="Calibri"/>
        <color theme="1"/>
        <sz val="11.0"/>
      </rPr>
      <t xml:space="preserve">– Конечно!  – не </t>
    </r>
    <r>
      <rPr>
        <rFont val="Calibri"/>
        <b/>
        <color theme="1"/>
        <sz val="11.0"/>
      </rPr>
      <t>смутился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  – Помните, десять лет назад на госканале начинали шоу для детей «Круче некуда»?</t>
    </r>
  </si>
  <si>
    <t xml:space="preserve"> яавыдалкыв ,лировогаз ортсыб-ортсыб и узарф</t>
  </si>
  <si>
    <t>йоннёряъзар</t>
  </si>
  <si>
    <t>фразу и быстро-быстро заговорил, выкладывая</t>
  </si>
  <si>
    <t>разъярённой</t>
  </si>
  <si>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</t>
    </r>
  </si>
  <si>
    <t>мамаше,</t>
  </si>
  <si>
    <r>
      <rPr>
        <rFont val="Calibri"/>
        <color theme="1"/>
        <sz val="11.0"/>
      </rPr>
      <t xml:space="preserve">– выдал Август сакраментальную фразу и быстро-быстро заговорил, выкладывая </t>
    </r>
    <r>
      <rPr>
        <rFont val="Calibri"/>
        <b/>
        <color theme="1"/>
        <sz val="11.0"/>
      </rPr>
      <t>разъярённой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 появления.</t>
    </r>
  </si>
  <si>
    <t xml:space="preserve"> ен я( екинахем йовотнавк в сачйеС</t>
  </si>
  <si>
    <t>юагорт</t>
  </si>
  <si>
    <t>Сейчас в квантовой механике (я не</t>
  </si>
  <si>
    <t>трогаю</t>
  </si>
  <si>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</t>
    </r>
  </si>
  <si>
    <t>теории</t>
  </si>
  <si>
    <t>Наталия Дерикот. Квантовая логика и квантовый миф. Интервью с этиком новых технологий и философом физики Алексеем Гринбаумом (2018)</t>
  </si>
  <si>
    <t>Наталия Дерикот</t>
  </si>
  <si>
    <t>Квантовая логика и квантовый миф. Интервью с этиком новых технологий и философом физики Алексеем Гринбаумом</t>
  </si>
  <si>
    <t>анонс | интервью | статья</t>
  </si>
  <si>
    <t>математика | техника | физика | философия</t>
  </si>
  <si>
    <r>
      <rPr>
        <rFont val="Calibri"/>
        <color theme="1"/>
        <sz val="11.0"/>
      </rPr>
      <t xml:space="preserve">Сейчас в квантовой механике (я не </t>
    </r>
    <r>
      <rPr>
        <rFont val="Calibri"/>
        <b/>
        <color theme="1"/>
        <sz val="11.0"/>
      </rPr>
      <t>трогаю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 же ситуация, что и в начале 1920-х годов, когда пришел Гейзенберг.</t>
    </r>
  </si>
  <si>
    <t xml:space="preserve"> мымас ястеатичс уварп оп вохеЧ чиволваП</t>
  </si>
  <si>
    <t>мищюуксот</t>
  </si>
  <si>
    <t>Павлович Чехов по праву считается самым</t>
  </si>
  <si>
    <t>тоскующим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</si>
  <si>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</t>
    </r>
  </si>
  <si>
    <t>русским</t>
  </si>
  <si>
    <t>Олег Воропаев. Предзимний сезон // «Бельские просторы», 2018</t>
  </si>
  <si>
    <t>Олег Воропаев</t>
  </si>
  <si>
    <t>Предзимний сезон</t>
  </si>
  <si>
    <r>
      <rPr>
        <rFont val="Calibri"/>
        <color theme="1"/>
        <sz val="11.0"/>
      </rPr>
      <t xml:space="preserve">Дело в том, что Антон Павлович Чехов по праву считается самым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 века.</t>
    </r>
  </si>
  <si>
    <t>еищюувтсвучоС</t>
  </si>
  <si>
    <t>Сочувствующие</t>
  </si>
  <si>
    <r>
      <rPr>
        <rFont val="Calibri"/>
        <b/>
        <color theme="1"/>
        <sz val="11.0"/>
      </rPr>
      <t>проекту</t>
    </r>
    <r>
      <rPr>
        <rFont val="Calibri"/>
        <color theme="1"/>
        <sz val="11.0"/>
      </rPr>
      <t xml:space="preserve"> Митина и Гончарова даже создали</t>
    </r>
  </si>
  <si>
    <t>проекту</t>
  </si>
  <si>
    <t>Саша Сулим, Александр Горбачев. «Болотов.Дача» -- частный проект по развитию туризма и фермерства в Подмосковье. Он оказался на грани закрытия из-за приказа советского Минкульта // 2018</t>
  </si>
  <si>
    <t>Саша Сулим, Александр Горбачев</t>
  </si>
  <si>
    <t>1984</t>
  </si>
  <si>
    <t>«Болотов.Дача» -- частный проект по развитию туризма и фермерства в Подмосковье. Он оказался на грани закрытия из-за приказа советского Минкульта</t>
  </si>
  <si>
    <t>администрация и управление | бизнес, коммерция, экономика, финансы</t>
  </si>
  <si>
    <r>
      <rPr>
        <rFont val="Calibri"/>
        <b/>
        <color theme="1"/>
        <sz val="11.0"/>
      </rPr>
      <t>Сочувствующие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проекту</t>
    </r>
    <r>
      <rPr>
        <rFont val="Calibri"/>
        <color theme="1"/>
        <sz val="11.0"/>
      </rPr>
      <t xml:space="preserve"> Митина и Гончарова даже создали инициативную группу, которая пытается привлечь внимание к ситуации.</t>
    </r>
  </si>
  <si>
    <t xml:space="preserve"> еикат ,иляреворп сан отч ,икицаН </t>
  </si>
  <si>
    <t>еыннелболзо</t>
  </si>
  <si>
    <t>Нацики, что нас проверяли, такие</t>
  </si>
  <si>
    <t>озлобленные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</si>
  <si>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</t>
    </r>
  </si>
  <si>
    <t>были,</t>
  </si>
  <si>
    <t>Светлана Беллендир. Уфа - Луганск. Дорога дружбы // «Бельские просторы», 2018</t>
  </si>
  <si>
    <t>Светлана Беллендир</t>
  </si>
  <si>
    <t>Уфа - Луганск. Дорога дружбы</t>
  </si>
  <si>
    <t>армия и вооруженные конфликты</t>
  </si>
  <si>
    <r>
      <rPr>
        <rFont val="Calibri"/>
        <color theme="1"/>
        <sz val="11.0"/>
      </rPr>
      <t xml:space="preserve">Нацики, что нас проверяли, такие </t>
    </r>
    <r>
      <rPr>
        <rFont val="Calibri"/>
        <b/>
        <color theme="1"/>
        <sz val="11.0"/>
      </rPr>
      <t>озлобленные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 – преступники, сепаратисты!</t>
    </r>
  </si>
  <si>
    <t xml:space="preserve"> ино отЭ </t>
  </si>
  <si>
    <t>Это они</t>
  </si>
  <si>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</t>
    </r>
  </si>
  <si>
    <t>крови!</t>
  </si>
  <si>
    <r>
      <rPr>
        <rFont val="Calibri"/>
        <color theme="1"/>
        <sz val="11.0"/>
      </rPr>
      <t xml:space="preserve">Не мы ее начинали.  Это они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  Они ведь знали, куда стреляли: по школам, по детсадам, по больницам – по онкологии даже!</t>
    </r>
  </si>
  <si>
    <t xml:space="preserve"> к ежилб ьтыб тюагомоп зар как</t>
  </si>
  <si>
    <t>как раз помогают быть ближе к</t>
  </si>
  <si>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</t>
    </r>
  </si>
  <si>
    <t>спортсмену</t>
  </si>
  <si>
    <t>Сергей Шубенков, Ян Гордиенко. Чемпион мира Сергей Шубенков и блогер Ян Гордиенко -- о беге, соцсетях и мотивации // Афиша Daily, 2018</t>
  </si>
  <si>
    <t>Сергей Шубенков | Ян Гордиенко</t>
  </si>
  <si>
    <t>1990 | 1998</t>
  </si>
  <si>
    <t>Чемпион мира Сергей Шубенков и блогер Ян Гордиенко -- о беге, соцсетях и мотивации</t>
  </si>
  <si>
    <r>
      <rPr>
        <rFont val="Calibri"/>
        <color theme="1"/>
        <sz val="11.0"/>
      </rPr>
      <t xml:space="preserve">А соцсети как раз помогают быть ближе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 бегового движения.</t>
    </r>
  </si>
  <si>
    <t xml:space="preserve"> от-как отэ ,ьтыб тежоМ </t>
  </si>
  <si>
    <t>олагупан</t>
  </si>
  <si>
    <t>Может быть, это как-то</t>
  </si>
  <si>
    <t>напугало</t>
  </si>
  <si>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</t>
    </r>
  </si>
  <si>
    <t>Валеру,</t>
  </si>
  <si>
    <t>коллективный. 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 // Афиша Daily, 2018</t>
  </si>
  <si>
    <t>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</t>
  </si>
  <si>
    <r>
      <rPr>
        <rFont val="Calibri"/>
        <color theme="1"/>
        <sz val="11.0"/>
      </rPr>
      <t xml:space="preserve">Может быть, это как-то </t>
    </r>
    <r>
      <rPr>
        <rFont val="Calibri"/>
        <b/>
        <color theme="1"/>
        <sz val="11.0"/>
      </rPr>
      <t>напугало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 развиваться дальше ― несмотря на страх, что какая-то девчонка его сделает.</t>
    </r>
  </si>
  <si>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 xml:space="preserve"> любого возраста, статуса и происхождения</t>
    </r>
  </si>
  <si>
    <t>гостям</t>
  </si>
  <si>
    <t>коллективный. Место ли детям в барах? Отвечают рестораторы // Афиша Daily, 2018</t>
  </si>
  <si>
    <t>Место ли детям в барах? Отвечают рестораторы</t>
  </si>
  <si>
    <t>бизнес, коммерция, экономика, финансы | частная жизнь</t>
  </si>
  <si>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 xml:space="preserve"> любого возраста, статуса и происхождения ― таков принцип true american hospitality, заложенный в основе концепции Saxon+ Parole.</t>
    </r>
  </si>
  <si>
    <t xml:space="preserve"> ясьтишил ксир еж есв И </t>
  </si>
  <si>
    <t>И все же риск лишиться</t>
  </si>
  <si>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</t>
    </r>
  </si>
  <si>
    <t>профессии,</t>
  </si>
  <si>
    <t>Григорий Чхартишвили, Станислав Кучер. Между компромиссом и конформизмом (2017.12.11) // «Сноб», 2017</t>
  </si>
  <si>
    <t>Григорий Чхартишвили | Станислав Кучер</t>
  </si>
  <si>
    <t>1956 | 1972</t>
  </si>
  <si>
    <t>Между компромиссом и конформизмом</t>
  </si>
  <si>
    <t>2017.12.11</t>
  </si>
  <si>
    <t>искусство и культура | политика и общественная жизнь</t>
  </si>
  <si>
    <t>2017</t>
  </si>
  <si>
    <r>
      <rPr>
        <rFont val="Calibri"/>
        <color theme="1"/>
        <sz val="11.0"/>
      </rPr>
      <t xml:space="preserve">И все же риск лишиться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 риск.</t>
    </r>
  </si>
  <si>
    <t xml:space="preserve"> ,мымибюл ,мывибюлорим ,мынчодяроп ,мишорох ьтыб теалеж</t>
  </si>
  <si>
    <t>желает быть хорошим, порядочным, миролюбивым, любимым,</t>
  </si>
  <si>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</si>
  <si>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>настоящим,</t>
  </si>
  <si>
    <t>Ксения Гощицкая. Антоха МС: «Наше поколение настолько впрягли в сани, что остается только злиться и оценивать» (2017.09.07)</t>
  </si>
  <si>
    <t>Ксения Гощицкая</t>
  </si>
  <si>
    <t>Антоха МС: «Наше поколение настолько впрягли в сани, что остается только злиться и оценивать»</t>
  </si>
  <si>
    <t>2017.09.07</t>
  </si>
  <si>
    <t>бизнес, коммерция, экономика, финансы | досуг, зрелища и развлечения</t>
  </si>
  <si>
    <t>Интернет</t>
  </si>
  <si>
    <r>
      <rPr>
        <rFont val="Calibri"/>
        <color theme="1"/>
        <sz val="11.0"/>
      </rPr>
      <t xml:space="preserve">Но каждый человек желает быть хорошим, порядочным, миролюбивым, любимым,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</si>
  <si>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 xml:space="preserve"> в анешер ецровд монромарМ в акватсыВ</t>
  </si>
  <si>
    <t>момибюл</t>
  </si>
  <si>
    <t>Выставка в Мраморном дворце решена в</t>
  </si>
  <si>
    <t>любимом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</si>
  <si>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</t>
    </r>
  </si>
  <si>
    <t>Русским</t>
  </si>
  <si>
    <t>Елена Анисимова. Почему нужно идти на выставку «Дети страны советов»? (2017.09.06)</t>
  </si>
  <si>
    <t>Елена Анисимова</t>
  </si>
  <si>
    <t>Почему нужно идти на выставку «Дети страны советов»?</t>
  </si>
  <si>
    <t>2017.09.06</t>
  </si>
  <si>
    <t>анонс</t>
  </si>
  <si>
    <r>
      <rPr>
        <rFont val="Calibri"/>
        <color theme="1"/>
        <sz val="11.0"/>
      </rPr>
      <t xml:space="preserve">Выставка в Мраморном дворце решена в </t>
    </r>
    <r>
      <rPr>
        <rFont val="Calibri"/>
        <b/>
        <color theme="1"/>
        <sz val="11.0"/>
      </rPr>
      <t>любимом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 есть по обширной теме.</t>
    </r>
  </si>
  <si>
    <t xml:space="preserve"> ен йотслоТ ,ремирпан ,уН </t>
  </si>
  <si>
    <t>либюл</t>
  </si>
  <si>
    <t>Ну, например, Толстой не</t>
  </si>
  <si>
    <t>любил</t>
  </si>
  <si>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</t>
    </r>
  </si>
  <si>
    <t>оперу,</t>
  </si>
  <si>
    <t>О. М. Герасименко. «Меня до сих пор бесит Наташа Ростова». Олеся Герасименко о Достоевском, Толстом, Буковски и Лимонове (2017.07.20)</t>
  </si>
  <si>
    <t>О. М. Герасименко</t>
  </si>
  <si>
    <t>«Меня до сих пор бесит Наташа Ростова». Олеся Герасименко о Достоевском, Толстом, Буковски и Лимонове</t>
  </si>
  <si>
    <t>2017.07.20</t>
  </si>
  <si>
    <r>
      <rPr>
        <rFont val="Calibri"/>
        <color theme="1"/>
        <sz val="11.0"/>
      </rPr>
      <t xml:space="preserve">Ну, например, Толстой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 ребенка: на сцене картон и доски, дырка в полотнище, женщина ходит туда-сюда, а у танцора дрожат толстые ляжки.</t>
    </r>
  </si>
  <si>
    <t xml:space="preserve"> отК« ротвА </t>
  </si>
  <si>
    <t>ястиоб</t>
  </si>
  <si>
    <t>Автор «Кто</t>
  </si>
  <si>
    <t>боится</t>
  </si>
  <si>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</t>
    </r>
  </si>
  <si>
    <t>Вирджинии</t>
  </si>
  <si>
    <t>Егор Михайлов. Гарри Поттер в нейросетях, а Толкин в казино. Лучшее в литературном интернете: 8 самых интересных ссылок недели (2017.07.09)</t>
  </si>
  <si>
    <t>Егор Михайлов</t>
  </si>
  <si>
    <t>Гарри Поттер в нейросетях, а Толкин в казино. Лучшее в литературном интернете: 8 самых интересных ссылок недели</t>
  </si>
  <si>
    <t>2017.07.09</t>
  </si>
  <si>
    <t>обзор</t>
  </si>
  <si>
    <r>
      <rPr>
        <rFont val="Calibri"/>
        <color theme="1"/>
        <sz val="11.0"/>
      </rPr>
      <t xml:space="preserve">5. Театральный критик New York Times Майкл Полсон рассуждает о том, исполнят ли наследники последнюю волю драматурга Эдварда Олби, скончавшегося прошлой весной.  Автор «Кто </t>
    </r>
    <r>
      <rPr>
        <rFont val="Calibri"/>
        <b/>
        <color theme="1"/>
        <sz val="11.0"/>
      </rPr>
      <t>боится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  завещал двум близким друзьям уничтожить все незаконченные рукописи.</t>
    </r>
  </si>
  <si>
    <t xml:space="preserve"> ведебеЛ </t>
  </si>
  <si>
    <t>Лебедев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</si>
  <si>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</t>
    </r>
  </si>
  <si>
    <t>Л. В. Оборин. Лев Толстой как герой поп-культуры, диктаторы как писатели и книги как арт-объекты. Лучшее в литературном интернете: 13 самых интересных ссылок недели (2017.06.25)</t>
  </si>
  <si>
    <t>Л. В. Оборин</t>
  </si>
  <si>
    <t>Лев Толстой как герой поп-культуры, диктаторы как писатели и книги как арт-объекты. Лучшее в литературном интернете: 13 самых интересных ссылок недели</t>
  </si>
  <si>
    <t>2017.06.25</t>
  </si>
  <si>
    <r>
      <rPr>
        <rFont val="Calibri"/>
        <color theme="1"/>
        <sz val="11.0"/>
      </rPr>
      <t xml:space="preserve">Лебедев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 нескольких предыдущих книг Гениса, связывает эту монотонность с криминальной историей его сына Дэниела и видит в «горьком романе воспитания в зарисовках» предупреждение: «Мы должны быть готовы к тому, что когда-нибудь, возможно, нам предстоит решать жизненные шарады еще круче, чем выпали на долю героев книги».</t>
    </r>
  </si>
  <si>
    <t xml:space="preserve"> ьтсонневтсещбо еледен йешвуним аН .5</t>
  </si>
  <si>
    <t>5. На минувшей неделе общественность</t>
  </si>
  <si>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</t>
    </r>
  </si>
  <si>
    <t>цитатам</t>
  </si>
  <si>
    <t>Л. В. Оборин. «Тимур и его команда», квартиры Достоевского и антология польской детской поэзии. Лучшее в литературном интернете: 12 самых интересных ссылок недели (2017.06.04)</t>
  </si>
  <si>
    <t>«Тимур и его команда», квартиры Достоевского и антология польской детской поэзии. Лучшее в литературном интернете: 12 самых интересных ссылок недели</t>
  </si>
  <si>
    <t>2017.06.04</t>
  </si>
  <si>
    <r>
      <rPr>
        <rFont val="Calibri"/>
        <color theme="1"/>
        <sz val="11.0"/>
      </rPr>
      <t xml:space="preserve">5. На минувшей неделе общественность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 ― нового директора государственного музея-памятника «Исаакиевский собор».</t>
    </r>
  </si>
  <si>
    <t xml:space="preserve"> ― нэюькаМ нэИ ,ремирпан ― ыротва еыннемервос еигонМ</t>
  </si>
  <si>
    <t>тябюл</t>
  </si>
  <si>
    <t>Многие современные авторы ― например, Иэн Макьюэн ―</t>
  </si>
  <si>
    <t>любят</t>
  </si>
  <si>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</t>
    </r>
  </si>
  <si>
    <t>экстраполяции,</t>
  </si>
  <si>
    <t>Л. В. Оборин. Боуи, современная «Орестея» и роман о неандертальцах. Лучшее в литературном интернете: 11 самых интересных ссылок недели (2017.05.21)</t>
  </si>
  <si>
    <t>Боуи, современная «Орестея» и роман о неандертальцах. Лучшее в литературном интернете: 11 самых интересных ссылок недели</t>
  </si>
  <si>
    <t>2017.05.21</t>
  </si>
  <si>
    <r>
      <rPr>
        <rFont val="Calibri"/>
        <color theme="1"/>
        <sz val="11.0"/>
      </rPr>
      <t xml:space="preserve">Многие современные авторы ― например, Иэн Макьюэн ―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 к еде или сексу с высоты современных представлений; в авторском всезнании чувствуется снисходительность по отношению к героям.</t>
    </r>
  </si>
  <si>
    <t xml:space="preserve"> ьнечо еинещбоос отЭ </t>
  </si>
  <si>
    <t>олавосеретниаз</t>
  </si>
  <si>
    <t>Это сообщение очень</t>
  </si>
  <si>
    <t>заинтересовало</t>
  </si>
  <si>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</t>
    </r>
  </si>
  <si>
    <t>Юрку.</t>
  </si>
  <si>
    <t>Юрий Пожидаев. Ничейный сад (2017.01.06)</t>
  </si>
  <si>
    <t>Юрий Пожидаев</t>
  </si>
  <si>
    <t>Ничейный сад</t>
  </si>
  <si>
    <t>2017.01.06</t>
  </si>
  <si>
    <t>эссе</t>
  </si>
  <si>
    <t>история | частная жизнь</t>
  </si>
  <si>
    <r>
      <rPr>
        <rFont val="Calibri"/>
        <color theme="1"/>
        <sz val="11.0"/>
      </rPr>
      <t xml:space="preserve">В его комнате лежало несколько банок дымного пороха.  Это сообщение очень </t>
    </r>
    <r>
      <rPr>
        <rFont val="Calibri"/>
        <b/>
        <color theme="1"/>
        <sz val="11.0"/>
      </rPr>
      <t>заинтересовало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  Дело в том, что у нас был построен небольшой городок, изображавший какую-то прифронтовую местность.</t>
    </r>
  </si>
  <si>
    <t xml:space="preserve"> ен или юлбюл я отч ,умотоп</t>
  </si>
  <si>
    <t>юлбюл</t>
  </si>
  <si>
    <t>потому, что я люблю или не</t>
  </si>
  <si>
    <t>люблю</t>
  </si>
  <si>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</si>
  <si>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t>Таратуту.</t>
  </si>
  <si>
    <t>Антон Красовский, Дмитрий Козаченко. Антон Красовский «Я всегда буду на стороне Ксении Собчак, что бы она ни говорила» // Афиша Daily, 2017</t>
  </si>
  <si>
    <t>Антон Красовский | Дмитрий Козаченко</t>
  </si>
  <si>
    <t>1975</t>
  </si>
  <si>
    <t>Антон Красовский «Я всегда буду на стороне Ксении Собчак, что бы она ни говорила»</t>
  </si>
  <si>
    <r>
      <rPr>
        <rFont val="Calibri"/>
        <color theme="1"/>
        <sz val="11.0"/>
      </rPr>
      <t xml:space="preserve">Это не потому, что я люблю или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</si>
  <si>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t xml:space="preserve"> ьнечо Я </t>
  </si>
  <si>
    <t>Я очень</t>
  </si>
  <si>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</t>
    </r>
  </si>
  <si>
    <t>Юлию</t>
  </si>
  <si>
    <r>
      <rPr>
        <rFont val="Calibri"/>
        <color theme="1"/>
        <sz val="11.0"/>
      </rPr>
      <t xml:space="preserve">Я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 люблю неискренних людей.</t>
    </r>
  </si>
  <si>
    <t xml:space="preserve"> мохепсу мынвар с йыроток ,мывеаниМ меегреС</t>
  </si>
  <si>
    <t>ястеащумзов</t>
  </si>
  <si>
    <t>Сергеем Минаевым, который с равным успехом</t>
  </si>
  <si>
    <t>возмущается</t>
  </si>
  <si>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</t>
    </r>
  </si>
  <si>
    <t>коррупции,</t>
  </si>
  <si>
    <r>
      <rPr>
        <rFont val="Calibri"/>
        <color theme="1"/>
        <sz val="11.0"/>
      </rPr>
      <t xml:space="preserve">― Вы дружите и с Собчак, и с Сергеем Минаевым, который с равным успехом </t>
    </r>
    <r>
      <rPr>
        <rFont val="Calibri"/>
        <b/>
        <color theme="1"/>
        <sz val="11.0"/>
      </rPr>
      <t>возмущается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 берет у Собянина жутко лестное интервью, в котором толком не спросил ничего, о чем его просили в его фейсбуке.</t>
    </r>
  </si>
  <si>
    <t xml:space="preserve"> ,ястюабылу идюЛ </t>
  </si>
  <si>
    <t>Люди улыбаются,</t>
  </si>
  <si>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</t>
    </r>
  </si>
  <si>
    <t>установке</t>
  </si>
  <si>
    <t>Е. Виноградова. Космос под присмотром // «Кот Шрёдингера», 2017</t>
  </si>
  <si>
    <t>Е. Виноградова</t>
  </si>
  <si>
    <t>Космос под присмотром</t>
  </si>
  <si>
    <t>астрономия | наука и технологии</t>
  </si>
  <si>
    <t>«Кот Шрёдингера»</t>
  </si>
  <si>
    <r>
      <rPr>
        <rFont val="Calibri"/>
        <color theme="1"/>
        <sz val="11.0"/>
      </rPr>
      <t xml:space="preserve">Люди улыбаются,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России, а бескрайнее равнодушное звёздное небо за этим наблюдает.</t>
    </r>
  </si>
  <si>
    <t xml:space="preserve"> я ьнед еж йывреп В</t>
  </si>
  <si>
    <t>В первый же день я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</si>
  <si>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</t>
    </r>
  </si>
  <si>
    <t>Григорий Свердлин, Дарья Яушева. В поисках смысла: как успешный экономист решил посвятить жизнь помощи бездомным // Афиша Daily, 2017</t>
  </si>
  <si>
    <t>Григорий Свердлин | Дарья Яушева</t>
  </si>
  <si>
    <t>В поисках смысла: как успешный экономист решил посвятить жизнь помощи бездомным</t>
  </si>
  <si>
    <r>
      <rPr>
        <rFont val="Calibri"/>
        <color theme="1"/>
        <sz val="11.0"/>
      </rPr>
      <t xml:space="preserve">В первый же день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 палатке стояло много людей, внешне никак не похожих на бездомных.</t>
    </r>
  </si>
  <si>
    <t xml:space="preserve"> я ,теломас лапу адгоК</t>
  </si>
  <si>
    <t>Когда упал самолет, я</t>
  </si>
  <si>
    <t>агрессии</t>
  </si>
  <si>
    <t>А. А. Данилова, протоиерей Андрей Кордочкин. «Хотелось бы больше сочувствия друг к другу» // 2017</t>
  </si>
  <si>
    <t>А. А. Данилова | протоиерей Андрей Кордочкин</t>
  </si>
  <si>
    <t>1977 | 1981</t>
  </si>
  <si>
    <t>«Хотелось бы больше сочувствия друг к другу»</t>
  </si>
  <si>
    <t>интервью | статья</t>
  </si>
  <si>
    <t>религия | частная жизнь</t>
  </si>
  <si>
    <r>
      <rPr>
        <rFont val="Calibri"/>
        <color theme="1"/>
        <sz val="11.0"/>
      </rPr>
      <t xml:space="preserve">Конечно, так бывает не всегда, но, тем не менее, это ясный пример того, насколько скорбь и радость переплетаются с человеческой жизнью. Когда упал самолет,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агрессии</t>
    </r>
    <r>
      <rPr>
        <rFont val="Calibri"/>
        <color theme="1"/>
        <sz val="11.0"/>
      </rPr>
      <t xml:space="preserve">  ― Расскажите, что вас сегодня больше всего волнует в ваших взаимоотношениях с паствой?</t>
    </r>
  </si>
  <si>
    <t xml:space="preserve"> к еоннещарбо ,акинжодух еинавызаксыв еомярп отЭ</t>
  </si>
  <si>
    <t>Это прямое высказывание художника, обращенное к</t>
  </si>
  <si>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</t>
    </r>
  </si>
  <si>
    <t>святому,</t>
  </si>
  <si>
    <t>Дарья Рощеня. Николин день: отважиться и написать образ святителя // 2017</t>
  </si>
  <si>
    <t>Дарья Рощеня</t>
  </si>
  <si>
    <t>Николин день: отважиться и написать образ святителя</t>
  </si>
  <si>
    <t>искусство и культура | религия</t>
  </si>
  <si>
    <r>
      <rPr>
        <rFont val="Calibri"/>
        <color theme="1"/>
        <sz val="11.0"/>
      </rPr>
      <t xml:space="preserve">Это прямое высказывание художника, обращенное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 кто-то будет на картину молиться.</t>
    </r>
  </si>
  <si>
    <t>( ессецнирп йоньлетатчем йешав тедйодоп оньлаеди ьрегал</t>
  </si>
  <si>
    <t>лагерь идеально подойдет вашей мечтательной принцессе (</t>
  </si>
  <si>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</t>
    </r>
  </si>
  <si>
    <t>чаще</t>
  </si>
  <si>
    <t>Ирина Якушева. 10 способов испортить ребенку лето // 2017</t>
  </si>
  <si>
    <t>Ирина Якушева</t>
  </si>
  <si>
    <t>10 способов испортить ребенку лето</t>
  </si>
  <si>
    <t>образование | психология</t>
  </si>
  <si>
    <r>
      <rPr>
        <rFont val="Calibri"/>
        <color theme="1"/>
        <sz val="11.0"/>
      </rPr>
      <t>О лагерном лете мечтают многие дети, но, если одноклассник в восторге от километров под рюкзаком и ночных песен у костра, это еще не значит, что такой лагерь идеально подойдет вашей мечтательной принцессе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 на большинстве детей).</t>
    </r>
  </si>
  <si>
    <t xml:space="preserve"> ,илбигоп обил-умечоп еыроток ,хатнемукод и хялетисон</t>
  </si>
  <si>
    <t>носителях и документах, которые почему-либо погибли,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</si>
  <si>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</si>
  <si>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были</t>
  </si>
  <si>
    <t>В. Б. Прозорова. Полемика по книге Ш. Кечкемети, Л. Кёрменди «Написанное улетает: проблемы хранения бумажных и цифровых архивов» // «Информационное общество», 2017</t>
  </si>
  <si>
    <t>В. Б. Прозорова</t>
  </si>
  <si>
    <t>Полемика по книге Ш. Кечкемети, Л. Кёрменди «Написанное улетает: проблемы хранения бумажных и цифровых архивов»</t>
  </si>
  <si>
    <t>информатика | наука и технологии</t>
  </si>
  <si>
    <t>«Информационное общество»</t>
  </si>
  <si>
    <r>
      <rPr>
        <rFont val="Calibri"/>
        <color theme="1"/>
        <sz val="11.0"/>
      </rPr>
      <t xml:space="preserve">Л. Кëрменди рассказал об электронных носителях и документах, которые почему-либо погибли,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</si>
  <si>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ьсилаводароП</t>
  </si>
  <si>
    <t>Порадовались</t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</si>
  <si>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</t>
    </r>
  </si>
  <si>
    <t>Г. В. Тарасевич. Градусник для школьных мозгов // «Кот Шрёдингера», 2017</t>
  </si>
  <si>
    <t>Г. В. Тарасевич</t>
  </si>
  <si>
    <t>Градусник для школьных мозгов</t>
  </si>
  <si>
    <r>
      <rPr>
        <rFont val="Calibri"/>
        <color theme="1"/>
        <sz val="11.0"/>
      </rPr>
      <t xml:space="preserve">Хорошо.  </t>
    </r>
    <r>
      <rPr>
        <rFont val="Calibri"/>
        <b/>
        <color theme="1"/>
        <sz val="11.0"/>
      </rPr>
      <t>Порадовались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  Теперь самое интересное ― понять, откуда у российских детей такие высокие результаты.</t>
    </r>
  </si>
  <si>
    <t xml:space="preserve"> икрут ,жу аД ― </t>
  </si>
  <si>
    <t>илибюл</t>
  </si>
  <si>
    <t>― Да уж, турки</t>
  </si>
  <si>
    <t>любили</t>
  </si>
  <si>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</t>
    </r>
  </si>
  <si>
    <t>баню,</t>
  </si>
  <si>
    <t>неизвестный. Полотенце // «Кот Шрёдингера», 2017</t>
  </si>
  <si>
    <t>неизвестный</t>
  </si>
  <si>
    <t>Полотенце</t>
  </si>
  <si>
    <t>наука и технологии</t>
  </si>
  <si>
    <r>
      <rPr>
        <rFont val="Calibri"/>
        <color theme="1"/>
        <sz val="11.0"/>
      </rPr>
      <t xml:space="preserve">― Да уж, турки </t>
    </r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 вряд ли устроил, ― вздыхает студент-филолог ― Кстати, знаете ли вы, как в русском языке появилось слово «полотенце»?</t>
    </r>
  </si>
  <si>
    <t xml:space="preserve"> ,илетатич адут ил тядох ,ьтертомсоп и</t>
  </si>
  <si>
    <t>и посмотреть, ходят ли туда читатели,</t>
  </si>
  <si>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</si>
  <si>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t>популярности,</t>
  </si>
  <si>
    <t>Иван Мартов. От толкинистов до попаданцев. История постсоветской фантастики, рассказанная Марией Галиной (2016.10.13)</t>
  </si>
  <si>
    <t>Иван Мартов</t>
  </si>
  <si>
    <t>От толкинистов до попаданцев. История постсоветской фантастики, рассказанная Марией Галиной</t>
  </si>
  <si>
    <t>2016.10.13</t>
  </si>
  <si>
    <r>
      <rPr>
        <rFont val="Calibri"/>
        <color theme="1"/>
        <sz val="11.0"/>
      </rPr>
      <t xml:space="preserve">Гораздо удобнее просто выложить свое произведение на сайт и посмотреть, ходят ли туда читатели,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</si>
  <si>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t xml:space="preserve"> ен а ,ьтагомоП </t>
  </si>
  <si>
    <t>Помогать, а не</t>
  </si>
  <si>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</t>
    </r>
  </si>
  <si>
    <t>промахам</t>
  </si>
  <si>
    <t>Алексей Голицын. Вредные шараханья и злобные выпады. Протокол одного собрания. Вступительная статья // «Волга», 2016</t>
  </si>
  <si>
    <t>Алексей Голицын</t>
  </si>
  <si>
    <t>1977</t>
  </si>
  <si>
    <t>Вредные шараханья и злобные выпады. Протокол одного собрания. Вступительная статья</t>
  </si>
  <si>
    <t>2016</t>
  </si>
  <si>
    <t>искусство и культура | история | политика и общественная жизнь</t>
  </si>
  <si>
    <t>«Волга»</t>
  </si>
  <si>
    <r>
      <rPr>
        <rFont val="Calibri"/>
        <color theme="1"/>
        <sz val="11.0"/>
      </rPr>
      <t xml:space="preserve">Помогать, а не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 товарищам по-горьковски.</t>
    </r>
  </si>
  <si>
    <t xml:space="preserve"> нирупеЧ отч ,ьташылс ондартО </t>
  </si>
  <si>
    <t>Отрадно слышать, что Чепурин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</si>
  <si>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</si>
  <si>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t>Алексей Голицын. Последыши эстетства и их космополитические уши. Протокол одного собрания // «Волга», 2016</t>
  </si>
  <si>
    <t>Последыши эстетства и их космополитические уши. Протокол одного собрания</t>
  </si>
  <si>
    <r>
      <rPr>
        <rFont val="Calibri"/>
        <color theme="1"/>
        <sz val="11.0"/>
      </rPr>
      <t xml:space="preserve">Отрадно слышать, что Чепурин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</si>
  <si>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r>
      <rPr>
        <rFont val="Calibri"/>
        <b/>
        <color theme="1"/>
        <sz val="11.0"/>
      </rPr>
      <t>пару</t>
    </r>
    <r>
      <rPr>
        <rFont val="Calibri"/>
        <color theme="1"/>
        <sz val="11.0"/>
      </rPr>
      <t xml:space="preserve"> раз ходили красивые и певучие</t>
    </r>
  </si>
  <si>
    <t>пару</t>
  </si>
  <si>
    <t>Андрей Пермяков. Петушки -- Москва. Поехал // «Волга», 2016</t>
  </si>
  <si>
    <t>Андрей Пермяков</t>
  </si>
  <si>
    <t>Петушки -- Москва. Поехал</t>
  </si>
  <si>
    <t>политика и общественная жизнь | частная жизнь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</si>
  <si>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пару</t>
    </r>
    <r>
      <rPr>
        <rFont val="Calibri"/>
        <color theme="1"/>
        <sz val="11.0"/>
      </rPr>
      <t xml:space="preserve"> раз ходили красивые и певучие девочки.</t>
    </r>
  </si>
  <si>
    <t xml:space="preserve"> ,поксодйелак ьтащарв ,ызол ясйешсорзар инет в</t>
  </si>
  <si>
    <t>в тени разросшейся лозы, вращать калейдоскоп,</t>
  </si>
  <si>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</si>
  <si>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>многообразию</t>
  </si>
  <si>
    <t>К. В. Арутюнова. Падает снег, летит птица // «Волга», 2016</t>
  </si>
  <si>
    <t>К. В. Арутюнова</t>
  </si>
  <si>
    <t>Падает снег, летит птица</t>
  </si>
  <si>
    <r>
      <rPr>
        <rFont val="Calibri"/>
        <color theme="1"/>
        <sz val="11.0"/>
      </rPr>
      <t xml:space="preserve">Дарованы часы деятельного безделья, отсюда бесконечным кажется оно, блаженным, исполненным предвкушения, неведения относительно сроков пребывания в Эдеме, ― сад полон райских яблок и жестких груш-дичков, в нем дикий виноград опоясывает балкон, ― еще пару лет, и можно будет лакомиться остро-кислыми, будто взрывающимися во рту ягодами, ― укрывшись в тени разросшейся лозы, вращать калейдоскоп,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</si>
  <si>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 xml:space="preserve"> зарбо юавывосирод я яинежарбоов енм огещусирп</t>
  </si>
  <si>
    <t>йоннежибо</t>
  </si>
  <si>
    <t>присущего мне воображения я дорисовываю образ</t>
  </si>
  <si>
    <t>обиженной</t>
  </si>
  <si>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</t>
    </r>
  </si>
  <si>
    <t>одинокой</t>
  </si>
  <si>
    <r>
      <rPr>
        <rFont val="Calibri"/>
        <color theme="1"/>
        <sz val="11.0"/>
      </rPr>
      <t xml:space="preserve">― Отчего же ты плачешь, Верочка, ― взволнованно вопрошаю я, всматриваясь в залитое слезами Верочкино лицо, ― ожидая, допустим, новой душераздирающей истории о ничейном котенке и зяте-злодее, ― обдумывая не менее душераздирающий пост на хорошо разработанную и донельзя благодатную тему спасения ближнего, ― но нет, на этот раз не насладиться мне триумфом и добровольно взятою на себя ролью спасительницы, ― икнув, Верочка испуганно прикрывает ладонью рот, ― да я ничего, что-то в глаз попало, ― убеждает меня она, но силой присущего мне воображения я дорисовываю образ </t>
    </r>
    <r>
      <rPr>
        <rFont val="Calibri"/>
        <b/>
        <color theme="1"/>
        <sz val="11.0"/>
      </rPr>
      <t>обиженной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 носом, Вера внезапно успокаивается и разражается презабавнейшим рассказом на тему предстоящего торжества Пуримшпиль, ― неведомый мне массовик-затейник ставит спектакль на известные темы, ― к слову сказать, премьера состоится совсем скоро, и не где-нибудь, а в Гидропарке, ― хотела бы я взглянуть на этот карнавал, организованный сектой свидетелей Иеговы.</t>
    </r>
  </si>
  <si>
    <t xml:space="preserve"> ,еачулс моннад В </t>
  </si>
  <si>
    <t>В данном случае,</t>
  </si>
  <si>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</si>
  <si>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t>цветам</t>
  </si>
  <si>
    <r>
      <rPr>
        <rFont val="Calibri"/>
        <color theme="1"/>
        <sz val="11.0"/>
      </rPr>
      <t xml:space="preserve">В данном случае,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</si>
  <si>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t xml:space="preserve"> ,юьдург йонлоп етинходВ </t>
  </si>
  <si>
    <t>Вдохните полной грудью,</t>
  </si>
  <si>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</t>
    </r>
  </si>
  <si>
    <t>случайности</t>
  </si>
  <si>
    <r>
      <rPr>
        <rFont val="Calibri"/>
        <color theme="1"/>
        <sz val="11.0"/>
      </rPr>
      <t xml:space="preserve">Вдохните полной грудью,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месте, его казенному уюту, убогой простоте и провинциальному шику, а также ― легкости освобождения, смене, так сказать, декораций и лиц.</t>
    </r>
  </si>
  <si>
    <t xml:space="preserve"> одан укеволеЧ« :хулсв лидревт йыннедеваз как</t>
  </si>
  <si>
    <t>ясьтичум</t>
  </si>
  <si>
    <t>как заведенный твердил вслух: «Человеку надо</t>
  </si>
  <si>
    <t>мучиться</t>
  </si>
  <si>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</si>
  <si>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>человеку</t>
  </si>
  <si>
    <t>А. Н. Бузулукский. Вши // «Волга», 2016</t>
  </si>
  <si>
    <t>А. Н. Бузулукский</t>
  </si>
  <si>
    <t>Вши</t>
  </si>
  <si>
    <r>
      <rPr>
        <rFont val="Calibri"/>
        <color theme="1"/>
        <sz val="11.0"/>
      </rPr>
      <t xml:space="preserve">Валерка как заведенный твердил вслух: «Человеку надо </t>
    </r>
    <r>
      <rPr>
        <rFont val="Calibri"/>
        <b/>
        <color theme="1"/>
        <sz val="11.0"/>
      </rPr>
      <t>мучиться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</si>
  <si>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 xml:space="preserve"> ьтапыс еердещ ,виторпан ,енаджарг еынчодяропорбод а</t>
  </si>
  <si>
    <t>умоннежибо</t>
  </si>
  <si>
    <t>а добропорядочные граждане, напротив, щедрее сыпать</t>
  </si>
  <si>
    <t>обиженному</t>
  </si>
  <si>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</t>
    </r>
  </si>
  <si>
    <t>инвалиду</t>
  </si>
  <si>
    <t>А. Н. Бузулукский. Попрошайка // «Волга», 2016</t>
  </si>
  <si>
    <t>Попрошайка</t>
  </si>
  <si>
    <r>
      <rPr>
        <rFont val="Calibri"/>
        <color theme="1"/>
        <sz val="11.0"/>
      </rPr>
      <t xml:space="preserve">Что бы ни оставалось, он будет талдычить свое: «Простите меня, что я такой молодой…» Ерники-тинейджеры примутся кататься по полу от смеха, а добропорядочные граждане, напротив, щедрее сыпать </t>
    </r>
    <r>
      <rPr>
        <rFont val="Calibri"/>
        <b/>
        <color theme="1"/>
        <sz val="11.0"/>
      </rPr>
      <t>обиженному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 и за крупной купюрой полезут карман ― в пику подрастающему поколению.</t>
    </r>
  </si>
  <si>
    <t xml:space="preserve"> и еынчарзорп унд умонйевсодов умотсирбер оп</t>
  </si>
  <si>
    <t>еыннелырко</t>
  </si>
  <si>
    <t>по ребристому водосвейному дну прозрачные и</t>
  </si>
  <si>
    <t>окрыленные</t>
  </si>
  <si>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</t>
    </r>
  </si>
  <si>
    <t>тени,</t>
  </si>
  <si>
    <t>Валерий Володин. Там, на краешке бессмертного лета. Быль // «Волга», 2016</t>
  </si>
  <si>
    <t>Валерий Володин</t>
  </si>
  <si>
    <t>1956</t>
  </si>
  <si>
    <t>Там, на краешке бессмертного лета. Быль</t>
  </si>
  <si>
    <t>природа | частная жизнь</t>
  </si>
  <si>
    <r>
      <rPr>
        <rFont val="Calibri"/>
        <color theme="1"/>
        <sz val="11.0"/>
      </rPr>
      <t xml:space="preserve">И лишь проносятся по ребристому водосвейному дну прозрачные и </t>
    </r>
    <r>
      <rPr>
        <rFont val="Calibri"/>
        <b/>
        <color theme="1"/>
        <sz val="11.0"/>
      </rPr>
      <t>окрыленные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зайчиков: это вскользь читает вода смутную, неопределенную душу все-таки невыносимого в целом песка ― эту пасмурную бездыханную душу, которую ей до конца не дочитать, так никогда и не осилить: она нечитабельна, депрессивная проза… н-да, выходит, зарыта и здесь эта заглубленная сверх всякой меры, глупо урытая в придонный чумазоидный ил плачевно русская на всем протяжении дна проза (а лучше по ней, что ужасней для всех расступающихся в дикой панике стран, в плесневелом нутре обитать, в сопревшей утробе всякую розу мира норовящего угнобить, реально говоря, навоза).</t>
    </r>
  </si>
  <si>
    <t xml:space="preserve"> ен ― ьше ьл онзалгаз ,ьл омирз</t>
  </si>
  <si>
    <t>зримо ль, заглазно ль ешь ― не</t>
  </si>
  <si>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</t>
    </r>
  </si>
  <si>
    <t>зренью</t>
  </si>
  <si>
    <r>
      <rPr>
        <rFont val="Calibri"/>
        <color theme="1"/>
        <sz val="11.0"/>
      </rPr>
      <t xml:space="preserve">Здесь был я, вор в свободе, смутный и несмущенный владелец трепетно, разнеженно лежащей вокруг солнечной, бесконечно, ну просто безмерно родной на всем протяжении вольной-превольной зоны ― вплоть до расслабленного, к исчезновеньям склонного и как бы впрок попадавшего для пущей пропащести горизонта… Этой свободы здесь, в окрестном приволье, в солнцеобильном раздолье, зримо ль, заглазно ль ешь ― не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обжоркой, нахлебником пустяковым ― назрельщиком, что ли?</t>
    </r>
  </si>
  <si>
    <t xml:space="preserve"> ен( еытырказ ― автсещбо або отч ,теащбоос</t>
  </si>
  <si>
    <t>еищябюл</t>
  </si>
  <si>
    <t>сообщает, что оба общества ― закрытые (не</t>
  </si>
  <si>
    <t>любящие</t>
  </si>
  <si>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</t>
    </r>
  </si>
  <si>
    <t>откровенности</t>
  </si>
  <si>
    <t>Д. Е. Косырев. Здравствуй, грусть // «Огонек», 2016</t>
  </si>
  <si>
    <t>Д. Е. Косырев</t>
  </si>
  <si>
    <t>Здравствуй, грусть</t>
  </si>
  <si>
    <t>бизнес, коммерция, экономика, финансы | здоровье и медицина | политика и общественная жизнь | психология</t>
  </si>
  <si>
    <t>«Огонек»</t>
  </si>
  <si>
    <r>
      <rPr>
        <rFont val="Calibri"/>
        <color theme="1"/>
        <sz val="11.0"/>
      </rPr>
      <t xml:space="preserve">Индийский материал в газете «Пионер» сообщает, что оба общества ― закрытые (не </t>
    </r>
    <r>
      <rPr>
        <rFont val="Calibri"/>
        <b/>
        <color theme="1"/>
        <sz val="11.0"/>
      </rPr>
      <t>любящие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 человека).</t>
    </r>
  </si>
  <si>
    <t xml:space="preserve"> ен ьзянк йикилеВ </t>
  </si>
  <si>
    <t>лелаж</t>
  </si>
  <si>
    <t>Великий князь не</t>
  </si>
  <si>
    <t>жалел</t>
  </si>
  <si>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</t>
    </r>
  </si>
  <si>
    <t>русской</t>
  </si>
  <si>
    <t>А. В. Пыжиков, В. М. Кулистиков. Последнее лето империи // «Огонек», 2016</t>
  </si>
  <si>
    <t>А. В. Пыжиков | В. М. Кулистиков</t>
  </si>
  <si>
    <t>1952 | 1965</t>
  </si>
  <si>
    <t>Последнее лето империи</t>
  </si>
  <si>
    <t>история | политика и общественная жизнь</t>
  </si>
  <si>
    <r>
      <rPr>
        <rFont val="Calibri"/>
        <color theme="1"/>
        <sz val="11.0"/>
      </rPr>
      <t xml:space="preserve">Великий князь не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 от поражения, приказывал наступать, невзирая на то, во сколько жертв обходятся слабо подготовленные операции.</t>
    </r>
  </si>
  <si>
    <t xml:space="preserve"> в ьсилижонм отч ,икнитрак илинелп укшувеД</t>
  </si>
  <si>
    <t>Девушку пленили картинки, что множились в</t>
  </si>
  <si>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</si>
  <si>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душе</t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</si>
  <si>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</si>
  <si>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</si>
  <si>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</si>
  <si>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r>
      <rPr>
        <rFont val="Calibri"/>
        <color theme="1"/>
        <sz val="11.0"/>
      </rPr>
      <t xml:space="preserve">Девушку пленили картинки, что множились в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</si>
  <si>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ьшечоХ</t>
  </si>
  <si>
    <t>Хочешь</t>
  </si>
  <si>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</t>
    </r>
  </si>
  <si>
    <t>Боженьке</t>
  </si>
  <si>
    <t>Ю. И. Лунин. Три века русской поэзии // «Волга», 2016</t>
  </si>
  <si>
    <t>Ю. И. Лунин</t>
  </si>
  <si>
    <t>Три века русской поэзии</t>
  </si>
  <si>
    <r>
      <rPr>
        <rFont val="Calibri"/>
        <color theme="1"/>
        <sz val="11.0"/>
      </rPr>
      <t xml:space="preserve">Что-то здесь, говорю, не так.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  Грешки замолить.</t>
    </r>
  </si>
  <si>
    <t xml:space="preserve"> тоТ </t>
  </si>
  <si>
    <t>Тот</t>
  </si>
  <si>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</t>
    </r>
  </si>
  <si>
    <t>России</t>
  </si>
  <si>
    <t>В. Г. Месяц. Шинель для Лейбы // «Волга», 2016</t>
  </si>
  <si>
    <t>В. Г. Месяц</t>
  </si>
  <si>
    <t>Шинель для Лейбы</t>
  </si>
  <si>
    <r>
      <rPr>
        <rFont val="Calibri"/>
        <color theme="1"/>
        <sz val="11.0"/>
      </rPr>
      <t xml:space="preserve">Тот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 на своем складе.</t>
    </r>
  </si>
  <si>
    <t xml:space="preserve"> ен язьлен ,водог х0791 с амзилатипак</t>
  </si>
  <si>
    <t>капитализма с 1970х годов, нельзя не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</si>
  <si>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</t>
    </r>
  </si>
  <si>
    <t>А. Г. Механик. Мир, где побеждает финансовая олигархия // «Эксперт», 2016</t>
  </si>
  <si>
    <t>А. Г. Механик</t>
  </si>
  <si>
    <t>Мир, где побеждает финансовая олигархия</t>
  </si>
  <si>
    <t>бизнес, коммерция, экономика, финансы | политика и общественная жизнь</t>
  </si>
  <si>
    <t>«Эксперт»</t>
  </si>
  <si>
    <r>
      <rPr>
        <rFont val="Calibri"/>
        <color theme="1"/>
        <sz val="11.0"/>
      </rPr>
      <t xml:space="preserve">Подводя итоги своим размышлениям о судьбе демократического капитализма, авторы приходят к неутешительному выводу: «Оглядываясь на череду кризисов демократического капитализма с 1970х годов, нельзя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 конфликтов в странах развитого капитализма, на этот раз полностью в пользу имущих классов»,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институтами.</t>
    </r>
  </si>
  <si>
    <t xml:space="preserve"> ,вотэоп хынрялупоп хымас етрогок в ьсишвазако</t>
  </si>
  <si>
    <t>оказавшись в когорте самых популярных поэтов,</t>
  </si>
  <si>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</t>
    </r>
  </si>
  <si>
    <t>декабристам,</t>
  </si>
  <si>
    <t>С. Е. Нарышкин. Он никогда не лжет // «Огонек», 2016</t>
  </si>
  <si>
    <t>С. Е. Нарышкин</t>
  </si>
  <si>
    <t>1954</t>
  </si>
  <si>
    <t>Он никогда не лжет</t>
  </si>
  <si>
    <t>бизнес, коммерция, экономика, финансы | транспорт</t>
  </si>
  <si>
    <r>
      <rPr>
        <rFont val="Calibri"/>
        <color theme="1"/>
        <sz val="11.0"/>
      </rPr>
      <t xml:space="preserve">А уже оказавшись в когорте самых популярных поэтов,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казни, прошел через опалу.</t>
    </r>
  </si>
  <si>
    <t xml:space="preserve"> месв оп илалсозар еыроток ,хатёчто хынвиткеллок</t>
  </si>
  <si>
    <t>коллективных отчётах, которые разослали по всем</t>
  </si>
  <si>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</si>
  <si>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>организациям,</t>
  </si>
  <si>
    <t>А. Первушин. Гагарин // «Кот Шрёдингера», 2016</t>
  </si>
  <si>
    <t>А. Первушин</t>
  </si>
  <si>
    <t>Гагарин</t>
  </si>
  <si>
    <t>монография</t>
  </si>
  <si>
    <t>администрация и управление | история | техника</t>
  </si>
  <si>
    <r>
      <rPr>
        <rFont val="Calibri"/>
        <color theme="1"/>
        <sz val="11.0"/>
      </rPr>
      <t xml:space="preserve">Результаты исследований по теме, получившей неофициальное обозначение «Решётка-62», обобщили в двух коллективных отчётах, которые разослали по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</si>
  <si>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 xml:space="preserve"> ,онченок ,есв и каК </t>
  </si>
  <si>
    <t>ясляоб</t>
  </si>
  <si>
    <t>Как и все, конечно,</t>
  </si>
  <si>
    <t>боялся</t>
  </si>
  <si>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</t>
    </r>
  </si>
  <si>
    <t>невостребованности,</t>
  </si>
  <si>
    <t>Н. В. Радулова. Вот будет мне сорок пять –– и что? // «Огонек» № 29 2016</t>
  </si>
  <si>
    <t>Н. В. Радулова</t>
  </si>
  <si>
    <t>Вот будет мне сорок пять –– и что?</t>
  </si>
  <si>
    <t>некролог</t>
  </si>
  <si>
    <t>криминал | политика и общественная жизнь</t>
  </si>
  <si>
    <t>«Огонек» № 29 2016</t>
  </si>
  <si>
    <r>
      <rPr>
        <rFont val="Calibri"/>
        <color theme="1"/>
        <sz val="11.0"/>
      </rPr>
      <t xml:space="preserve">Как и все, конечно,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 текст, не «дожал тему» и что в комментариях кто-то из читателей назвал его бараном.</t>
    </r>
  </si>
  <si>
    <t>ьсолетоХ</t>
  </si>
  <si>
    <t>Хотелось</t>
  </si>
  <si>
    <r>
      <rPr>
        <rFont val="Calibri"/>
        <b/>
        <color theme="1"/>
        <sz val="11.0"/>
      </rPr>
      <t>холодной</t>
    </r>
    <r>
      <rPr>
        <rFont val="Calibri"/>
        <color theme="1"/>
        <sz val="11.0"/>
      </rPr>
      <t xml:space="preserve"> газированной воды, и закурить, и</t>
    </r>
  </si>
  <si>
    <t>холодной</t>
  </si>
  <si>
    <t>А. Б. Сальников. Петровы в гриппе и вокруг него // «Волга», 2016</t>
  </si>
  <si>
    <t>А. Б. Сальников</t>
  </si>
  <si>
    <t>Петровы в гриппе и вокруг него</t>
  </si>
  <si>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холодной</t>
    </r>
    <r>
      <rPr>
        <rFont val="Calibri"/>
        <color theme="1"/>
        <sz val="11.0"/>
      </rPr>
      <t xml:space="preserve"> газированной воды, и закурить, и аспирина, и еще раз холодной газированной воды, и уснуть.</t>
    </r>
  </si>
  <si>
    <t xml:space="preserve"> еенараз вортеП </t>
  </si>
  <si>
    <t>Петров заранее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</si>
  <si>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</t>
    </r>
  </si>
  <si>
    <r>
      <rPr>
        <rFont val="Calibri"/>
        <color theme="1"/>
        <sz val="11.0"/>
      </rPr>
      <t xml:space="preserve">Петров заранее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 не окажется мелких купюр или металлической мелочи, так что это будет выглядеть так, будто он из тех пассажиров, которые возят с собой тысячную купюру вместо этакого проездного.</t>
    </r>
  </si>
  <si>
    <t xml:space="preserve"> ежот илетидор оге ,тежом ,иинарбос моксьлетидор</t>
  </si>
  <si>
    <t>ястюудароп</t>
  </si>
  <si>
    <t>родительском собрании, может, его родители тоже</t>
  </si>
  <si>
    <t>порадуются</t>
  </si>
  <si>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</t>
    </r>
  </si>
  <si>
    <r>
      <rPr>
        <rFont val="Calibri"/>
        <color theme="1"/>
        <sz val="11.0"/>
      </rPr>
      <t xml:space="preserve">За время поездки шальные дети успели уже вычудить несколько номеров: единожды школьник успел сказать «жопа» на весь вагон, и как бы не ругалась педагогиня, остальные школьники одобрительно улыбались, успел один из школьников уже предложить своим одноклассницам выйти к вертикальному поручню и воспользоваться им как шестом для стриптиза, на что педагогиня заметила, что школьник уже повторяется в своих шутках, уж не хочет ли он, чтобы эта шутка ей особенно запомнилась, дабы она рассказала ее на родительском собрании, может, его родители тоже </t>
    </r>
    <r>
      <rPr>
        <rFont val="Calibri"/>
        <b/>
        <color theme="1"/>
        <sz val="11.0"/>
      </rPr>
      <t>порадуются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 школьники докопаться до классного ботаника, игравшего на телефоне, и успели обступить мужчину, который читал электронную книгу, успели похихикать над отпыхивающимся под гриппом Петровым, успели предостеречь одну из одноклассниц, чтобы она больше не падала в эпилептические припадки, успели изобразить этот припадок.</t>
    </r>
  </si>
  <si>
    <t xml:space="preserve"> ынилА ажум ьтсобурГ </t>
  </si>
  <si>
    <t>алавосеретниаз</t>
  </si>
  <si>
    <t>Грубость мужа Алины</t>
  </si>
  <si>
    <t>заинтересовала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</si>
  <si>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</t>
    </r>
  </si>
  <si>
    <t>Петрову,</t>
  </si>
  <si>
    <r>
      <rPr>
        <rFont val="Calibri"/>
        <color theme="1"/>
        <sz val="11.0"/>
      </rPr>
      <t xml:space="preserve">Грубость мужа Алины </t>
    </r>
    <r>
      <rPr>
        <rFont val="Calibri"/>
        <b/>
        <color theme="1"/>
        <sz val="11.0"/>
      </rPr>
      <t>заинтересовала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 грубияном поближе.</t>
    </r>
  </si>
  <si>
    <t xml:space="preserve"> ямерв есв ,аквокытсен от-яакак егинк в</t>
  </si>
  <si>
    <t>яашващумс</t>
  </si>
  <si>
    <t>в книге какая-то нестыковка, все время</t>
  </si>
  <si>
    <t>смущавшая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</si>
  <si>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</t>
    </r>
  </si>
  <si>
    <t>Петрову</t>
  </si>
  <si>
    <r>
      <rPr>
        <rFont val="Calibri"/>
        <color theme="1"/>
        <sz val="11.0"/>
      </rPr>
      <t xml:space="preserve">В «Королевстве» же Петрову смущал тот факт, что Яло была, собственно, сама из этого королевства; была в книге какая-то нестыковка, все время </t>
    </r>
    <r>
      <rPr>
        <rFont val="Calibri"/>
        <b/>
        <color theme="1"/>
        <sz val="11.0"/>
      </rPr>
      <t>смущавшая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 сказку спокойно, хотя, возможно, просто неудовлетворенность уже копилась в Петровой, не давая Петровой читать внимательно, но еще не проявляя себя совершенным безумием.</t>
    </r>
  </si>
  <si>
    <t xml:space="preserve"> адгот есВ </t>
  </si>
  <si>
    <t>Все тогда</t>
  </si>
  <si>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</t>
    </r>
  </si>
  <si>
    <t>стали</t>
  </si>
  <si>
    <r>
      <rPr>
        <rFont val="Calibri"/>
        <color theme="1"/>
        <sz val="11.0"/>
      </rPr>
      <t xml:space="preserve">Все тогда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 боксом, но Петрова отговорилась тем, что подсмотрела все это в кино и это у нее получилось случайно.</t>
    </r>
  </si>
  <si>
    <t xml:space="preserve"> ,еолсорзв от-отч олыб ежот мотэ в</t>
  </si>
  <si>
    <t>еешвавигупто</t>
  </si>
  <si>
    <t>в этом тоже было что-то взрослое,</t>
  </si>
  <si>
    <t>отпугивавшее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</si>
  <si>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</si>
  <si>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t>Петрову),</t>
  </si>
  <si>
    <r>
      <rPr>
        <rFont val="Calibri"/>
        <color theme="1"/>
        <sz val="11.0"/>
      </rPr>
      <t xml:space="preserve">― Сидишь как в подземелье, ― проворчала она после поцелуя (от его виска пахло шампунем, а значит, он уже вымылся, и в этом тоже было что-то взрослое, </t>
    </r>
    <r>
      <rPr>
        <rFont val="Calibri"/>
        <b/>
        <color theme="1"/>
        <sz val="11.0"/>
      </rPr>
      <t>отпугивавшее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</si>
  <si>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t xml:space="preserve"> ен илсе ызофроматем иьвоныс итЭ </t>
  </si>
  <si>
    <t>илагуп</t>
  </si>
  <si>
    <t>Эти сыновьи метаморфозы если не</t>
  </si>
  <si>
    <t>пугали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</si>
  <si>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</si>
  <si>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r>
      <rPr>
        <rFont val="Calibri"/>
        <color theme="1"/>
        <sz val="11.0"/>
      </rPr>
      <t xml:space="preserve">Эти сыновьи метаморфозы если не </t>
    </r>
    <r>
      <rPr>
        <rFont val="Calibri"/>
        <b/>
        <color theme="1"/>
        <sz val="11.0"/>
      </rPr>
      <t>пугали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</si>
  <si>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t xml:space="preserve"> инд еынчыбо в ,лаирестьлум ― »анйетшнетуТ« ьтертомс</t>
  </si>
  <si>
    <t>йишвисеб</t>
  </si>
  <si>
    <t>смотреть «Тутенштейна» ― мультсериал, в обычные дни</t>
  </si>
  <si>
    <t>бесивший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</si>
  <si>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</si>
  <si>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r>
      <rPr>
        <rFont val="Calibri"/>
        <color theme="1"/>
        <sz val="11.0"/>
      </rPr>
      <t xml:space="preserve">Петров-младший, почуяв некоторую вину матери, понял, что выиграл просмотр телевизора на кухне, дотыкал до мультипликационного канала с труднозапоминаемым названием и стал, роняя часть еды на пол, смотреть «Тутенштейна» ― мультсериал, в обычные дни </t>
    </r>
    <r>
      <rPr>
        <rFont val="Calibri"/>
        <b/>
        <color theme="1"/>
        <sz val="11.0"/>
      </rPr>
      <t>бесивший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</si>
  <si>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t xml:space="preserve"> к илателдоп ,мат илыб адгесв енагыц</t>
  </si>
  <si>
    <t>ясмишвинюрогирп</t>
  </si>
  <si>
    <t>цыгане всегда были там, подлетали к</t>
  </si>
  <si>
    <t>пригорюнившимся</t>
  </si>
  <si>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</t>
    </r>
  </si>
  <si>
    <t>провинциалам</t>
  </si>
  <si>
    <r>
      <rPr>
        <rFont val="Calibri"/>
        <color theme="1"/>
        <sz val="11.0"/>
      </rPr>
      <t xml:space="preserve">Вроде бы цыгане всегда были там, подлетали к </t>
    </r>
    <r>
      <rPr>
        <rFont val="Calibri"/>
        <b/>
        <color theme="1"/>
        <sz val="11.0"/>
      </rPr>
      <t>пригорюнившимся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 очевидным «вижу, горе у тебя, дай погадаю».</t>
    </r>
  </si>
  <si>
    <t xml:space="preserve"> и ,</t>
  </si>
  <si>
    <t>, и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</si>
  <si>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</t>
    </r>
  </si>
  <si>
    <t>Сергей Шикера. Египетское метро // «Волга», 2016</t>
  </si>
  <si>
    <t>Сергей Шикера</t>
  </si>
  <si>
    <t>Египетское метро</t>
  </si>
  <si>
    <r>
      <rPr>
        <rFont val="Calibri"/>
        <color theme="1"/>
        <sz val="11.0"/>
      </rPr>
      <t xml:space="preserve">, и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 не спят.</t>
    </r>
  </si>
  <si>
    <t xml:space="preserve"> онровтирп ее оП </t>
  </si>
  <si>
    <t>умоннелвиду</t>
  </si>
  <si>
    <t>По ее притворно</t>
  </si>
  <si>
    <t>удивленному</t>
  </si>
  <si>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</t>
    </r>
  </si>
  <si>
    <t>взгляду</t>
  </si>
  <si>
    <r>
      <rPr>
        <rFont val="Calibri"/>
        <color theme="1"/>
        <sz val="11.0"/>
      </rPr>
      <t xml:space="preserve">По ее притворно </t>
    </r>
    <r>
      <rPr>
        <rFont val="Calibri"/>
        <b/>
        <color theme="1"/>
        <sz val="11.0"/>
      </rPr>
      <t>удивленному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 она его еще у парикмахерской.</t>
    </r>
  </si>
  <si>
    <t xml:space="preserve"> ьнечо ен ежад но ,ерозоп меншаречв</t>
  </si>
  <si>
    <t>вчерашнем позоре, он даже не очень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</si>
  <si>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</si>
  <si>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r>
      <rPr>
        <rFont val="Calibri"/>
        <color theme="1"/>
        <sz val="11.0"/>
      </rPr>
      <t xml:space="preserve">Поглощенный воспоминаниями о вчерашнем позоре, он даже не очень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</si>
  <si>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t xml:space="preserve"> ым ,ыноротс йогурд С </t>
  </si>
  <si>
    <t>ясмидрог</t>
  </si>
  <si>
    <t>С другой стороны, мы</t>
  </si>
  <si>
    <t>гордимся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</si>
  <si>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</si>
  <si>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t>В. Суриков. Музыка из жизни Олега Меньшикова // «Эксперт», 2016</t>
  </si>
  <si>
    <t>В. Суриков</t>
  </si>
  <si>
    <t>Музыка из жизни Олега Меньшикова</t>
  </si>
  <si>
    <r>
      <rPr>
        <rFont val="Calibri"/>
        <color theme="1"/>
        <sz val="11.0"/>
      </rPr>
      <t xml:space="preserve">С другой стороны, мы </t>
    </r>
    <r>
      <rPr>
        <rFont val="Calibri"/>
        <b/>
        <color theme="1"/>
        <sz val="11.0"/>
      </rPr>
      <t>гордимся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</si>
  <si>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r>
      <rPr>
        <rFont val="Calibri"/>
        <b/>
        <color theme="1"/>
        <sz val="11.0"/>
      </rPr>
      <t>зверьку</t>
    </r>
    <r>
      <rPr>
        <rFont val="Calibri"/>
        <color theme="1"/>
        <sz val="11.0"/>
      </rPr>
      <t>, с которым мы работали, было</t>
    </r>
  </si>
  <si>
    <t>зверьку,</t>
  </si>
  <si>
    <t>А. Торгашев. Голый землекоп впадает в детство // «Кот Шрёдингера», 2016</t>
  </si>
  <si>
    <t>А. Торгашев</t>
  </si>
  <si>
    <t>Голый землекоп впадает в детство</t>
  </si>
  <si>
    <t>наука и технологии | природа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</si>
  <si>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зверьку</t>
    </r>
    <r>
      <rPr>
        <rFont val="Calibri"/>
        <color theme="1"/>
        <sz val="11.0"/>
      </rPr>
      <t>, с которым мы работали, было шесть лет.</t>
    </r>
  </si>
  <si>
    <t xml:space="preserve"> еджерп ,идюл еж ет и индо</t>
  </si>
  <si>
    <t>ясеишвагротсов</t>
  </si>
  <si>
    <t>одни и те же люди, прежде</t>
  </si>
  <si>
    <t>восторгавшиеся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</si>
  <si>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</t>
    </r>
  </si>
  <si>
    <t>политической</t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</si>
  <si>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</si>
  <si>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</si>
  <si>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</si>
  <si>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</si>
  <si>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r>
      <rPr>
        <rFont val="Calibri"/>
        <color theme="1"/>
        <sz val="11.0"/>
      </rPr>
      <t xml:space="preserve">Почему-то одни и те же люди, прежде </t>
    </r>
    <r>
      <rPr>
        <rFont val="Calibri"/>
        <b/>
        <color theme="1"/>
        <sz val="11.0"/>
      </rPr>
      <t>восторгавшиеся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 проклинают.</t>
    </r>
  </si>
  <si>
    <t>ястеудаР</t>
  </si>
  <si>
    <t>Радуется</t>
  </si>
  <si>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</t>
    </r>
  </si>
  <si>
    <t>солнцу.</t>
  </si>
  <si>
    <r>
      <rPr>
        <rFont val="Calibri"/>
        <color theme="1"/>
        <sz val="11.0"/>
      </rPr>
      <t xml:space="preserve">Шелестит на ветру. 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  Пьет дожди.</t>
    </r>
  </si>
  <si>
    <t xml:space="preserve"> йобюЛ с етсемв ясларатс ,хамуроф хыньлетиортс</t>
  </si>
  <si>
    <t>строительных форумах, старался вместе с Любой</t>
  </si>
  <si>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</t>
    </r>
  </si>
  <si>
    <t>мелочам</t>
  </si>
  <si>
    <t>В. А. Харченко. Домик-пряник // «Волга», 2016</t>
  </si>
  <si>
    <t>В. А. Харченко</t>
  </si>
  <si>
    <t>1971</t>
  </si>
  <si>
    <t>Домик-пряник</t>
  </si>
  <si>
    <r>
      <rPr>
        <rFont val="Calibri"/>
        <color theme="1"/>
        <sz val="11.0"/>
      </rPr>
      <t xml:space="preserve">Первое время Олег пытался вникать в процесс: читал статьи и книги, сидел на строительных форумах, старался вместе с Любой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исподволь, несмотря на любовь к жене, в нем поселилось стойкое отторжение.</t>
    </r>
  </si>
  <si>
    <t xml:space="preserve"> илетиортс :еинеледтооволс еоньлибо лавызыв ыбюЛ див</t>
  </si>
  <si>
    <t>ьсилимертс</t>
  </si>
  <si>
    <t>вид Любы вызывал обильное словоотделение: строители</t>
  </si>
  <si>
    <t>стремились</t>
  </si>
  <si>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</t>
    </r>
  </si>
  <si>
    <t>Савушкину</t>
  </si>
  <si>
    <r>
      <rPr>
        <rFont val="Calibri"/>
        <color theme="1"/>
        <sz val="11.0"/>
      </rPr>
      <t xml:space="preserve">Одни старались, видя неопытность Любы, завысить цену, другие не принимали ее всерьез и пытались достучаться до Олега, у некоторых вид Любы вызывал обильное словоотделение: строители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 какой-то мужской дерзостью, лихостью и грубостью.</t>
    </r>
  </si>
  <si>
    <t xml:space="preserve"> ыб как чивонавИ ьрогИ сачйес и</t>
  </si>
  <si>
    <t>и сейчас Игорь Иванович как бы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</si>
  <si>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</t>
    </r>
  </si>
  <si>
    <r>
      <rPr>
        <rFont val="Calibri"/>
        <color theme="1"/>
        <sz val="11.0"/>
      </rPr>
      <t xml:space="preserve">Вот и сейчас Игорь Иванович как бы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издалека, подошел поздороваться и намеренно задел ее бедро рукой, и Люба это заметила и оценила, отстранившись и удивившись, наклонив голову вбок, разглядывая его поперечные морщины на потном лбе и небольшую лысинку на макушке.</t>
    </r>
  </si>
  <si>
    <t xml:space="preserve"> ,екледто к лапутсирп ен и лунят</t>
  </si>
  <si>
    <t>тянул и не приступал к отделке,</t>
  </si>
  <si>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</si>
  <si>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t>времени</t>
  </si>
  <si>
    <r>
      <rPr>
        <rFont val="Calibri"/>
        <color theme="1"/>
        <sz val="11.0"/>
      </rPr>
      <t xml:space="preserve">В мае следующего года Игорь Иванович все тянул и не приступал к отделке,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</si>
  <si>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t xml:space="preserve"> мувд ретев теажарбози ацнетолоп ищомоп ирп</t>
  </si>
  <si>
    <t>мыннелмузи</t>
  </si>
  <si>
    <t>при помощи полотенца изображает ветер двум</t>
  </si>
  <si>
    <t>изумленным</t>
  </si>
  <si>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</si>
  <si>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малышам.</t>
  </si>
  <si>
    <t>О. Э. Хафизов. Вышка в Монтебеле // «Волга», 2016</t>
  </si>
  <si>
    <t>О. Э. Хафизов</t>
  </si>
  <si>
    <t>Вышка в Монтебеле</t>
  </si>
  <si>
    <r>
      <rPr>
        <rFont val="Calibri"/>
        <color theme="1"/>
        <sz val="11.0"/>
      </rPr>
      <t xml:space="preserve">Вот девушка в костюме клоуна наигрывает на маракасах, а другая клоунесса при помощи полотенца изображает ветер двум </t>
    </r>
    <r>
      <rPr>
        <rFont val="Calibri"/>
        <b/>
        <color theme="1"/>
        <sz val="11.0"/>
      </rPr>
      <t>изумленным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</si>
  <si>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яащябюЛ</t>
  </si>
  <si>
    <t>Любящая</t>
  </si>
  <si>
    <r>
      <rPr>
        <rFont val="Calibri"/>
        <b/>
        <color theme="1"/>
        <sz val="11.0"/>
      </rPr>
      <t>логику</t>
    </r>
    <r>
      <rPr>
        <rFont val="Calibri"/>
        <color theme="1"/>
        <sz val="11.0"/>
      </rPr>
      <t>, порядок во всём, Вера Николаевна</t>
    </r>
  </si>
  <si>
    <t>логику,</t>
  </si>
  <si>
    <t>В. М. Шапко. Синдром веселья Плуготаренко // «Волга», 2016</t>
  </si>
  <si>
    <t>В. М. Шапко</t>
  </si>
  <si>
    <t>Синдром веселья Плуготаренко</t>
  </si>
  <si>
    <r>
      <rPr>
        <rFont val="Calibri"/>
        <b/>
        <color theme="1"/>
        <sz val="11.0"/>
      </rPr>
      <t>Любящая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логику</t>
    </r>
    <r>
      <rPr>
        <rFont val="Calibri"/>
        <color theme="1"/>
        <sz val="11.0"/>
      </rPr>
      <t>, порядок во всём, Вера Николаевна дома целый день никак не могла сложить головоломку.</t>
    </r>
  </si>
  <si>
    <t xml:space="preserve"> ерем йешьнем оп а ,ьтеп лялватсаз</t>
  </si>
  <si>
    <t>летох</t>
  </si>
  <si>
    <t>заставлял петь, а по меньшей мере</t>
  </si>
  <si>
    <t>хотел</t>
  </si>
  <si>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</si>
  <si>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t>чёрным</t>
  </si>
  <si>
    <r>
      <rPr>
        <rFont val="Calibri"/>
        <color theme="1"/>
        <sz val="11.0"/>
      </rPr>
      <t xml:space="preserve">Точно не просто заставлял петь, а по меньшей мере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</si>
  <si>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t xml:space="preserve"> умокёлад аласиП </t>
  </si>
  <si>
    <t>Писала далёкому</t>
  </si>
  <si>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</t>
    </r>
  </si>
  <si>
    <t>Мише.</t>
  </si>
  <si>
    <r>
      <rPr>
        <rFont val="Calibri"/>
        <color theme="1"/>
        <sz val="11.0"/>
      </rPr>
      <t xml:space="preserve">А мысленно уже писала его.  Писала далёкому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 Работу на почте теперь воспринимала как некое недвижимое облако, туман, в котором плавают посетители, не очень узнаваемые товарки, Вахрушева.</t>
    </r>
  </si>
  <si>
    <t>ынелвидУ</t>
  </si>
  <si>
    <t>Удивлены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</si>
  <si>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не меньше и Наталья с</t>
    </r>
  </si>
  <si>
    <r>
      <rPr>
        <rFont val="Calibri"/>
        <b/>
        <color theme="1"/>
        <sz val="11.0"/>
      </rPr>
      <t>Удивлены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не меньше и Наталья с Татьяной ― да такой сильный краб заползет не только на первый ― на десятый этаж!</t>
    </r>
  </si>
  <si>
    <t>юумибюЛ</t>
  </si>
  <si>
    <t>Любимую</t>
  </si>
  <si>
    <r>
      <rPr>
        <rFont val="Calibri"/>
        <b/>
        <color theme="1"/>
        <sz val="11.0"/>
      </rPr>
      <t>белку</t>
    </r>
    <r>
      <rPr>
        <rFont val="Calibri"/>
        <color theme="1"/>
        <sz val="11.0"/>
      </rPr>
      <t xml:space="preserve"> в парке кормил почти с</t>
    </r>
  </si>
  <si>
    <t>белку</t>
  </si>
  <si>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белку</t>
    </r>
    <r>
      <rPr>
        <rFont val="Calibri"/>
        <color theme="1"/>
        <sz val="11.0"/>
      </rPr>
      <t xml:space="preserve"> в парке кормил почти с рук.</t>
    </r>
  </si>
  <si>
    <t xml:space="preserve"> в отдуБ </t>
  </si>
  <si>
    <t>мещялесев</t>
  </si>
  <si>
    <t>Будто в</t>
  </si>
  <si>
    <t>веселящем</t>
  </si>
  <si>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</t>
    </r>
  </si>
  <si>
    <t>газу.</t>
  </si>
  <si>
    <r>
      <rPr>
        <rFont val="Calibri"/>
        <color theme="1"/>
        <sz val="11.0"/>
      </rPr>
      <t xml:space="preserve">Улыбаясь, посидел в плавающем дыму афганцев.  Будто в </t>
    </r>
    <r>
      <rPr>
        <rFont val="Calibri"/>
        <b/>
        <color theme="1"/>
        <sz val="11.0"/>
      </rPr>
      <t>веселящем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 Умный Громышев с испугом смотрел на лыбящегося Плуготаренку.</t>
    </r>
  </si>
  <si>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</t>
    </r>
  </si>
  <si>
    <t>мелочи</t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</si>
  <si>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</si>
  <si>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</si>
  <si>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</si>
  <si>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</si>
  <si>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r>
      <rPr>
        <rFont val="Calibri"/>
        <color theme="1"/>
        <sz val="11.0"/>
      </rPr>
      <t xml:space="preserve">И такие мелочи буквально в каждом предложении.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  Это как посмотреть.</t>
    </r>
  </si>
  <si>
    <t xml:space="preserve"> тсирю-тнедутС</t>
  </si>
  <si>
    <t>теувтсвучос</t>
  </si>
  <si>
    <t>Студент-юрист</t>
  </si>
  <si>
    <t>сочувствует</t>
  </si>
  <si>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</t>
    </r>
  </si>
  <si>
    <t>будущему</t>
  </si>
  <si>
    <t>неизвестный. Лист бумаги // «Кот Шрёдингера», 2016</t>
  </si>
  <si>
    <t>Лист бумаги</t>
  </si>
  <si>
    <t>искусство и культура | история | наука и технологии | производство</t>
  </si>
  <si>
    <r>
      <rPr>
        <rFont val="Calibri"/>
        <color theme="1"/>
        <sz val="11.0"/>
      </rPr>
      <t xml:space="preserve">У кого-нибудь есть антисептик? Студент-юрист </t>
    </r>
    <r>
      <rPr>
        <rFont val="Calibri"/>
        <b/>
        <color theme="1"/>
        <sz val="11.0"/>
      </rPr>
      <t>сочувствует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  Но тут же меняет тему:</t>
    </r>
  </si>
  <si>
    <t xml:space="preserve"> ым адгоТ</t>
  </si>
  <si>
    <t>ьсилащихсов</t>
  </si>
  <si>
    <t>Тогда мы</t>
  </si>
  <si>
    <t>восхищались</t>
  </si>
  <si>
    <t xml:space="preserve"> «</t>
  </si>
  <si>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</t>
    </r>
  </si>
  <si>
    <t>духовной</t>
  </si>
  <si>
    <t>О. Шульчева-Джарман, Т. Л. Александрова. «Это нельзя публиковать — повредит репутации владыки» (2015.11.04)</t>
  </si>
  <si>
    <t>О. Шульчева-Джарман | Т. Л. Александрова</t>
  </si>
  <si>
    <t>«Это нельзя публиковать — повредит репутации владыки»</t>
  </si>
  <si>
    <t>2015.11.04</t>
  </si>
  <si>
    <t>Православие и мир (pravmir.ru)</t>
  </si>
  <si>
    <t>2015</t>
  </si>
  <si>
    <r>
      <rPr>
        <rFont val="Calibri"/>
        <color theme="1"/>
        <sz val="11.0"/>
      </rPr>
      <t xml:space="preserve">Хотя вместе с тем он был и очень строг с нами, общения с ним всегда было намного меньше, чем хотелось. Тогда мы </t>
    </r>
    <r>
      <rPr>
        <rFont val="Calibri"/>
        <b/>
        <color theme="1"/>
        <sz val="11.0"/>
      </rPr>
      <t>восхищались</t>
    </r>
    <r>
      <rPr>
        <rFont val="Calibri"/>
        <color theme="1"/>
        <sz val="11.0"/>
      </rPr>
      <t xml:space="preserve"> «</t>
    </r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  Главными своими учителями он называл настоятеля храма Иоанна Воина на Якиманке отца Александра Воскресенского (о нем есть книга «Духовник старцев», достаточно сказать, что у него некоторое время окормлялся отец Иоанн Крестьянкин); патриарха Алексия (Симанского) и преемника оптинских старцев, преподобного Севастиана Карагандинского.</t>
    </r>
  </si>
  <si>
    <t xml:space="preserve"> алавовтрежоп юьтсодар с хи ыб я</t>
  </si>
  <si>
    <t>я бы их с радостью пожертвовала</t>
  </si>
  <si>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</si>
  <si>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t>людям.</t>
  </si>
  <si>
    <r>
      <rPr>
        <rFont val="Calibri"/>
        <color theme="1"/>
        <sz val="11.0"/>
      </rPr>
      <t xml:space="preserve">Кстати, у меня еще лежат в квартире недораспроданные пачки книг, я бы их с радостью пожертвовала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</si>
  <si>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t xml:space="preserve"> ясьтаминаз ьтсонжомзов аличулоп Я</t>
  </si>
  <si>
    <t>Я получила возможность заниматься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</si>
  <si>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</t>
    </r>
  </si>
  <si>
    <t>делом:</t>
  </si>
  <si>
    <r>
      <rPr>
        <rFont val="Calibri"/>
        <color theme="1"/>
        <sz val="11.0"/>
      </rPr>
      <t xml:space="preserve">Я получила возможность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 и раннехристианской литературы, занимаюсь научными исследованиями, переводами античных авторов и святых отцов (в частности, участвую в проекте по переводу творений святителя Амвросия Медиоланского).</t>
    </r>
  </si>
  <si>
    <t xml:space="preserve"> меч ,еджерп :еинажредос еогурд от-еокак ебес</t>
  </si>
  <si>
    <t>себе какое-то другое содержание: прежде, чем</t>
  </si>
  <si>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</si>
  <si>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t>воскресенью,</t>
  </si>
  <si>
    <t>А. Гальперина. Эти рвы уравняли всех (2015.10.30)</t>
  </si>
  <si>
    <t>А. Гальперина</t>
  </si>
  <si>
    <t>Эти рвы уравняли всех</t>
  </si>
  <si>
    <t>2015.10.30</t>
  </si>
  <si>
    <r>
      <rPr>
        <rFont val="Calibri"/>
        <color theme="1"/>
        <sz val="11.0"/>
      </rPr>
      <t xml:space="preserve">Майская служба на день памяти Бутовских новомучеников вызывает чувство радости и победы, Христовой победы русской церкви, день же сегодняшний несет в себе какое-то другое содержание: прежде, чем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</si>
  <si>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r>
      <rPr>
        <rFont val="Calibri"/>
        <b/>
        <color theme="1"/>
        <sz val="11.0"/>
      </rPr>
      <t>Толстой</t>
    </r>
    <r>
      <rPr>
        <rFont val="Calibri"/>
        <color theme="1"/>
        <sz val="11.0"/>
      </rPr>
      <t xml:space="preserve"> был известным реформатором, но, не</t>
    </r>
  </si>
  <si>
    <t>Толстой</t>
  </si>
  <si>
    <t>А. А. Данилова, протоиерей Владимир (Воробьев). Невероятные приключения теологии в России (2015.10.12)</t>
  </si>
  <si>
    <t>А. А. Данилова | протоиерей Владимир (Воробьев)</t>
  </si>
  <si>
    <t>1941 | 1981</t>
  </si>
  <si>
    <t>Невероятные приключения теологии в России</t>
  </si>
  <si>
    <t>2015.10.12</t>
  </si>
  <si>
    <t>образование | религия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</si>
  <si>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Толстой</t>
    </r>
    <r>
      <rPr>
        <rFont val="Calibri"/>
        <color theme="1"/>
        <sz val="11.0"/>
      </rPr>
      <t xml:space="preserve"> был известным реформатором, но, не разбираясь в тематике христианства, что можно понять в Толстом?</t>
    </r>
  </si>
  <si>
    <t xml:space="preserve"> ьтсонбосопс юуннад могоБ аз ― еонжен еомас</t>
  </si>
  <si>
    <t>самое нежное ― за Богом данную способность</t>
  </si>
  <si>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</si>
  <si>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>чужому</t>
  </si>
  <si>
    <t>И. А. Забежинский. Если бы мы не смотрели, они бы не показывали (2015.10.05)</t>
  </si>
  <si>
    <t>И. А. Забежинский</t>
  </si>
  <si>
    <t>Если бы мы не смотрели, они бы не показывали</t>
  </si>
  <si>
    <t>2015.10.05</t>
  </si>
  <si>
    <t>бизнес, коммерция, экономика, финансы | социология</t>
  </si>
  <si>
    <r>
      <rPr>
        <rFont val="Calibri"/>
        <color theme="1"/>
        <sz val="11.0"/>
      </rPr>
      <t xml:space="preserve">И здесь нас хватают за самое нежное ― за Богом данную способность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</si>
  <si>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 xml:space="preserve"> ястюяртиху каК </t>
  </si>
  <si>
    <t>ясьтащихсов</t>
  </si>
  <si>
    <t>Как ухитряются</t>
  </si>
  <si>
    <t>восхищаться</t>
  </si>
  <si>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</t>
    </r>
  </si>
  <si>
    <t>Рафаэлевой</t>
  </si>
  <si>
    <t>Н. Л. Холмогорова. «Че там у атеистов?» (2015.09.28)</t>
  </si>
  <si>
    <t>Н. Л. Холмогорова</t>
  </si>
  <si>
    <t>«Че там у атеистов?»</t>
  </si>
  <si>
    <t>2015.09.28</t>
  </si>
  <si>
    <t>политика и общественная жизнь | религия</t>
  </si>
  <si>
    <r>
      <rPr>
        <rFont val="Calibri"/>
        <color theme="1"/>
        <sz val="11.0"/>
      </rPr>
      <t xml:space="preserve">Как ухитряются </t>
    </r>
    <r>
      <rPr>
        <rFont val="Calibri"/>
        <b/>
        <color theme="1"/>
        <sz val="11.0"/>
      </rPr>
      <t>восхищаться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 Мадонну?</t>
    </r>
  </si>
  <si>
    <t xml:space="preserve"> ьтачаН </t>
  </si>
  <si>
    <t>Начать</t>
  </si>
  <si>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</t>
    </r>
  </si>
  <si>
    <t>моменту,</t>
  </si>
  <si>
    <t>коллективный. «Веселуха» на 11 тысяч знаков (2015.03.14)</t>
  </si>
  <si>
    <t>«Веселуха» на 11 тысяч знаков</t>
  </si>
  <si>
    <t>2015.03.14</t>
  </si>
  <si>
    <t>психология | частная жизнь</t>
  </si>
  <si>
    <r>
      <rPr>
        <rFont val="Calibri"/>
        <color theme="1"/>
        <sz val="11.0"/>
      </rPr>
      <t xml:space="preserve">[Руфь,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</si>
  <si>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</t>
    </r>
  </si>
  <si>
    <r>
      <rPr>
        <rFont val="Calibri"/>
        <color theme="1"/>
        <sz val="11.0"/>
      </rPr>
      <t xml:space="preserve">[Морской Чёрт,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</si>
  <si>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t xml:space="preserve"> икьняН 	</t>
  </si>
  <si>
    <t>илажобо</t>
  </si>
  <si>
    <t>Няньки</t>
  </si>
  <si>
    <t>обожали</t>
  </si>
  <si>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</t>
    </r>
  </si>
  <si>
    <t xml:space="preserve">литургии	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</si>
  <si>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</si>
  <si>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</si>
  <si>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</si>
  <si>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</si>
  <si>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искусство и культура | частная жизнь</t>
  </si>
  <si>
    <r>
      <rPr>
        <rFont val="Calibri"/>
        <color theme="1"/>
        <sz val="11.0"/>
      </rPr>
      <t xml:space="preserve">Няньки </t>
    </r>
    <r>
      <rPr>
        <rFont val="Calibri"/>
        <b/>
        <color theme="1"/>
        <sz val="11.0"/>
      </rPr>
      <t>обожали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 настали времена другие,	 Суетные светские печали.</t>
    </r>
  </si>
  <si>
    <t xml:space="preserve"> месв олижолдерп изявсниМ</t>
  </si>
  <si>
    <t>Минсвязи предложило всем</t>
  </si>
  <si>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</t>
    </r>
  </si>
  <si>
    <t>компаниям,</t>
  </si>
  <si>
    <t>Александр Механик. Бизнес со скоростью света // «Эксперт», 2015</t>
  </si>
  <si>
    <t>Александр Механик</t>
  </si>
  <si>
    <t>Бизнес со скоростью света</t>
  </si>
  <si>
    <t>публицистика</t>
  </si>
  <si>
    <t>бизнес, коммерция, экономика, финансы | машиностроение | производство</t>
  </si>
  <si>
    <r>
      <rPr>
        <rFont val="Calibri"/>
        <color theme="1"/>
        <sz val="11.0"/>
      </rPr>
      <t xml:space="preserve">Минсвязи предложило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потребителям,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ПО, утвержденного ранее приказом ведомства.</t>
    </r>
  </si>
  <si>
    <t>яувтсвучоС</t>
  </si>
  <si>
    <t>Сочувствуя</t>
  </si>
  <si>
    <r>
      <rPr>
        <rFont val="Calibri"/>
        <b/>
        <color theme="1"/>
        <sz val="11.0"/>
      </rPr>
      <t>Обаме</t>
    </r>
    <r>
      <rPr>
        <rFont val="Calibri"/>
        <color theme="1"/>
        <sz val="11.0"/>
      </rPr>
      <t>, автор тем не менее признает</t>
    </r>
  </si>
  <si>
    <t>Обаме,</t>
  </si>
  <si>
    <t>Александр Механик. Униженные и оскорбленные // «Эксперт», 2015</t>
  </si>
  <si>
    <t>Униженные и оскорбленные</t>
  </si>
  <si>
    <r>
      <rPr>
        <rFont val="Calibri"/>
        <b/>
        <color theme="1"/>
        <sz val="11.0"/>
      </rPr>
      <t>Сочувствуя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Обаме</t>
    </r>
    <r>
      <rPr>
        <rFont val="Calibri"/>
        <color theme="1"/>
        <sz val="11.0"/>
      </rPr>
      <t>, автор тем не менее признает, что его избрание есть результат не столько поддержки его программы, сколько удачной торговли его имиджем.</t>
    </r>
  </si>
  <si>
    <t xml:space="preserve"> ьнечо аниретаК </t>
  </si>
  <si>
    <t>Катерина очень</t>
  </si>
  <si>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</t>
    </r>
  </si>
  <si>
    <t>водопроводу</t>
  </si>
  <si>
    <t>Александр Снегирев. Вера (2015)</t>
  </si>
  <si>
    <t>Александр Снегирев</t>
  </si>
  <si>
    <t>Вера</t>
  </si>
  <si>
    <t>А. Снегирев. Вера</t>
  </si>
  <si>
    <r>
      <rPr>
        <rFont val="Calibri"/>
        <color theme="1"/>
        <sz val="11.0"/>
      </rPr>
      <t xml:space="preserve">Катерина очень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 и удобное непродолжительно, сразу наполнила тазы, ведра и корыта, жестяные кружки, все три фарфоровые чашки с оббитыми каемками и граненые стаканы.</t>
    </r>
  </si>
  <si>
    <t xml:space="preserve"> ,ьтаксупорп ен алишер ареВ ,еонтсеторп – щиробс</t>
  </si>
  <si>
    <t>сборищ – протестное, Вера решила не пропускать,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</si>
  <si>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</t>
    </r>
  </si>
  <si>
    <r>
      <rPr>
        <rFont val="Calibri"/>
        <color theme="1"/>
        <sz val="11.0"/>
      </rPr>
      <t xml:space="preserve">Обнаружив, что ближайшее в списке сборищ – протестное, Вера решила не пропускать,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обзавелась, купила новые брюки, подчеркивающие талию, сделала ногти и прическу.</t>
    </r>
  </si>
  <si>
    <t xml:space="preserve"> ареВ</t>
  </si>
  <si>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</t>
    </r>
  </si>
  <si>
    <t>вызову,</t>
  </si>
  <si>
    <r>
      <rPr>
        <rFont val="Calibri"/>
        <color theme="1"/>
        <sz val="11.0"/>
      </rPr>
      <t xml:space="preserve">Вера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 того лысого, швырнувшего ей паспорт.</t>
    </r>
  </si>
  <si>
    <t xml:space="preserve"> ,ьсалунбылу ареВ</t>
  </si>
  <si>
    <t>ьсишвагортсар</t>
  </si>
  <si>
    <t>Вера улыбнулась,</t>
  </si>
  <si>
    <t>растрогавшись</t>
  </si>
  <si>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</t>
    </r>
  </si>
  <si>
    <t>просьбе,</t>
  </si>
  <si>
    <r>
      <rPr>
        <rFont val="Calibri"/>
        <color theme="1"/>
        <sz val="11.0"/>
      </rPr>
      <t xml:space="preserve">Вера улыбнулась, </t>
    </r>
    <r>
      <rPr>
        <rFont val="Calibri"/>
        <b/>
        <color theme="1"/>
        <sz val="11.0"/>
      </rPr>
      <t>растрогавшись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 пронзительную нежность, что испугалась.</t>
    </r>
  </si>
  <si>
    <t xml:space="preserve"> ешьлоб есв менд мыджак с и</t>
  </si>
  <si>
    <t>аледиванен</t>
  </si>
  <si>
    <t>и с каждым днем все больше</t>
  </si>
  <si>
    <t>ненавидела</t>
  </si>
  <si>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</t>
    </r>
  </si>
  <si>
    <t>Ваську,</t>
  </si>
  <si>
    <t>Александра Попова. Ангел на простыне // «Волга», 2015</t>
  </si>
  <si>
    <t>Александра Попова</t>
  </si>
  <si>
    <t>Ангел на простыне</t>
  </si>
  <si>
    <r>
      <rPr>
        <rFont val="Calibri"/>
        <color theme="1"/>
        <sz val="11.0"/>
      </rPr>
      <t xml:space="preserve">Тетка любила Нюрочку как родную внучку, с удовольствием покупала ей наряды и с каждым днем все больше </t>
    </r>
    <r>
      <rPr>
        <rFont val="Calibri"/>
        <b/>
        <color theme="1"/>
        <sz val="11.0"/>
      </rPr>
      <t>ненавидела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 плохим примером для девочки.</t>
    </r>
  </si>
  <si>
    <t xml:space="preserve"> алялватсаз ,ылис еыннензиж мен в алидуб</t>
  </si>
  <si>
    <t>будила в нем жизненные силы, заставляла</t>
  </si>
  <si>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</si>
  <si>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t>переменам.</t>
  </si>
  <si>
    <r>
      <rPr>
        <rFont val="Calibri"/>
        <color theme="1"/>
        <sz val="11.0"/>
      </rPr>
      <t xml:space="preserve">Василий давно так не уставал, но усталость будила в нем жизненные силы, заставляла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</si>
  <si>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t xml:space="preserve"> ьтиватсаз еенжолс есв огороток ,ялетирз од</t>
  </si>
  <si>
    <t>до зрителя, которого все сложнее заставить</t>
  </si>
  <si>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</si>
  <si>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t>герою.</t>
  </si>
  <si>
    <t>Андрей Архангельский. Есть над чем не подумать // «Огонек», 2015</t>
  </si>
  <si>
    <t>Андрей Архангельский</t>
  </si>
  <si>
    <t>Есть над чем не подумать</t>
  </si>
  <si>
    <r>
      <rPr>
        <rFont val="Calibri"/>
        <color theme="1"/>
        <sz val="11.0"/>
      </rPr>
      <t xml:space="preserve">Однако эти фильмы точно так же вызывают катарсис, и именно они способны достучаться до зрителя, которого все сложнее заставить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</si>
  <si>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t xml:space="preserve"> икиньлокш ,юроз тибурт реноиП </t>
  </si>
  <si>
    <t>Пионер трубит зорю, школьники</t>
  </si>
  <si>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</t>
    </r>
  </si>
  <si>
    <t>побегу</t>
  </si>
  <si>
    <t>Анна Сабова. Культура. Зеркало // «Огонек», 2015</t>
  </si>
  <si>
    <t>Анна Сабова</t>
  </si>
  <si>
    <t>Культура. Зеркало</t>
  </si>
  <si>
    <r>
      <rPr>
        <rFont val="Calibri"/>
        <color theme="1"/>
        <sz val="11.0"/>
      </rPr>
      <t xml:space="preserve">Пионер трубит зорю, школьники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 ― всматриваясь в самые простые сценки и подбирая характерные штрихи к обыденному, он сохранил не образ эпохи, а ее мечты и надежды.</t>
    </r>
  </si>
  <si>
    <t xml:space="preserve"> ьрогИ отч ,мот о исипдан еыннапарацанежевс</t>
  </si>
  <si>
    <t>тибюл</t>
  </si>
  <si>
    <t>свеженацарапанные надписи о том, что Игорь</t>
  </si>
  <si>
    <t>любит</t>
  </si>
  <si>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</t>
    </r>
  </si>
  <si>
    <t>Свету,</t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</si>
  <si>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</si>
  <si>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</si>
  <si>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</si>
  <si>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"/>
        <color theme="1"/>
        <sz val="11.0"/>
      </rPr>
      <t xml:space="preserve">Завсегдатаи шахматно-шашечного клуба готовятся разыграть вариант староиндийской защиты для открытых скамеек, а на самих свежевыкрашенных скамейках уже появляются свеженацарапанные надписи о том, что Игорь </t>
    </r>
    <r>
      <rPr>
        <rFont val="Calibri"/>
        <b/>
        <color theme="1"/>
        <sz val="11.0"/>
      </rPr>
      <t>любит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 и не подозревает.</t>
    </r>
  </si>
  <si>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</t>
    </r>
  </si>
  <si>
    <t>соли</t>
  </si>
  <si>
    <t>А. Ю. Беляков. Возвышение вещей // «Волга», 2015</t>
  </si>
  <si>
    <t>А. Ю. Беляков</t>
  </si>
  <si>
    <t>Возвышение вещей</t>
  </si>
  <si>
    <r>
      <rPr>
        <rFont val="Calibri"/>
        <color theme="1"/>
        <sz val="11.0"/>
      </rPr>
      <t xml:space="preserve">Как властители дум, как соль земли, как совесть человечества.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  По большей части, обыкновенные неврастеники.</t>
    </r>
  </si>
  <si>
    <t xml:space="preserve"> умомас ,умонйокоп ежу ,умеовс Я </t>
  </si>
  <si>
    <t>Я своему, уже покойному, самому</t>
  </si>
  <si>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</t>
    </r>
  </si>
  <si>
    <t>псу</t>
  </si>
  <si>
    <t>Борис Любимов. Три главные темы в жизни ― Церковь, литература и театр (2015)</t>
  </si>
  <si>
    <t>Борис Любимов</t>
  </si>
  <si>
    <t>Три главные темы в жизни ― Церковь, литература и театр</t>
  </si>
  <si>
    <r>
      <rPr>
        <rFont val="Calibri"/>
        <color theme="1"/>
        <sz val="11.0"/>
      </rPr>
      <t xml:space="preserve">Я своему, уже покойному, самому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 понимаешь, что я тебе говорю, в этом я абсолютно убежден, но почему ты не можешь сказать мне это по-человечески?»</t>
    </r>
  </si>
  <si>
    <t xml:space="preserve"> ен я ― кеволеч йынчипит ьнечо ен</t>
  </si>
  <si>
    <t>не очень типичный человек ― я не</t>
  </si>
  <si>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</si>
  <si>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t>технологии.</t>
  </si>
  <si>
    <r>
      <rPr>
        <rFont val="Calibri"/>
        <color theme="1"/>
        <sz val="11.0"/>
      </rPr>
      <t xml:space="preserve">Я, может быть, не очень типичный человек ― я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</si>
  <si>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t xml:space="preserve"> и ацто огодолом авип уноротс в</t>
  </si>
  <si>
    <t>йоннелболзо</t>
  </si>
  <si>
    <t>в сторону пива молодого отца и</t>
  </si>
  <si>
    <t>озлобленной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</si>
  <si>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</si>
  <si>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>С. Г. Боровиков. «В русском жанре--51» // «Волга», 2015</t>
  </si>
  <si>
    <t>С. Г. Боровиков</t>
  </si>
  <si>
    <t>«В русском жанре--51»</t>
  </si>
  <si>
    <t>искусство и культура | путешествия</t>
  </si>
  <si>
    <r>
      <rPr>
        <rFont val="Calibri"/>
        <color theme="1"/>
        <sz val="11.0"/>
      </rPr>
      <t xml:space="preserve">На пляже типы ― безучастного или активного в сторону пива молодого отца и </t>
    </r>
    <r>
      <rPr>
        <rFont val="Calibri"/>
        <b/>
        <color theme="1"/>
        <sz val="11.0"/>
      </rPr>
      <t>озлобленной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</si>
  <si>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 xml:space="preserve"> оннитси Я</t>
  </si>
  <si>
    <t>нещихсов</t>
  </si>
  <si>
    <t>Я истинно</t>
  </si>
  <si>
    <t>восхищен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</si>
  <si>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</t>
    </r>
  </si>
  <si>
    <t>С. Г. Боровиков. Контрольный в голову. Роман Арбитман. Антипутеводитель по современной литературе. 99 книг, которые не надо читать // «Волга», 2015</t>
  </si>
  <si>
    <t>Контрольный в голову. Роман Арбитман. Антипутеводитель по современной литературе. 99 книг, которые не надо читать</t>
  </si>
  <si>
    <r>
      <rPr>
        <rFont val="Calibri"/>
        <color theme="1"/>
        <sz val="11.0"/>
      </rPr>
      <t xml:space="preserve">Я истинно </t>
    </r>
    <r>
      <rPr>
        <rFont val="Calibri"/>
        <b/>
        <color theme="1"/>
        <sz val="11.0"/>
      </rPr>
      <t>восхищен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 его словам, «только двадцать книг» (неужели мало?</t>
    </r>
  </si>
  <si>
    <t>илибюЛ</t>
  </si>
  <si>
    <t>Любили</t>
  </si>
  <si>
    <r>
      <rPr>
        <rFont val="Calibri"/>
        <b/>
        <color theme="1"/>
        <sz val="11.0"/>
      </rPr>
      <t>Женьку</t>
    </r>
    <r>
      <rPr>
        <rFont val="Calibri"/>
        <color theme="1"/>
        <sz val="11.0"/>
      </rPr>
      <t xml:space="preserve"> потому, что она ни людей</t>
    </r>
  </si>
  <si>
    <t>Женьку</t>
  </si>
  <si>
    <t>А. Н. Бузулукский. Учительницы (2015) // «Волга», 2016</t>
  </si>
  <si>
    <t>Учительницы</t>
  </si>
  <si>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Женьку</t>
    </r>
    <r>
      <rPr>
        <rFont val="Calibri"/>
        <color theme="1"/>
        <sz val="11.0"/>
      </rPr>
      <t xml:space="preserve"> потому, что она ни людей, ни себя не боялась.</t>
    </r>
  </si>
  <si>
    <t xml:space="preserve"> онжом евзаР </t>
  </si>
  <si>
    <t>ясьтидытс</t>
  </si>
  <si>
    <t>Разве можно</t>
  </si>
  <si>
    <t>стыдиться</t>
  </si>
  <si>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</t>
    </r>
  </si>
  <si>
    <t>любви?!</t>
  </si>
  <si>
    <r>
      <rPr>
        <rFont val="Calibri"/>
        <color theme="1"/>
        <sz val="11.0"/>
      </rPr>
      <t xml:space="preserve">Мы много стыдились, втихомолку грезили, отдавали себя служению.  Разве можно </t>
    </r>
    <r>
      <rPr>
        <rFont val="Calibri"/>
        <b/>
        <color theme="1"/>
        <sz val="11.0"/>
      </rPr>
      <t>стыдиться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  Дети наши размышляют о семье, как мы не размышляли, размышляют о счастье в семье.</t>
    </r>
  </si>
  <si>
    <t xml:space="preserve"> и тов ацтижелен ьтажел И</t>
  </si>
  <si>
    <t>ьсюоб</t>
  </si>
  <si>
    <t>И лежать нележитца вот и</t>
  </si>
  <si>
    <t>боюсь</t>
  </si>
  <si>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</si>
  <si>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t>страм</t>
  </si>
  <si>
    <t>Валерия Макарова. Мишенька // «Волга», 2015</t>
  </si>
  <si>
    <t>Валерия Макарова</t>
  </si>
  <si>
    <t>Мишенька</t>
  </si>
  <si>
    <r>
      <rPr>
        <rFont val="Calibri"/>
        <color theme="1"/>
        <sz val="11.0"/>
      </rPr>
      <t xml:space="preserve">И лежать нележитца вот и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</si>
  <si>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t xml:space="preserve"> акьнешиМ ,йиндзоп лыб речеВ </t>
  </si>
  <si>
    <t>Вечер был поздний, Мишенька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</si>
  <si>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</si>
  <si>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r>
      <rPr>
        <rFont val="Calibri"/>
        <color theme="1"/>
        <sz val="11.0"/>
      </rPr>
      <t xml:space="preserve">Вечер был поздний, Мишенька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</si>
  <si>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ради, надо сказать, что здесь</t>
    </r>
  </si>
  <si>
    <t>И. Н. Вирабов. Андрей Вознесенский (2015)</t>
  </si>
  <si>
    <t>И. Н. Вирабов</t>
  </si>
  <si>
    <t>Андрей Вознесенский</t>
  </si>
  <si>
    <t>И. Н. Вирабов. Андрей Вознесенский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</si>
  <si>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ради, надо сказать, что здесь не только кляузничали: как раз муромский краевед Александр Анатольевич Золотарев в то время больше всех помог Вознесенскому в поисках архивных материалов о прапрадеде.</t>
    </r>
  </si>
  <si>
    <t xml:space="preserve"> уме ,илварт то гомензи ,нежревто ,ыдог</t>
  </si>
  <si>
    <t>годы, отвержен, изнемог от травли, ему</t>
  </si>
  <si>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</t>
    </r>
  </si>
  <si>
    <t>искренности,</t>
  </si>
  <si>
    <r>
      <rPr>
        <rFont val="Calibri"/>
        <color theme="1"/>
        <sz val="11.0"/>
      </rPr>
      <t xml:space="preserve">Вознесенский объяснит это так: «Он был одинок в те годы, отвержен, изнемог от травли, ему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 круга ― и все же не только это.</t>
    </r>
  </si>
  <si>
    <t xml:space="preserve"> отсорп ,моканретсаП мимас с ежу йишвижурд</t>
  </si>
  <si>
    <t>ястеялмузи</t>
  </si>
  <si>
    <t>друживший уже с самим Пастернаком, просто</t>
  </si>
  <si>
    <t>изумляется</t>
  </si>
  <si>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</si>
  <si>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t>учительнице</t>
  </si>
  <si>
    <r>
      <rPr>
        <rFont val="Calibri"/>
        <color theme="1"/>
        <sz val="11.0"/>
      </rPr>
      <t xml:space="preserve">В письмах, которые он писал еще шестиклассником родителям,  ― отцу часто приходилось участвовать в строительстве гидрообъектов по всей стране и, если мама отправлялась с ним, Андрюшу с сестрой Натальей оставляли на бабушку, Марию Андреевну,  ― так вот в этих письмах он, друживший уже с самим Пастернаком, просто </t>
    </r>
    <r>
      <rPr>
        <rFont val="Calibri"/>
        <b/>
        <color theme="1"/>
        <sz val="11.0"/>
      </rPr>
      <t>изумляется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</si>
  <si>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t xml:space="preserve"> миовс улокш в алисонирп анО« :йикснялезеБ</t>
  </si>
  <si>
    <t>Безелянский: «Она приносила в школу своим</t>
  </si>
  <si>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</t>
    </r>
  </si>
  <si>
    <t>ученикам</t>
  </si>
  <si>
    <r>
      <rPr>
        <rFont val="Calibri"/>
        <color theme="1"/>
        <sz val="11.0"/>
      </rPr>
      <t xml:space="preserve">Вот как писал об этом один из однокашников Вознесенского ― журналист, писатель Юрий Безелянский: «Она приносила в школу своим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книги, например Анну Ахматову.</t>
    </r>
  </si>
  <si>
    <t xml:space="preserve"> ьнечо ежот я и ,онченоК </t>
  </si>
  <si>
    <t>Конечно, и я тоже очень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</si>
  <si>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</si>
  <si>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t>Марину</t>
  </si>
  <si>
    <r>
      <rPr>
        <rFont val="Calibri"/>
        <color theme="1"/>
        <sz val="11.0"/>
      </rPr>
      <t xml:space="preserve">Конечно, и я тоже очень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</si>
  <si>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t xml:space="preserve"> ,рялсуГ йикилеВ адорог вецьлеширп хынмезен и</t>
  </si>
  <si>
    <t>йыннелвонходв</t>
  </si>
  <si>
    <t>и неземных пришельцев города Великий Гусляр,</t>
  </si>
  <si>
    <t>вдохновленный</t>
  </si>
  <si>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</t>
    </r>
  </si>
  <si>
    <t>знакомой</t>
  </si>
  <si>
    <r>
      <rPr>
        <rFont val="Calibri"/>
        <color theme="1"/>
        <sz val="11.0"/>
      </rPr>
      <t xml:space="preserve">В 1967 году фантаст Кир Булычев на 35 лет заводит цикл рассказов про обитателей и неземных пришельцев города Великий Гусляр, </t>
    </r>
    <r>
      <rPr>
        <rFont val="Calibri"/>
        <b/>
        <color theme="1"/>
        <sz val="11.0"/>
      </rPr>
      <t>вдохновленный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 в книгах Булычева она остается под своим именем ― Елена Сергеевна Кастельская.</t>
    </r>
  </si>
  <si>
    <t xml:space="preserve"> кат мечаз :ястеаджулбаз но отч ,ьтинсяъбо</t>
  </si>
  <si>
    <t>ясьтагротсов</t>
  </si>
  <si>
    <t>объяснить, что он заблуждается: зачем так</t>
  </si>
  <si>
    <t>восторгаться</t>
  </si>
  <si>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</si>
  <si>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t>молодым</t>
  </si>
  <si>
    <r>
      <rPr>
        <rFont val="Calibri"/>
        <color theme="1"/>
        <sz val="11.0"/>
      </rPr>
      <t xml:space="preserve">Читателю следовало объяснить, что он заблуждается: зачем так </t>
    </r>
    <r>
      <rPr>
        <rFont val="Calibri"/>
        <b/>
        <color theme="1"/>
        <sz val="11.0"/>
      </rPr>
      <t>восторгаться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</si>
  <si>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t xml:space="preserve"> ьнечо огороток …утэоп литявсоп я …еинеровтохитс</t>
  </si>
  <si>
    <t>стихотворение… я посвятил поэту… которого очень</t>
  </si>
  <si>
    <t xml:space="preserve">… </t>
  </si>
  <si>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</si>
  <si>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t>Андрею</t>
  </si>
  <si>
    <r>
      <rPr>
        <rFont val="Calibri"/>
        <color theme="1"/>
        <sz val="11.0"/>
      </rPr>
      <t xml:space="preserve">«Тонко-артистично изображая легкое смущение, он произносит: «Это стихотворение… я посвятил поэту… которого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</si>
  <si>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t xml:space="preserve"> в и алатсв ,оге алаврерп апаК</t>
  </si>
  <si>
    <t>йоннагупси</t>
  </si>
  <si>
    <t>Капа прервала его, встала и в</t>
  </si>
  <si>
    <t>испуганной</t>
  </si>
  <si>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</t>
    </r>
  </si>
  <si>
    <t>тишине</t>
  </si>
  <si>
    <r>
      <rPr>
        <rFont val="Calibri"/>
        <color theme="1"/>
        <sz val="11.0"/>
      </rPr>
      <t xml:space="preserve">Капа, тихая Капа прервала его, встала и в </t>
    </r>
    <r>
      <rPr>
        <rFont val="Calibri"/>
        <b/>
        <color theme="1"/>
        <sz val="11.0"/>
      </rPr>
      <t>испуганной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 поэзии.</t>
    </r>
  </si>
  <si>
    <t xml:space="preserve"> и юанз ошорох ьнечо Я« </t>
  </si>
  <si>
    <t>«Я очень хорошо знаю и</t>
  </si>
  <si>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</t>
    </r>
  </si>
  <si>
    <t>Инге</t>
  </si>
  <si>
    <r>
      <rPr>
        <rFont val="Calibri"/>
        <color theme="1"/>
        <sz val="11.0"/>
      </rPr>
      <t xml:space="preserve">«Я очень хорошо знаю и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 Живаго», она уникальная женщина.</t>
    </r>
  </si>
  <si>
    <t xml:space="preserve"> ьнзиж юувон утэ ьтитявсоп лишер нО</t>
  </si>
  <si>
    <t>Он решил посвятить эту новую жизнь</t>
  </si>
  <si>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</t>
    </r>
  </si>
  <si>
    <t>триатлону,</t>
  </si>
  <si>
    <t>Вячеслав Суриков. Девятый вал деловой литературы // «Эксперт», 2015</t>
  </si>
  <si>
    <t>Вячеслав Суриков</t>
  </si>
  <si>
    <t>Девятый вал деловой литературы</t>
  </si>
  <si>
    <t>бизнес, коммерция, экономика, финансы | искусство и культура</t>
  </si>
  <si>
    <r>
      <rPr>
        <rFont val="Calibri"/>
        <color theme="1"/>
        <sz val="11.0"/>
      </rPr>
      <t xml:space="preserve">Он решил посвятить эту новую жизнь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 экспериментирует в области сжатия книжной информации, тем самым фактически отрицая всю ту деятельность, которой занимался прежде.</t>
    </r>
  </si>
  <si>
    <t xml:space="preserve"> очярог ынемзи ,овтсняьп ― икпутсоп оге А</t>
  </si>
  <si>
    <t>А его поступки ― пьянство, измены горячо</t>
  </si>
  <si>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</t>
    </r>
  </si>
  <si>
    <t>жене</t>
  </si>
  <si>
    <t>Вячеслав Суриков. Живописец, исчезающий в глубине пейзажа // «Эксперт», 2015</t>
  </si>
  <si>
    <t>Живописец, исчезающий в глубине пейзажа</t>
  </si>
  <si>
    <r>
      <rPr>
        <rFont val="Calibri"/>
        <color theme="1"/>
        <sz val="11.0"/>
      </rPr>
      <t xml:space="preserve">А его поступки ― пьянство, измены горячо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 случае совмещения реальностей не произошло.</t>
    </r>
  </si>
  <si>
    <t xml:space="preserve"> ,еикря и ьтсончил юунчитамзирах юукря мидиву</t>
  </si>
  <si>
    <t>еищюагорт</t>
  </si>
  <si>
    <t>увидим яркую харизматичную личность и яркие,</t>
  </si>
  <si>
    <t>трогающие</t>
  </si>
  <si>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</si>
  <si>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t>душу</t>
  </si>
  <si>
    <t>Вячеслав Суриков, Сергей Балдин. Невидимая сторона шоу-бизнеса // «Эксперт», 2015</t>
  </si>
  <si>
    <t>Вячеслав Суриков, Сергей Балдин</t>
  </si>
  <si>
    <t>Невидимая сторона шоу-бизнеса</t>
  </si>
  <si>
    <t>бизнес, коммерция, экономика, финансы | досуг, зрелища и развлечения | искусство и культура</t>
  </si>
  <si>
    <r>
      <rPr>
        <rFont val="Calibri"/>
        <color theme="1"/>
        <sz val="11.0"/>
      </rPr>
      <t xml:space="preserve">Если мы рассмотрим все успешные проекты, то обязательно увидим яркую харизматичную личность и яркие, </t>
    </r>
    <r>
      <rPr>
        <rFont val="Calibri"/>
        <b/>
        <color theme="1"/>
        <sz val="11.0"/>
      </rPr>
      <t>трогающие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</si>
  <si>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t xml:space="preserve"> онремзерч адгесв ыМ </t>
  </si>
  <si>
    <t>Мы всегда чрезмерно</t>
  </si>
  <si>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</t>
    </r>
  </si>
  <si>
    <t>государству</t>
  </si>
  <si>
    <t>Дмитрий Глуховский, Ольга Тимофеева. 7 вопросов Дмитрию Глуховскому, писателю о метро и ядерной войне // «Русский репортер», 2015</t>
  </si>
  <si>
    <t>Дмитрий Глуховский, Ольга Тимофеева</t>
  </si>
  <si>
    <t>7 вопросов Дмитрию Глуховскому, писателю о метро и ядерной войне</t>
  </si>
  <si>
    <t>«Русский репортер»</t>
  </si>
  <si>
    <r>
      <rPr>
        <rFont val="Calibri"/>
        <color theme="1"/>
        <sz val="11.0"/>
      </rPr>
      <t xml:space="preserve">Мы всегда чрезмерно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 ― мы и не верили никогда в ее ценность ― положить за какие-то глобальные ценности.</t>
    </r>
  </si>
  <si>
    <t xml:space="preserve"> ,лавигятирп тотэ кувз ,торобоан ежад ,йищюажоргу</t>
  </si>
  <si>
    <t>лаворизитонпиг</t>
  </si>
  <si>
    <t>угрожающий, даже наоборот, звук этот притягивал,</t>
  </si>
  <si>
    <t>гипнотизировал</t>
  </si>
  <si>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</t>
    </r>
  </si>
  <si>
    <t>басовой</t>
  </si>
  <si>
    <t>Дмитрий Калмыков. Зов глубин // «Волга», 2015</t>
  </si>
  <si>
    <t>Дмитрий Калмыков</t>
  </si>
  <si>
    <t>Зов глубин</t>
  </si>
  <si>
    <r>
      <rPr>
        <rFont val="Calibri"/>
        <color theme="1"/>
        <sz val="11.0"/>
      </rPr>
      <t xml:space="preserve">Степан услышал только утробный рык, глубокий, но не угрожающий, даже наоборот, звук этот притягивал, </t>
    </r>
    <r>
      <rPr>
        <rFont val="Calibri"/>
        <b/>
        <color theme="1"/>
        <sz val="11.0"/>
      </rPr>
      <t>гипнотизировал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 неровной и еще холодной земле.</t>
    </r>
  </si>
  <si>
    <t xml:space="preserve"> ьнечо от-йокак кони йодоломен тировог ― ,веьверед</t>
  </si>
  <si>
    <t>йоннечрого</t>
  </si>
  <si>
    <t>деревьев, ― говорит немолодой инок какой-то очень</t>
  </si>
  <si>
    <t>огорченной</t>
  </si>
  <si>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</si>
  <si>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t>Дмитрий Соколов-Митрич. Лёша из Лавры // «Русский репортер», 2015</t>
  </si>
  <si>
    <t>Дмитрий Соколов-Митрич</t>
  </si>
  <si>
    <t>Лёша из Лавры</t>
  </si>
  <si>
    <t>религия</t>
  </si>
  <si>
    <r>
      <rPr>
        <rFont val="Calibri"/>
        <color theme="1"/>
        <sz val="11.0"/>
      </rPr>
      <t xml:space="preserve">― А ты вон бери пример с наших деревьев, ― говорит немолодой инок какой-то очень </t>
    </r>
    <r>
      <rPr>
        <rFont val="Calibri"/>
        <b/>
        <color theme="1"/>
        <sz val="11.0"/>
      </rPr>
      <t>огорченной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</si>
  <si>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t xml:space="preserve"> ,цясем в йелбур чясыт 06 окьлот</t>
  </si>
  <si>
    <t>только 60 тысяч рублей в месяц,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</si>
  <si>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</si>
  <si>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t>Елена Николаева. Можно ли просто так войти в консалтинг? // «Эксперт», 2015</t>
  </si>
  <si>
    <t>Елена Николаева</t>
  </si>
  <si>
    <t>Можно ли просто так войти в консалтинг?</t>
  </si>
  <si>
    <r>
      <rPr>
        <rFont val="Calibri"/>
        <color theme="1"/>
        <sz val="11.0"/>
      </rPr>
      <t xml:space="preserve">«Несколько лет я зарабатывала только 60 тысяч рублей в месяц,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</si>
  <si>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t xml:space="preserve"> оншартс адгесв Я </t>
  </si>
  <si>
    <t>Я всегда страшно</t>
  </si>
  <si>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</t>
    </r>
  </si>
  <si>
    <t>милиции</t>
  </si>
  <si>
    <t>Л. А. Китаев-Смык. «В лесу, откуда обратного пути нет, мы готовили космические полеты» (2015)</t>
  </si>
  <si>
    <t>Л. А. Китаев-Смык</t>
  </si>
  <si>
    <t>«В лесу, откуда обратного пути нет, мы готовили космические полеты»</t>
  </si>
  <si>
    <r>
      <rPr>
        <rFont val="Calibri"/>
        <color theme="1"/>
        <sz val="11.0"/>
      </rPr>
      <t xml:space="preserve">Я всегда страшно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 оговоров.</t>
    </r>
  </si>
  <si>
    <t xml:space="preserve"> ен оН </t>
  </si>
  <si>
    <t>Но не</t>
  </si>
  <si>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</t>
    </r>
  </si>
  <si>
    <t>опасности,</t>
  </si>
  <si>
    <r>
      <rPr>
        <rFont val="Calibri"/>
        <color theme="1"/>
        <sz val="11.0"/>
      </rPr>
      <t xml:space="preserve">Но не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 мамаша.</t>
    </r>
  </si>
  <si>
    <t xml:space="preserve"> ― ежкат А .)</t>
  </si>
  <si>
    <t>теударбо</t>
  </si>
  <si>
    <t>). А также ―</t>
  </si>
  <si>
    <t>обрадует</t>
  </si>
  <si>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</t>
    </r>
  </si>
  <si>
    <t>новым</t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</si>
  <si>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</si>
  <si>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</si>
  <si>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</si>
  <si>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"/>
        <color theme="1"/>
        <sz val="11.0"/>
      </rPr>
      <t xml:space="preserve">Бросит меня Анька если помрешь!» ). А также ― </t>
    </r>
    <r>
      <rPr>
        <rFont val="Calibri"/>
        <b/>
        <color theme="1"/>
        <sz val="11.0"/>
      </rPr>
      <t>обрадует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 Что это за дело было…</t>
    </r>
  </si>
  <si>
    <t xml:space="preserve"> лыб авокшеП ешьнем ен нО</t>
  </si>
  <si>
    <t>нелвиду</t>
  </si>
  <si>
    <t>Он не меньше Пешкова был</t>
  </si>
  <si>
    <t>удивлен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</si>
  <si>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</si>
  <si>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t>встрече.</t>
  </si>
  <si>
    <r>
      <rPr>
        <rFont val="Calibri"/>
        <color theme="1"/>
        <sz val="11.0"/>
      </rPr>
      <t xml:space="preserve">Он не меньше Пешкова был </t>
    </r>
    <r>
      <rPr>
        <rFont val="Calibri"/>
        <b/>
        <color theme="1"/>
        <sz val="11.0"/>
      </rPr>
      <t>удивлен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</si>
  <si>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</t>
    </r>
  </si>
  <si>
    <r>
      <rPr>
        <rFont val="Calibri"/>
        <color theme="1"/>
        <sz val="11.0"/>
      </rPr>
      <t xml:space="preserve">― Э-э-э… Коммутация проводов… э-э-э… на кроссплате… счётчики…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 Изумление, испуг окончательно сошли с лица Андрея Ивановича.</t>
    </r>
  </si>
  <si>
    <t>―</t>
  </si>
  <si>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</t>
    </r>
  </si>
  <si>
    <r>
      <rPr>
        <rFont val="Calibri"/>
        <color theme="1"/>
        <sz val="11.0"/>
      </rPr>
      <t xml:space="preserve">― Я?..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  ― А я что?!</t>
    </r>
  </si>
  <si>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</t>
    </r>
  </si>
  <si>
    <t>воспоминаниям</t>
  </si>
  <si>
    <r>
      <rPr>
        <rFont val="Calibri"/>
        <color theme="1"/>
        <sz val="11.0"/>
      </rPr>
      <t xml:space="preserve">Авиапланеры!..  ―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  И даже локоть поднес к лицу ― слезу утереть.</t>
    </r>
  </si>
  <si>
    <r>
      <rPr>
        <rFont val="Calibri"/>
        <b/>
        <color theme="1"/>
        <sz val="11.0"/>
      </rPr>
      <t>Крецу</t>
    </r>
    <r>
      <rPr>
        <rFont val="Calibri"/>
        <color theme="1"/>
        <sz val="11.0"/>
      </rPr>
      <t xml:space="preserve"> только и знал, что костылить</t>
    </r>
  </si>
  <si>
    <t>Крецу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</si>
  <si>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Крецу</t>
    </r>
    <r>
      <rPr>
        <rFont val="Calibri"/>
        <color theme="1"/>
        <sz val="11.0"/>
      </rPr>
      <t xml:space="preserve"> только и знал, что костылить, и Аурел играл как ж-па.</t>
    </r>
  </si>
  <si>
    <t xml:space="preserve"> веразаЛ ,умеом юинелвиду К</t>
  </si>
  <si>
    <t>К удивлению моему, Лазарев</t>
  </si>
  <si>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</si>
  <si>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t>покупке</t>
  </si>
  <si>
    <r>
      <rPr>
        <rFont val="Calibri"/>
        <color theme="1"/>
        <sz val="11.0"/>
      </rPr>
      <t xml:space="preserve">К удивлению моему, Лазарев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</si>
  <si>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t xml:space="preserve"> окьлотС</t>
  </si>
  <si>
    <t>йещюагуп</t>
  </si>
  <si>
    <t>Столько</t>
  </si>
  <si>
    <t>пугающей</t>
  </si>
  <si>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</si>
  <si>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t>ясности</t>
  </si>
  <si>
    <r>
      <rPr>
        <rFont val="Calibri"/>
        <color theme="1"/>
        <sz val="11.0"/>
      </rPr>
      <t xml:space="preserve">Столько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</si>
  <si>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t xml:space="preserve"> ытсиранецс ― оник »еокссур« оньловод отЭ</t>
  </si>
  <si>
    <t>ьсилялвонходв</t>
  </si>
  <si>
    <t>Это довольно «русское» кино ― сценаристы</t>
  </si>
  <si>
    <t>вдохновлялись</t>
  </si>
  <si>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</t>
    </r>
  </si>
  <si>
    <t>Чеховым</t>
  </si>
  <si>
    <t>И. В. Козлов. Вожди, художники и владельцы отелей -- кому на экране жить хорошо? // «Волга», 2015</t>
  </si>
  <si>
    <t>И. В. Козлов</t>
  </si>
  <si>
    <t>Вожди, художники и владельцы отелей -- кому на экране жить хорошо?</t>
  </si>
  <si>
    <r>
      <rPr>
        <rFont val="Calibri"/>
        <color theme="1"/>
        <sz val="11.0"/>
      </rPr>
      <t xml:space="preserve">Это довольно «русское» кино ― сценаристы </t>
    </r>
    <r>
      <rPr>
        <rFont val="Calibri"/>
        <b/>
        <color theme="1"/>
        <sz val="11.0"/>
      </rPr>
      <t>вдохновлялись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 деньги не могут не напомнить известную сцену из «Идиота», в кадре мелькнет даже иллюстрация Ильи Глазунова к «Неточке Незвановой».</t>
    </r>
  </si>
  <si>
    <t xml:space="preserve"> теялватсаз ен меирп йокат оН </t>
  </si>
  <si>
    <t>Но такой прием не заставляет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</si>
  <si>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</t>
    </r>
  </si>
  <si>
    <t>И. В. Козлов. Сказки Энского леса // «Волга», 2015</t>
  </si>
  <si>
    <t>Сказки Энского леса</t>
  </si>
  <si>
    <r>
      <rPr>
        <rFont val="Calibri"/>
        <color theme="1"/>
        <sz val="11.0"/>
      </rPr>
      <t xml:space="preserve">Но такой прием не заставляет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 в самую глубь сюжетов, а в «Страшных сказках» вот это самое остранение дает эффект удивленного наблюдателя, который добровольно отстраняется от происходящего на экране.</t>
    </r>
  </si>
  <si>
    <t xml:space="preserve"> ен ,»ястюактоф« а ,ястюурифарготоф ен едг</t>
  </si>
  <si>
    <t>где не фотографируются, а «фоткаются», не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</si>
  <si>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</t>
    </r>
  </si>
  <si>
    <t>А. Н. Котюсов. Идет беда // «Волга», 2015</t>
  </si>
  <si>
    <t>А. Н. Котюсов</t>
  </si>
  <si>
    <t>Идет беда</t>
  </si>
  <si>
    <t>искусство и кульутра</t>
  </si>
  <si>
    <r>
      <rPr>
        <rFont val="Calibri"/>
        <color theme="1"/>
        <sz val="11.0"/>
      </rPr>
      <t xml:space="preserve">Не современного новояза десятых, с его айфоно-смс-ным жаргоном, где не фотографируются, а «фоткаются», не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 «чекинятся», не живут, а… Вроде еще не появилось слово-заменитель жизни, но все впереди, невозможно остановить прогресс, вот только прогресс ли это.</t>
    </r>
  </si>
  <si>
    <t xml:space="preserve"> как ,оньлетимертс кат ен ьсилянем инзиж</t>
  </si>
  <si>
    <t>жизни менялись не так стремительно, как</t>
  </si>
  <si>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</si>
  <si>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>части</t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</si>
  <si>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</si>
  <si>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</si>
  <si>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</si>
  <si>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</si>
  <si>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</si>
  <si>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"/>
        <color theme="1"/>
        <sz val="11.0"/>
      </rPr>
      <t xml:space="preserve">И все же повседневность довольно инертна, а интимные отношения и устои семейной жизни менялись не так стремительно, 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</si>
  <si>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 xml:space="preserve"> адгесв ен ыт отч ,мот ан</t>
  </si>
  <si>
    <t>ьшеувтсвучос</t>
  </si>
  <si>
    <t>на том, что ты не всегда</t>
  </si>
  <si>
    <t>сочувствуешь</t>
  </si>
  <si>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</t>
    </r>
  </si>
  <si>
    <t>комиссарам,</t>
  </si>
  <si>
    <t>Я. С. Левченко. Вестерн в СССР // 2015</t>
  </si>
  <si>
    <t>Я. С. Левченко</t>
  </si>
  <si>
    <t>Вестерн в СССР</t>
  </si>
  <si>
    <t>культурология | наука и технологии</t>
  </si>
  <si>
    <r>
      <rPr>
        <rFont val="Calibri"/>
        <color theme="1"/>
        <sz val="11.0"/>
      </rPr>
      <t xml:space="preserve">Вот этот момент на самом деле очень интересен в фильмах Гаспарова, потому что там это один из тех случаев, когда в фильмах об установлении советской власти часто ловишь себя на том, что ты не всегда </t>
    </r>
    <r>
      <rPr>
        <rFont val="Calibri"/>
        <b/>
        <color theme="1"/>
        <sz val="11.0"/>
      </rPr>
      <t>сочувствуешь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 с идеологической точки зрения абсолютно безупречно и придраться не к чему.</t>
    </r>
  </si>
  <si>
    <t xml:space="preserve"> ен ― »ыВ« ан лавызан йетед ежад</t>
  </si>
  <si>
    <t>лепрет</t>
  </si>
  <si>
    <t>даже детей называл на «Вы» ― не</t>
  </si>
  <si>
    <t>терпел</t>
  </si>
  <si>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</si>
  <si>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t>фамильярности.</t>
  </si>
  <si>
    <t>В. В. Лопатин. Две выставки (Ю. Лаврентьев, Н. М. Гущин) // «Волга», 2015</t>
  </si>
  <si>
    <t>В. В. Лопатин</t>
  </si>
  <si>
    <t>Две выставки (Ю. Лаврентьев, Н. М. Гущин)</t>
  </si>
  <si>
    <r>
      <rPr>
        <rFont val="Calibri"/>
        <color theme="1"/>
        <sz val="11.0"/>
      </rPr>
      <t xml:space="preserve">Гущин даже детей называл на «Вы» ―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</si>
  <si>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t xml:space="preserve"> и анневтсйовс ьтсонфромопортна ― матевц мыводас ызарбо</t>
  </si>
  <si>
    <t>образы садовым цветам ― антропоморфность свойственна и</t>
  </si>
  <si>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</si>
  <si>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>Чудиным</t>
  </si>
  <si>
    <t>В. В. Лопатин. Диалоги о цвете в живописи // «Волга», 2015</t>
  </si>
  <si>
    <t>Диалоги о цвете в живописи</t>
  </si>
  <si>
    <r>
      <rPr>
        <rFont val="Calibri"/>
        <color theme="1"/>
        <sz val="11.0"/>
      </rPr>
      <t xml:space="preserve">Недоброжелатель однажды намеревался съязвить, уподобив его женские образы садовым цветам ― антропоморфность свойственна и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</si>
  <si>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 xml:space="preserve"> ястежак отч ,юитсоньлетизарыв йоперивс йокат с</t>
  </si>
  <si>
    <t>мыннелвешудо</t>
  </si>
  <si>
    <t>с такой свирепой выразительностию, что кажется</t>
  </si>
  <si>
    <t>одушевленным</t>
  </si>
  <si>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</t>
    </r>
  </si>
  <si>
    <t>лошади</t>
  </si>
  <si>
    <t>Максим Соколов. Откуда есть пошло ускорение // «Эксперт», 2015</t>
  </si>
  <si>
    <t>Откуда есть пошло ускорение</t>
  </si>
  <si>
    <t>администрация и управление</t>
  </si>
  <si>
    <r>
      <rPr>
        <rFont val="Calibri"/>
        <color theme="1"/>
        <sz val="11.0"/>
      </rPr>
      <t xml:space="preserve">Моление сердец было услышано, уже тридцать лет свежий ветер перемен воет с такой свирепой выразительностию, что кажется </t>
    </r>
    <r>
      <rPr>
        <rFont val="Calibri"/>
        <b/>
        <color theme="1"/>
        <sz val="11.0"/>
      </rPr>
      <t>одушевленным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 было только маленькое белое облачко да похороны никем не уважаемого бессмысленного старика.</t>
    </r>
  </si>
  <si>
    <t xml:space="preserve"> оннеркси и ,</t>
  </si>
  <si>
    <t>ястеажибо</t>
  </si>
  <si>
    <t>, и искренно</t>
  </si>
  <si>
    <t>обижается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</si>
  <si>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</t>
    </r>
  </si>
  <si>
    <r>
      <rPr>
        <rFont val="Calibri"/>
        <color theme="1"/>
        <sz val="11.0"/>
      </rPr>
      <t xml:space="preserve">, и искренно </t>
    </r>
    <r>
      <rPr>
        <rFont val="Calibri"/>
        <b/>
        <color theme="1"/>
        <sz val="11.0"/>
      </rPr>
      <t>обижается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 таким же благоговейным почтением, как и тридцать лет назад.</t>
    </r>
  </si>
  <si>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</t>
    </r>
  </si>
  <si>
    <t>пропылесосю?</t>
  </si>
  <si>
    <t>Марина Зосимкина. Ты проснешься. Книга первая (2015)</t>
  </si>
  <si>
    <t>Марина Зосимкина</t>
  </si>
  <si>
    <t>Ты проснешься. Книга первая</t>
  </si>
  <si>
    <t>М. Зосимкина. Ты проснешься. Монреаль: Accent Graphics Communications</t>
  </si>
  <si>
    <r>
      <rPr>
        <rFont val="Calibri"/>
        <color theme="1"/>
        <sz val="11.0"/>
      </rPr>
      <t xml:space="preserve">― Теть Кать, чего тебе поделать надо?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  Или вон керамику твою ужасную протру?</t>
    </r>
  </si>
  <si>
    <t xml:space="preserve"> оньлис алащебооп и театобар есв отч</t>
  </si>
  <si>
    <t>йоннелвиду</t>
  </si>
  <si>
    <t>что все работает и пообещала сильно</t>
  </si>
  <si>
    <t>удивленной</t>
  </si>
  <si>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</t>
    </r>
  </si>
  <si>
    <t>Лидии</t>
  </si>
  <si>
    <r>
      <rPr>
        <rFont val="Calibri"/>
        <color theme="1"/>
        <sz val="11.0"/>
      </rPr>
      <t xml:space="preserve">Делая все механически, она соединила процессоры в локальную сеть, применив простые настройки, убедилась, что все работает и пообещала сильно </t>
    </r>
    <r>
      <rPr>
        <rFont val="Calibri"/>
        <b/>
        <color theme="1"/>
        <sz val="11.0"/>
      </rPr>
      <t>удивленной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 и все довести до ума.</t>
    </r>
  </si>
  <si>
    <t>алибюл</t>
  </si>
  <si>
    <t>любила</t>
  </si>
  <si>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</t>
    </r>
  </si>
  <si>
    <t>математику,</t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</si>
  <si>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любила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 Стругацких.</t>
    </r>
  </si>
  <si>
    <t xml:space="preserve"> А</t>
  </si>
  <si>
    <t>А</t>
  </si>
  <si>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</t>
    </r>
  </si>
  <si>
    <t>Демидову</t>
  </si>
  <si>
    <r>
      <rPr>
        <rFont val="Calibri"/>
        <color theme="1"/>
        <sz val="11.0"/>
      </rPr>
      <t xml:space="preserve">А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 нырнуть в холодильник за пивком и колбаской, а может, еще и креветочек по-быстрому отварить, и к «ящику» ― тупо переключать программы.</t>
    </r>
  </si>
  <si>
    <t xml:space="preserve"> и етосарк йоксдорог йеннесев йотэ оп</t>
  </si>
  <si>
    <t>по этой весенней городской красоте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</si>
  <si>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</si>
  <si>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t>жизни.</t>
  </si>
  <si>
    <r>
      <rPr>
        <rFont val="Calibri"/>
        <color theme="1"/>
        <sz val="11.0"/>
      </rPr>
      <t xml:space="preserve">Спокойной и уверенной походкой шествовал Козелкин Борис Сергеевич по этой весенней городской красоте и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</si>
  <si>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t xml:space="preserve"> и йобос ьсяубюл ишуд то ,яатчем</t>
  </si>
  <si>
    <t>мечтая, от души любуясь собой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</si>
  <si>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</t>
    </r>
  </si>
  <si>
    <r>
      <rPr>
        <rFont val="Calibri"/>
        <color theme="1"/>
        <sz val="11.0"/>
      </rPr>
      <t xml:space="preserve">Вот таким примерно образом, то ли вспоминая, то ли мечтая, от души любуясь собой 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 стопы в сторону обшарпанного крыльца районной поликлиники, откуда ему потребно было добыть больничный лист денька на четыре, а лучше бы и на пять.</t>
    </r>
  </si>
  <si>
    <t xml:space="preserve"> и йомеаризерп ,еницидем йоннойар к еинешонто</t>
  </si>
  <si>
    <t>йомидиванен</t>
  </si>
  <si>
    <t>отношение к районной медицине, презираемой и</t>
  </si>
  <si>
    <t>ненавидимой</t>
  </si>
  <si>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</t>
    </r>
  </si>
  <si>
    <t>Козелкиным,</t>
  </si>
  <si>
    <r>
      <rPr>
        <rFont val="Calibri"/>
        <color theme="1"/>
        <sz val="11.0"/>
      </rPr>
      <t xml:space="preserve">Эта вся сцена происходила у входа в поликлинику, почти на ступенях, между растаявшей лужей и грязным кустом культурных городских насаждений, а плачущая особа, скорее всего, имела непосредственное отношение к районной медицине, презираемой и </t>
    </r>
    <r>
      <rPr>
        <rFont val="Calibri"/>
        <b/>
        <color theme="1"/>
        <sz val="11.0"/>
      </rPr>
      <t>ненавидимой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 поверх стандартно-серо-белого халата, который ей был явно не по размеру, а на голове высилась медсестринская шапочка.</t>
    </r>
  </si>
  <si>
    <t xml:space="preserve"> ,разаб йондеречо в ябес ьтунятв алиловзоп</t>
  </si>
  <si>
    <t>позволила втянуть себя в очередной базар,</t>
  </si>
  <si>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</si>
  <si>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t>Вике</t>
  </si>
  <si>
    <r>
      <rPr>
        <rFont val="Calibri"/>
        <color theme="1"/>
        <sz val="11.0"/>
      </rPr>
      <t xml:space="preserve">Катерина не позволила втянуть себя в очередной базар,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</si>
  <si>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t xml:space="preserve"> ,илатлоб ,ырегрубмаг илавеЖ</t>
  </si>
  <si>
    <t>Жевали гамбургеры, болтали,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</si>
  <si>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</si>
  <si>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А он как был, так и остался ― веселый охламон, и волосы на макушке так же несерьезно торчат, но айфон крутой и ботиночки что надо. Жевали гамбургеры, болтали,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  В семейные дебри не влезали, старательно избегая этой темы.</t>
    </r>
  </si>
  <si>
    <t xml:space="preserve"> унитаК В </t>
  </si>
  <si>
    <t>юущюудоген</t>
  </si>
  <si>
    <t>В Катину</t>
  </si>
  <si>
    <t>негодующую</t>
  </si>
  <si>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</si>
  <si>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t>спину</t>
  </si>
  <si>
    <r>
      <rPr>
        <rFont val="Calibri"/>
        <color theme="1"/>
        <sz val="11.0"/>
      </rPr>
      <t xml:space="preserve">В Катину </t>
    </r>
    <r>
      <rPr>
        <rFont val="Calibri"/>
        <b/>
        <color theme="1"/>
        <sz val="11.0"/>
      </rPr>
      <t>негодующую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</si>
  <si>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 информация о стратегии развития</t>
    </r>
  </si>
  <si>
    <t>Наум Бабаев, Татьяна Юрасова. России нужна реформа аграрного образования // «Эксперт», 2015</t>
  </si>
  <si>
    <t>Наум Бабаев, Татьяна Юрасова</t>
  </si>
  <si>
    <t>России нужна реформа аграрного образования</t>
  </si>
  <si>
    <t>образование | сельское хозяйство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</si>
  <si>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 информация о стратегии развития на вузовских сайтах просто отсутствует.</t>
    </r>
  </si>
  <si>
    <t xml:space="preserve"> умеовс К ― </t>
  </si>
  <si>
    <t>― К своему</t>
  </si>
  <si>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</t>
    </r>
  </si>
  <si>
    <t>Борису</t>
  </si>
  <si>
    <t>Л. В. Носырев. Подсолнух для «Антошки» я взял из своего детства (2015)</t>
  </si>
  <si>
    <t>Л. В. Носырев</t>
  </si>
  <si>
    <t>Подсолнух для «Антошки» я взял из своего детства</t>
  </si>
  <si>
    <t>искусство культура | частная жизнь</t>
  </si>
  <si>
    <r>
      <rPr>
        <rFont val="Calibri"/>
        <color theme="1"/>
        <sz val="11.0"/>
      </rPr>
      <t xml:space="preserve">― К своему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 зато потом сняли по его рассказам несколько фильмов.</t>
    </r>
  </si>
  <si>
    <t xml:space="preserve"> ,моволс ,ясламиназ ― ырутьлук емод моннойар ьдубин-мокак</t>
  </si>
  <si>
    <t>каком-нибудь районном доме культуры ― занимался, словом,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</si>
  <si>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</si>
  <si>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t>делом.</t>
  </si>
  <si>
    <t>М. Е. Окунь. Шахматный рассказ (2015) // «Волга», 2016</t>
  </si>
  <si>
    <t>М. Е. Окунь</t>
  </si>
  <si>
    <t>Шахматный рассказ</t>
  </si>
  <si>
    <r>
      <rPr>
        <rFont val="Calibri"/>
        <color theme="1"/>
        <sz val="11.0"/>
      </rPr>
      <t xml:space="preserve">Всю жизнь двигал облупленные шахматные фигурки в каком-нибудь районном доме культуры ― занимался, словом,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</si>
  <si>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t xml:space="preserve"> ,неджревту ынвирг яинесапс налп отч ,илищбоос</t>
  </si>
  <si>
    <t>сообщили, что план спасения гривны утвержден,</t>
  </si>
  <si>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</si>
  <si>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t>детали</t>
  </si>
  <si>
    <t>Павел Шеремет. Дожить до транша // «Огонек», 2015</t>
  </si>
  <si>
    <t>Павел Шеремет</t>
  </si>
  <si>
    <t>Дожить до транша</t>
  </si>
  <si>
    <r>
      <rPr>
        <rFont val="Calibri"/>
        <color theme="1"/>
        <sz val="11.0"/>
      </rPr>
      <t xml:space="preserve">К вечеру министр финансов и глава Нацбанка сообщили, что план спасения гривны утвержден,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</si>
  <si>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t xml:space="preserve"> инепетс йешьнем в ыцнелварпу еынтсем ьседЗ</t>
  </si>
  <si>
    <t>Здесь местные управленцы в меньшей степени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</si>
  <si>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</t>
    </r>
  </si>
  <si>
    <t>Петр Скоробогатый. Свежий взгляд на кадры // «Эксперт», 2015</t>
  </si>
  <si>
    <t>Петр Скоробогатый</t>
  </si>
  <si>
    <t>Свежий взгляд на кадры</t>
  </si>
  <si>
    <r>
      <rPr>
        <rFont val="Calibri"/>
        <color theme="1"/>
        <sz val="11.0"/>
      </rPr>
      <t xml:space="preserve">Здесь местные управленцы в меньшей степени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 воспитывают молодую смену.</t>
    </r>
  </si>
  <si>
    <t xml:space="preserve"> и умонтянопен умесв сан у яинавызяван</t>
  </si>
  <si>
    <t>умещажародуб</t>
  </si>
  <si>
    <t>навязывания у нас всему непонятному и</t>
  </si>
  <si>
    <t>будоражащему</t>
  </si>
  <si>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</t>
    </r>
  </si>
  <si>
    <t>имени</t>
  </si>
  <si>
    <t>О. Г. Рогов. Штрихи к теме. О журнале «Контрапункт» // «Волга», 2015</t>
  </si>
  <si>
    <t>О. Г. Рогов</t>
  </si>
  <si>
    <t>Штрихи к теме. О журнале «Контрапункт»</t>
  </si>
  <si>
    <t>искусство и культура | история</t>
  </si>
  <si>
    <r>
      <rPr>
        <rFont val="Calibri"/>
        <color theme="1"/>
        <sz val="11.0"/>
      </rPr>
      <t xml:space="preserve">В наше время, уйдя от жестких норм стилевого проявления концептуализма, его «табу» и тотальной серьезности, многие художники вполне отрефлексированно, и в то же время волне искренне «впадая» в стиль, являют в сфере художественного творчества аналог метакультурного, экологического сознания ― метахудожественное сознание, которое (дабы отделаться от навязывания у нас всему непонятному и </t>
    </r>
    <r>
      <rPr>
        <rFont val="Calibri"/>
        <b/>
        <color theme="1"/>
        <sz val="11.0"/>
      </rPr>
      <t>будоражащему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все-таки, что он стал некой точкой отсчета нового измерения в культурном сознании) я бы назвал концептуалитетом.</t>
    </r>
  </si>
  <si>
    <t>яслитумзов</t>
  </si>
  <si>
    <t>возмутился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</si>
  <si>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</si>
  <si>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t>Молодой.</t>
  </si>
  <si>
    <t>А. Б. Сальников. Отдел // «Волга», 2015</t>
  </si>
  <si>
    <t>Отдел</t>
  </si>
  <si>
    <r>
      <rPr>
        <rFont val="Calibri"/>
        <color theme="1"/>
        <sz val="11.0"/>
      </rPr>
      <t xml:space="preserve">― Когда тебе уже твою таратайку починят?  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Хватит тебя, может, уже катать.</t>
    </r>
  </si>
  <si>
    <t xml:space="preserve"> оляв ьрогИ </t>
  </si>
  <si>
    <t>Игорь вяло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</si>
  <si>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</t>
    </r>
  </si>
  <si>
    <r>
      <rPr>
        <rFont val="Calibri"/>
        <color theme="1"/>
        <sz val="11.0"/>
      </rPr>
      <t xml:space="preserve">Игорь вяло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 вещи, а потом удивился своему удивлению, почему, собственно, его не должно волновать, любит его сын или нет.</t>
    </r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</si>
  <si>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</si>
  <si>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А как вы не узнали друг друга?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Так, видно, когда я приходил, он в яме сидел.</t>
    </r>
  </si>
  <si>
    <t xml:space="preserve"> онтяирпен и ,улиФ к ястеащарбо сэсЭ</t>
  </si>
  <si>
    <t>Эсэс обращается к Филу, и неприятно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</si>
  <si>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</si>
  <si>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r>
      <rPr>
        <rFont val="Calibri"/>
        <color theme="1"/>
        <sz val="11.0"/>
      </rPr>
      <t xml:space="preserve">Я тебе при всех говорю, чтобы они тебе напомнили, если что, ― сказал Сергей Сергеевич; Игорь понял, что Эсэс обращается к Филу,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</si>
  <si>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t xml:space="preserve"> ен месвос ьрогИ</t>
  </si>
  <si>
    <t>ясличрого</t>
  </si>
  <si>
    <t>Игорь совсем не</t>
  </si>
  <si>
    <t>огорчился</t>
  </si>
  <si>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</t>
    </r>
  </si>
  <si>
    <r>
      <rPr>
        <rFont val="Calibri"/>
        <color theme="1"/>
        <sz val="11.0"/>
      </rPr>
      <t xml:space="preserve">Игорь совсем не </t>
    </r>
    <r>
      <rPr>
        <rFont val="Calibri"/>
        <b/>
        <color theme="1"/>
        <sz val="11.0"/>
      </rPr>
      <t>огорчился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 совершенно все равно стало, что там вообще происходит в телевизоре, телевизор стал вдруг для него как Луна, такой же светящийся в темноте бледным светом, и такая сладкая тоска взяла его за сердце, что Игорю захотелось взвыть неизвестно по какой причине.</t>
    </r>
  </si>
  <si>
    <t xml:space="preserve"> ьрогИ</t>
  </si>
  <si>
    <t>Игорь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</si>
  <si>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</t>
    </r>
  </si>
  <si>
    <r>
      <rPr>
        <rFont val="Calibri"/>
        <color theme="1"/>
        <sz val="11.0"/>
      </rPr>
      <t xml:space="preserve">Игорь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 Голливуд, при том что до этого не заикались о нем ни полслова.</t>
    </r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</si>
  <si>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</t>
    </r>
  </si>
  <si>
    <t>Молодой</t>
  </si>
  <si>
    <r>
      <rPr>
        <rFont val="Calibri"/>
        <color theme="1"/>
        <sz val="11.0"/>
      </rPr>
      <t xml:space="preserve">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 без того некрасивое лицо, ставшее еще некрасивее под воздействием алкоголя ― бледнее в тех местах, где прыщей не было и краснее в тех местах, где прыщи были.</t>
    </r>
  </si>
  <si>
    <t xml:space="preserve"> акгелс ― </t>
  </si>
  <si>
    <t>― слегка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</si>
  <si>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</si>
  <si>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Это когда он на мне всякие захваты начнет показывать?  ― слегка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Надеюсь, до этого мы разъедемся уже.</t>
    </r>
  </si>
  <si>
    <t xml:space="preserve"> лазакс ― ,угомс от-каТ ― </t>
  </si>
  <si>
    <t>йишвелесевоп</t>
  </si>
  <si>
    <t>― Так-то смогу, ― сказал</t>
  </si>
  <si>
    <t>повеселевший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</si>
  <si>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</t>
    </r>
  </si>
  <si>
    <t>Молодой,</t>
  </si>
  <si>
    <r>
      <rPr>
        <rFont val="Calibri"/>
        <color theme="1"/>
        <sz val="11.0"/>
      </rPr>
      <t xml:space="preserve">― Так-то смогу, ― сказал </t>
    </r>
    <r>
      <rPr>
        <rFont val="Calibri"/>
        <b/>
        <color theme="1"/>
        <sz val="11.0"/>
      </rPr>
      <t>повеселевший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 хватит.</t>
    </r>
  </si>
  <si>
    <t xml:space="preserve"> ,лепос кинжодух йыньловод он ,йылатсУ </t>
  </si>
  <si>
    <t>ьсяаджалсан</t>
  </si>
  <si>
    <t>Усталый, но довольный художник сопел,</t>
  </si>
  <si>
    <t>наслаждаясь</t>
  </si>
  <si>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</si>
  <si>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t>Игоревым</t>
  </si>
  <si>
    <r>
      <rPr>
        <rFont val="Calibri"/>
        <color theme="1"/>
        <sz val="11.0"/>
      </rPr>
      <t xml:space="preserve">Усталый, но довольный художник сопел, </t>
    </r>
    <r>
      <rPr>
        <rFont val="Calibri"/>
        <b/>
        <color theme="1"/>
        <sz val="11.0"/>
      </rPr>
      <t>наслаждаясь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</si>
  <si>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t xml:space="preserve"> отч аз тоВ ― </t>
  </si>
  <si>
    <t>― Вот за что</t>
  </si>
  <si>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</t>
    </r>
  </si>
  <si>
    <t>Миру,</t>
  </si>
  <si>
    <t>Сергей Кубрин. Розовый танк // «Волга», 2015</t>
  </si>
  <si>
    <t>Сергей Кубрин</t>
  </si>
  <si>
    <t>Розовый танк</t>
  </si>
  <si>
    <r>
      <rPr>
        <rFont val="Calibri"/>
        <color theme="1"/>
        <sz val="11.0"/>
      </rPr>
      <t xml:space="preserve">― Вот за что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 в нужный момент.</t>
    </r>
  </si>
  <si>
    <t xml:space="preserve"> илсЕ </t>
  </si>
  <si>
    <t>Если</t>
  </si>
  <si>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</t>
    </r>
  </si>
  <si>
    <t>оперу</t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</si>
  <si>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</si>
  <si>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</si>
  <si>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</si>
  <si>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</si>
  <si>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"/>
        <color theme="1"/>
        <sz val="11.0"/>
      </rPr>
      <t xml:space="preserve">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 этаже, специально для делегатов.</t>
    </r>
  </si>
  <si>
    <t xml:space="preserve"> илсе ,юатичорп мав я тоВ ― </t>
  </si>
  <si>
    <t>― Вот я вам прочитаю, если</t>
  </si>
  <si>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</si>
  <si>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>море</t>
  </si>
  <si>
    <t>Сергей Селеев. Говорит и показывает гараж // «Огонек», 2015</t>
  </si>
  <si>
    <t>Сергей Селеев</t>
  </si>
  <si>
    <t>Говорит и показывает гараж</t>
  </si>
  <si>
    <t>бизнес, коммерция, экономика, финансы | техника | транспорт</t>
  </si>
  <si>
    <r>
      <rPr>
        <rFont val="Calibri"/>
        <color theme="1"/>
        <sz val="11.0"/>
      </rPr>
      <t xml:space="preserve">― Вот я вам прочитаю, 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</si>
  <si>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 xml:space="preserve"> ― ,ечморг гурдв лачувзаз ароткел солог ― ,мылшорп</t>
  </si>
  <si>
    <t>алишартС</t>
  </si>
  <si>
    <t>прошлым, ― голос лектора зазвучал вдруг громче, ―</t>
  </si>
  <si>
    <t>Страшила</t>
  </si>
  <si>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</si>
  <si>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t>Станислав Секретов. «Мы в город изумрудный идем дорогой трудной...» // «Волга», 2015</t>
  </si>
  <si>
    <t>Станислав Секретов</t>
  </si>
  <si>
    <t>«Мы в город изумрудный идем дорогой трудной...»</t>
  </si>
  <si>
    <r>
      <rPr>
        <rFont val="Calibri"/>
        <color theme="1"/>
        <sz val="11.0"/>
      </rPr>
      <t xml:space="preserve">Очутившись на лекции под названием «Страна Оз и кризис современности», троица услышит: «Железный Дровосек живёт прошлым, ― голос лектора зазвучал вдруг громче, ― </t>
    </r>
    <r>
      <rPr>
        <rFont val="Calibri"/>
        <b/>
        <color theme="1"/>
        <sz val="11.0"/>
      </rPr>
      <t>Страшила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</si>
  <si>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t xml:space="preserve"> ен Я ― </t>
  </si>
  <si>
    <t>― Я не</t>
  </si>
  <si>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</si>
  <si>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t>истории</t>
  </si>
  <si>
    <t>А. М. Титов. Общежитие писателей // «Волга», 2015</t>
  </si>
  <si>
    <t>А. М. Титов</t>
  </si>
  <si>
    <t>1950</t>
  </si>
  <si>
    <t>Общежитие писателей</t>
  </si>
  <si>
    <r>
      <rPr>
        <rFont val="Calibri"/>
        <color theme="1"/>
        <sz val="11.0"/>
      </rPr>
      <t xml:space="preserve">― Я не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</si>
  <si>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t xml:space="preserve"> ,актнялукепс алыб ежот сан У</t>
  </si>
  <si>
    <t>У нас тоже была спекулянтка,</t>
  </si>
  <si>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</t>
    </r>
  </si>
  <si>
    <t>маме</t>
  </si>
  <si>
    <t>Т. Н. Толстая. Войлочный век (2015)</t>
  </si>
  <si>
    <t>Т. Н. Толстая</t>
  </si>
  <si>
    <t>Войлочный век</t>
  </si>
  <si>
    <t>Войлочный век (сборник)</t>
  </si>
  <si>
    <r>
      <rPr>
        <rFont val="Calibri"/>
        <color theme="1"/>
        <sz val="11.0"/>
      </rPr>
      <t xml:space="preserve">У нас тоже была спекулянтка,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 спекулировать нечестно.</t>
    </r>
  </si>
  <si>
    <t xml:space="preserve"> омим итйорп олган ,текап йошьлоб в</t>
  </si>
  <si>
    <t>в большой пакет, нагло пройти мимо</t>
  </si>
  <si>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</t>
    </r>
  </si>
  <si>
    <t>очереди</t>
  </si>
  <si>
    <r>
      <rPr>
        <rFont val="Calibri"/>
        <color theme="1"/>
        <sz val="11.0"/>
      </rPr>
      <t xml:space="preserve">Надо было достать банку французских духов, завернуть ее в невидный такой пакетик, пакетик в большой пакет, нагло пройти мимо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 лживым веселым голосом: «Девочки, а Наденька сегодня у себя?»</t>
    </r>
  </si>
  <si>
    <t xml:space="preserve"> отК </t>
  </si>
  <si>
    <t>теелаж</t>
  </si>
  <si>
    <t>Кто</t>
  </si>
  <si>
    <t>жалеет</t>
  </si>
  <si>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</t>
    </r>
  </si>
  <si>
    <t>чаю</t>
  </si>
  <si>
    <r>
      <rPr>
        <rFont val="Calibri"/>
        <color theme="1"/>
        <sz val="11.0"/>
      </rPr>
      <t xml:space="preserve">Четвертый год на пленке живем, прямо на снегу…  Кто </t>
    </r>
    <r>
      <rPr>
        <rFont val="Calibri"/>
        <b/>
        <color theme="1"/>
        <sz val="11.0"/>
      </rPr>
      <t>жалеет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 Бригада выглядела сытой, тепло укутанной, лица их были продуманно испачканы, рожденные на пленке младенцы выглядели одинаково, словно выданные напрокат.</t>
    </r>
  </si>
  <si>
    <t xml:space="preserve"> йотэ од мевижод от-адгок ым и</t>
  </si>
  <si>
    <t>и мы когда-то доживем до этой</t>
  </si>
  <si>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</si>
  <si>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t>стерильности</t>
  </si>
  <si>
    <t>С. И. Трунев. Конформизм и нонселекция // «Волга», 2015</t>
  </si>
  <si>
    <t>С. И. Трунев</t>
  </si>
  <si>
    <t>Конформизм и нонселекция</t>
  </si>
  <si>
    <r>
      <rPr>
        <rFont val="Calibri"/>
        <color theme="1"/>
        <sz val="11.0"/>
      </rPr>
      <t xml:space="preserve">А от страха, что и мы когда-то доживем до этой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</si>
  <si>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t xml:space="preserve"> и юущутенг в яслизургоп кимоД </t>
  </si>
  <si>
    <t>Домик погрузился в гнетущую и</t>
  </si>
  <si>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</t>
    </r>
  </si>
  <si>
    <t>тишину,</t>
  </si>
  <si>
    <t>В. А. Харченко. Сколопендра // «Волга», 2015</t>
  </si>
  <si>
    <t>Сколопендра</t>
  </si>
  <si>
    <r>
      <rPr>
        <rFont val="Calibri"/>
        <color theme="1"/>
        <sz val="11.0"/>
      </rPr>
      <t xml:space="preserve">Домик погрузился в гнетущую и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 стало казаться, что они долго не протянут, потому что в обычно жаркий и засушливый июль температура опустилась до десяти градусов.</t>
    </r>
  </si>
  <si>
    <t xml:space="preserve"> ― мат нов ,мёдИ </t>
  </si>
  <si>
    <t>Идём, вон там ―</t>
  </si>
  <si>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</si>
  <si>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t>Алёне</t>
  </si>
  <si>
    <t>Н. Б. Черных. Слабые, сильные. Часть вторая // «Волга», 2015</t>
  </si>
  <si>
    <t>Н. Б. Черных</t>
  </si>
  <si>
    <t>Слабые, сильные. Часть вторая</t>
  </si>
  <si>
    <r>
      <rPr>
        <rFont val="Calibri"/>
        <color theme="1"/>
        <sz val="11.0"/>
      </rPr>
      <t xml:space="preserve">Идём, вон там ―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</si>
  <si>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</t>
    </r>
  </si>
  <si>
    <t>Марину,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</si>
  <si>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 свою прекрасную успешную мать.</t>
    </r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</si>
  <si>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предпосылки; он явно болел пневмонией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</si>
  <si>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предпосылки; он явно болел пневмонией несколько раз.</t>
    </r>
  </si>
  <si>
    <t xml:space="preserve"> ьнечо укилоТ ― </t>
  </si>
  <si>
    <t>― Толику очень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</si>
  <si>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</t>
    </r>
  </si>
  <si>
    <r>
      <rPr>
        <rFont val="Calibri"/>
        <color theme="1"/>
        <sz val="11.0"/>
      </rPr>
      <t xml:space="preserve">Ты меня бросишь?  ― Толику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  ― Нет, я завтра, обязательно завтра приеду.</t>
    </r>
  </si>
  <si>
    <t xml:space="preserve"> ен налсуР </t>
  </si>
  <si>
    <t>Руслан не</t>
  </si>
  <si>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</t>
    </r>
  </si>
  <si>
    <t>решительности</t>
  </si>
  <si>
    <r>
      <rPr>
        <rFont val="Calibri"/>
        <color theme="1"/>
        <sz val="11.0"/>
      </rPr>
      <t xml:space="preserve">По глазам, по жестам ― решительная.  Руслан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  А Рита, судя по всему, Максу пара абсолютная.</t>
    </r>
  </si>
  <si>
    <t xml:space="preserve"> йонпазенв оВ </t>
  </si>
  <si>
    <t>йоннёлмузи</t>
  </si>
  <si>
    <t>Во внезапной</t>
  </si>
  <si>
    <t>изумлённой</t>
  </si>
  <si>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</t>
    </r>
  </si>
  <si>
    <t>паузе</t>
  </si>
  <si>
    <r>
      <rPr>
        <rFont val="Calibri"/>
        <color theme="1"/>
        <sz val="11.0"/>
      </rPr>
      <t xml:space="preserve">Во внезапной </t>
    </r>
    <r>
      <rPr>
        <rFont val="Calibri"/>
        <b/>
        <color theme="1"/>
        <sz val="11.0"/>
      </rPr>
      <t>изумлённой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 них кофе.</t>
    </r>
  </si>
  <si>
    <t xml:space="preserve"> ,енхук ан аналсуР то яслачилто енецс</t>
  </si>
  <si>
    <t>сцене отличался от Руслана на кухне,</t>
  </si>
  <si>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</si>
  <si>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t>Руслану</t>
  </si>
  <si>
    <t>Н. Б. Черных. Слабые, сильные. Часть первая // «Волга», 2015</t>
  </si>
  <si>
    <t>Слабые, сильные. Часть первая</t>
  </si>
  <si>
    <r>
      <rPr>
        <rFont val="Calibri"/>
        <color theme="1"/>
        <sz val="11.0"/>
      </rPr>
      <t xml:space="preserve">Поразительно как Руслан на сцене отличался от Руслана на кухне,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</si>
  <si>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t xml:space="preserve"> как ,кат униЗ юлбюл ен Я</t>
  </si>
  <si>
    <t>Я не люблю Зину так, как</t>
  </si>
  <si>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</si>
  <si>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t>Алёну.</t>
  </si>
  <si>
    <r>
      <rPr>
        <rFont val="Calibri"/>
        <color theme="1"/>
        <sz val="11.0"/>
      </rPr>
      <t xml:space="preserve">Я не люблю Зину так, как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</si>
  <si>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t xml:space="preserve"> ен ― отч ,скаМ ,нО </t>
  </si>
  <si>
    <t>Он, Макс, что ― не</t>
  </si>
  <si>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</si>
  <si>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t>Алину,</t>
  </si>
  <si>
    <r>
      <rPr>
        <rFont val="Calibri"/>
        <color theme="1"/>
        <sz val="11.0"/>
      </rPr>
      <t xml:space="preserve">Он, Макс, что ―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</si>
  <si>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r>
      <rPr>
        <rFont val="Calibri"/>
        <b/>
        <color theme="1"/>
        <sz val="11.0"/>
      </rPr>
      <t>Игорю</t>
    </r>
    <r>
      <rPr>
        <rFont val="Calibri"/>
        <color theme="1"/>
        <sz val="11.0"/>
      </rPr>
      <t xml:space="preserve"> ― какая разница, когда по мукам</t>
    </r>
  </si>
  <si>
    <t>Игорю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</si>
  <si>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Игорю</t>
    </r>
    <r>
      <rPr>
        <rFont val="Calibri"/>
        <color theme="1"/>
        <sz val="11.0"/>
      </rPr>
      <t xml:space="preserve"> ― какая разница, когда по мукам ходил.</t>
    </r>
  </si>
  <si>
    <t xml:space="preserve"> илетелзв как ,ледив но ,яал оге</t>
  </si>
  <si>
    <t>еыннелвиду</t>
  </si>
  <si>
    <t>его лая, он видел, как взлетели</t>
  </si>
  <si>
    <t>удивленные</t>
  </si>
  <si>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</t>
    </r>
  </si>
  <si>
    <t>брови,</t>
  </si>
  <si>
    <t>В. А. Ярмолинец. Лев в Москве // «Волга», 2015</t>
  </si>
  <si>
    <t>В. А. Ярмолинец</t>
  </si>
  <si>
    <t>Лев в Москве</t>
  </si>
  <si>
    <r>
      <rPr>
        <rFont val="Calibri"/>
        <color theme="1"/>
        <sz val="11.0"/>
      </rPr>
      <t xml:space="preserve">Сгибаясь от одолевшего его лая, он видел, как взлетели </t>
    </r>
    <r>
      <rPr>
        <rFont val="Calibri"/>
        <b/>
        <color theme="1"/>
        <sz val="11.0"/>
      </rPr>
      <t>удивленные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 кто-то говорил зло и возбужденно, кто-то даже аплодировал.</t>
    </r>
  </si>
  <si>
    <t>ясяащяоб</t>
  </si>
  <si>
    <t>боящаяся</t>
  </si>
  <si>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</t>
    </r>
  </si>
  <si>
    <t>грязи</t>
  </si>
  <si>
    <t>коллективный. «Что у них там в Грузии происходит?» // «Русский репортер», 2015</t>
  </si>
  <si>
    <t>«Что у них там в Грузии происходит?»</t>
  </si>
  <si>
    <t>блог</t>
  </si>
  <si>
    <t>администрация и управление | природа</t>
  </si>
  <si>
    <r>
      <rPr>
        <rFont val="Calibri"/>
        <color theme="1"/>
        <sz val="11.0"/>
      </rPr>
      <t xml:space="preserve">Умеющая сопереживать.  Не </t>
    </r>
    <r>
      <rPr>
        <rFont val="Calibri"/>
        <b/>
        <color theme="1"/>
        <sz val="11.0"/>
      </rPr>
      <t>боящаяся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  Молодежь, которая сама сорганизовалась и чистит свой город.</t>
    </r>
  </si>
  <si>
    <t xml:space="preserve"> тяназ ямерв есв рекипс-ецив отч ,илкывирп</t>
  </si>
  <si>
    <t>привыкли, что вице-спикер все время занят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</si>
  <si>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</t>
    </r>
  </si>
  <si>
    <t>коллективный. Неделя. Герои // «Огонек», 2015</t>
  </si>
  <si>
    <t>Неделя. Герои</t>
  </si>
  <si>
    <t>администрация и управление | досуг, зрелища и развлечения</t>
  </si>
  <si>
    <r>
      <rPr>
        <rFont val="Calibri"/>
        <color theme="1"/>
        <sz val="11.0"/>
      </rPr>
      <t xml:space="preserve">Они уже привыкли, что вице-спикер все время занят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 открытую тренировку по самбо на Кургане бессмертия, то появится в Академии единоборств имени себя, то школьникам какой-нибудь «урок мужества» преподаст.</t>
    </r>
  </si>
  <si>
    <t>« :онжолсен месвос ,ьсолагалопдерп как ,отэ ьталедс</t>
  </si>
  <si>
    <t>умомибюЛ</t>
  </si>
  <si>
    <t>сделать это, как предполагалось, совсем несложно: «</t>
  </si>
  <si>
    <t>Любимому</t>
  </si>
  <si>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</t>
    </r>
  </si>
  <si>
    <t>учителю</t>
  </si>
  <si>
    <t>коллективный. Острова утопии. Педагогическое и социальное проектирование послевоенной школы (1940--1980-е) (2015)</t>
  </si>
  <si>
    <t>Острова утопии. Педагогическое и социальное проектирование послевоенной школы (1940--1980-е)</t>
  </si>
  <si>
    <r>
      <rPr>
        <rFont val="Calibri"/>
        <color theme="1"/>
        <sz val="11.0"/>
      </rPr>
      <t>И вот уже январские передовицы «Учительской газеты» призывали учителей и директоров школ «знать сокровенные мысли, цели, стремления своих питомцев»,  ― и сделать это, как предполагалось, совсем несложно: «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 печали, поверяют свои сокровенные надежды и мечты, к нему идут они за советами.</t>
    </r>
  </si>
  <si>
    <t xml:space="preserve"> хи к вокинечу хишвелсорзвоп месип акробдоп</t>
  </si>
  <si>
    <t>подборка писем повзрослевших учеников к их</t>
  </si>
  <si>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</si>
  <si>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t>учителям.</t>
  </si>
  <si>
    <r>
      <rPr>
        <rFont val="Calibri"/>
        <color theme="1"/>
        <sz val="11.0"/>
      </rPr>
      <t xml:space="preserve">Три месяца спустя после очерков Гуревича в «Комсомольской правде» публиковалась подборка писем повзрослевших учеников к их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</si>
  <si>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t xml:space="preserve"> месв ,ондивечО </t>
  </si>
  <si>
    <t>Очевидно, всем</t>
  </si>
  <si>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</t>
    </r>
  </si>
  <si>
    <t>лицам</t>
  </si>
  <si>
    <r>
      <rPr>
        <rFont val="Calibri"/>
        <color theme="1"/>
        <sz val="11.0"/>
      </rPr>
      <t xml:space="preserve">Очевидно,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 будет принята; вопрос был лишь в том, будет ли ее реализация тотальной561.</t>
    </r>
  </si>
  <si>
    <t xml:space="preserve"> оньлетяед но ,итсоньлаицепс оп мофосолиф ичудуб</t>
  </si>
  <si>
    <t>будучи философом по специальности, он деятельно</t>
  </si>
  <si>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</t>
    </r>
  </si>
  <si>
    <t>Эвальду</t>
  </si>
  <si>
    <r>
      <rPr>
        <rFont val="Calibri"/>
        <color theme="1"/>
        <sz val="11.0"/>
      </rPr>
      <t xml:space="preserve">Зато, будучи философом по специальности, он деятельно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 и составителем достаточно «прогрессивного» публицистического сборника «С чего начинается личность» (вышедшего трехсоттысячным тиражом в «Политиздате» в 1979 и 1983 годах) 712.</t>
    </r>
  </si>
  <si>
    <t xml:space="preserve"> ыМ« :ьлибомотва ьтангу илавориналп ино огеч</t>
  </si>
  <si>
    <t>чего они планировали угнать автомобиль: «Мы</t>
  </si>
  <si>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</si>
  <si>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t>машину</t>
  </si>
  <si>
    <r>
      <rPr>
        <rFont val="Calibri"/>
        <color theme="1"/>
        <sz val="11.0"/>
      </rPr>
      <t xml:space="preserve">Так же непоследовательно действовали и участники литовской организации «Железный волк», обвинявшиеся, в числе прочего, в подготовке терактов, для чего они планировали угнать автомобиль: «Мы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</si>
  <si>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t xml:space="preserve"> онжомзовен иитапмэ зеб он ,юьтсонтсартсирпсеб йеовс</t>
  </si>
  <si>
    <t>своей беспристрастностью, но без эмпатии невозможно</t>
  </si>
  <si>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</t>
    </r>
  </si>
  <si>
    <t>живому</t>
  </si>
  <si>
    <r>
      <rPr>
        <rFont val="Calibri"/>
        <color theme="1"/>
        <sz val="11.0"/>
      </rPr>
      <t xml:space="preserve">Ибо отстраненный взгляд ценен своей беспристрастностью, но без эмпатии невозможно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 мысли (в данном случае ― педагогической).</t>
    </r>
  </si>
  <si>
    <t xml:space="preserve"> еннеркси ,оннатнопс ешилк еиксечиголоеди в ылсымс</t>
  </si>
  <si>
    <t>смыслы в идеологические клише спонтанно, искренне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</si>
  <si>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</t>
    </r>
  </si>
  <si>
    <r>
      <rPr>
        <rFont val="Calibri"/>
        <color theme="1"/>
        <sz val="11.0"/>
      </rPr>
      <t xml:space="preserve">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спонтанно, искренне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 труд моей республики» (В. Маяковский).</t>
    </r>
  </si>
  <si>
    <t xml:space="preserve"> ежот хи ахетилоп есрук 3 ан</t>
  </si>
  <si>
    <t>тюудароп</t>
  </si>
  <si>
    <t>на 3 курсе политеха их тоже</t>
  </si>
  <si>
    <t>порадуют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</si>
  <si>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</si>
  <si>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t>коллективный. Сегодня все СМИ обсуждают «отмену ЕГЭ по русскому языку в 11 классе» (2015)</t>
  </si>
  <si>
    <t>Сегодня все СМИ обсуждают «отмену ЕГЭ по русскому языку в 11 классе»</t>
  </si>
  <si>
    <t>электронная коммуникация</t>
  </si>
  <si>
    <r>
      <rPr>
        <rFont val="Calibri"/>
        <color theme="1"/>
        <sz val="11.0"/>
      </rPr>
      <t xml:space="preserve">[Лариса Дмитриева, жен]  Жду рассказов дочери: во втором семестре на 3 курсе политеха их тоже </t>
    </r>
    <r>
      <rPr>
        <rFont val="Calibri"/>
        <b/>
        <color theme="1"/>
        <sz val="11.0"/>
      </rPr>
      <t>порадуют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</si>
  <si>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t xml:space="preserve"> икшувед еыдолом ,онченоК ― </t>
  </si>
  <si>
    <t>― Конечно, молодые девушки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</si>
  <si>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</si>
  <si>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t>коллективный. Слова не выкинешь // «Русский репортер», 2015</t>
  </si>
  <si>
    <t>Слова не выкинешь</t>
  </si>
  <si>
    <t>искусство и культура | культурология</t>
  </si>
  <si>
    <r>
      <rPr>
        <rFont val="Calibri"/>
        <color theme="1"/>
        <sz val="11.0"/>
      </rPr>
      <t xml:space="preserve">― Конечно, молодые девушки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</si>
  <si>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t xml:space="preserve"> ешьлоб ынищнеж еылсорзВ </t>
  </si>
  <si>
    <t>Взрослые женщины больше</t>
  </si>
  <si>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</t>
    </r>
  </si>
  <si>
    <t>Ахматову,</t>
  </si>
  <si>
    <r>
      <rPr>
        <rFont val="Calibri"/>
        <color theme="1"/>
        <sz val="11.0"/>
      </rPr>
      <t xml:space="preserve">Взрослые женщины больше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разные, но до сих пор актуальные женские психотипы.</t>
    </r>
  </si>
  <si>
    <t>еымибюЛ</t>
  </si>
  <si>
    <t>Любимые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</si>
  <si>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</t>
    </r>
  </si>
  <si>
    <t>песни</t>
  </si>
  <si>
    <r>
      <rPr>
        <rFont val="Calibri"/>
        <color theme="1"/>
        <sz val="11.0"/>
      </rPr>
      <t xml:space="preserve">«От героев былых времен» Е. Агранович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 Пользуясь данными репрезентативного опроса Социологической службы портала Superjob. ru, «РР» выделил списки самых популярных песен отдельно среди мужчин и среди женщин.</t>
    </r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</si>
  <si>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</t>
    </r>
  </si>
  <si>
    <r>
      <rPr>
        <rFont val="Calibri"/>
        <color theme="1"/>
        <sz val="11.0"/>
      </rPr>
      <t xml:space="preserve">«Позови меня с собой» Т. Снежина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 Объединив данные по возрастным категориям репрезентативного опроса Социологической службы портала Superjob. ru, «РР» обнаружил и существенные поколенческие различия в рейтингах любимых песен.</t>
    </r>
  </si>
  <si>
    <t xml:space="preserve"> йешав зи укчортс или еинавзан ,атсйулажоп</t>
  </si>
  <si>
    <t>пожалуйста, название или строчку из вашей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</si>
  <si>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</si>
  <si>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r>
      <rPr>
        <rFont val="Calibri"/>
        <color theme="1"/>
        <sz val="11.0"/>
      </rPr>
      <t xml:space="preserve">Вопрос: «Напишите, пожалуйста, название или строчку из вашей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</si>
  <si>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t xml:space="preserve">« :аливяаз икасП нежД апедсоГ рекипС </t>
  </si>
  <si>
    <t>Спикер Госдепа Джен Псаки заявила: «</t>
  </si>
  <si>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</t>
    </r>
  </si>
  <si>
    <t>власти</t>
  </si>
  <si>
    <t>Повестка дня // «Эксперт», 2015</t>
  </si>
  <si>
    <t>Повестка дня</t>
  </si>
  <si>
    <r>
      <rPr>
        <rFont val="Calibri"/>
        <color theme="1"/>
        <sz val="11.0"/>
      </rPr>
      <t>Спикер Госдепа Джен Псаки заявила: «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 банка в Азии, мы призываем к тому, чтобы он соответствовал международным стандартам управления и прозрачности».</t>
    </r>
  </si>
  <si>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</t>
    </r>
  </si>
  <si>
    <t>коллективный. Музей занимательных наук Кварки (2014-2015)</t>
  </si>
  <si>
    <t>Музей занимательных наук Кварки</t>
  </si>
  <si>
    <t>2014-2015</t>
  </si>
  <si>
    <t>досуг, зрелища и развлечения | образование</t>
  </si>
  <si>
    <r>
      <rPr>
        <rFont val="Calibri"/>
        <color theme="1"/>
        <sz val="11.0"/>
      </rPr>
      <t xml:space="preserve">[Аня К, жен]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интересно, особенно, если послушать экскурсию.</t>
    </r>
  </si>
  <si>
    <t xml:space="preserve"> ,екызя юиначувз оп енм момоканз онтумс</t>
  </si>
  <si>
    <t>смутно знакомом мне по звучанию языке,</t>
  </si>
  <si>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</t>
    </r>
  </si>
  <si>
    <t>девушке</t>
  </si>
  <si>
    <t>Дина Рубина. Медная шкатулка (2011-2015)</t>
  </si>
  <si>
    <t>Дина Рубина</t>
  </si>
  <si>
    <t>Медная шкатулка</t>
  </si>
  <si>
    <t>2011-2015</t>
  </si>
  <si>
    <t>Д. И. Рубина. Медная шкатулка (сборник)</t>
  </si>
  <si>
    <r>
      <rPr>
        <rFont val="Calibri"/>
        <color theme="1"/>
        <sz val="11.0"/>
      </rPr>
      <t xml:space="preserve">Говорил на каком-то смутно знакомом мне по звучанию языке,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 буркал ― по-английски.</t>
    </r>
  </si>
  <si>
    <t xml:space="preserve"> в еьборгдан еонневтсбос как ее лилсымаз</t>
  </si>
  <si>
    <t>замыслил ее как собственное надгробье в</t>
  </si>
  <si>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</t>
    </r>
  </si>
  <si>
    <t>церкви</t>
  </si>
  <si>
    <r>
      <rPr>
        <rFont val="Calibri"/>
        <color theme="1"/>
        <sz val="11.0"/>
      </rPr>
      <t xml:space="preserve">Он и замыслил ее как собственное надгробье в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 и похоронят.</t>
    </r>
  </si>
  <si>
    <t>-ьтапущорп ,ьтатаксар-ьтунревзар ;»яе ирдзон в</t>
  </si>
  <si>
    <t>ясьтивидоп</t>
  </si>
  <si>
    <t>в ноздри ея»; развернуть-раскатать, прощупать-</t>
  </si>
  <si>
    <t>подивиться</t>
  </si>
  <si>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</si>
  <si>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t>золотым</t>
  </si>
  <si>
    <r>
      <rPr>
        <rFont val="Calibri"/>
        <color theme="1"/>
        <sz val="11.0"/>
      </rPr>
      <t>А я думала: вот он, мой сюжет… Мой неузнанный, неразгаданный авантюрный сюжет ― стоит раздетым на холоде, и нет никакой надежды, да и просто времени нет извлечь его из чрева жизни, растормошить, растопить, «вдохнуть дыхание в ноздри ея»; развернуть-раскатать, прощупать-</t>
    </r>
    <r>
      <rPr>
        <rFont val="Calibri"/>
        <b/>
        <color theme="1"/>
        <sz val="11.0"/>
      </rPr>
      <t>подивиться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</si>
  <si>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</t>
    </r>
  </si>
  <si>
    <t>Леньку</t>
  </si>
  <si>
    <r>
      <rPr>
        <rFont val="Calibri"/>
        <color theme="1"/>
        <sz val="11.0"/>
      </rPr>
      <t xml:space="preserve">― Ну… давай, ― согласился он.  Не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  Витражи так витражи.</t>
    </r>
  </si>
  <si>
    <t xml:space="preserve"> то ьсолатем ужум к еинешонто еом</t>
  </si>
  <si>
    <t>йоннежардзар</t>
  </si>
  <si>
    <t>мое отношение к мужу металось от</t>
  </si>
  <si>
    <t>раздраженной</t>
  </si>
  <si>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</si>
  <si>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t>неприязни</t>
  </si>
  <si>
    <r>
      <rPr>
        <rFont val="Calibri"/>
        <color theme="1"/>
        <sz val="11.0"/>
      </rPr>
      <t xml:space="preserve">Вообще тот период жизни ― довольно, впрочем, короткий, длиной в полгода (потом чиновники про нас отчитались, и мы перестали быть нужны) ― сейчас вспоминается со смутной тоской, хотя уходила я из дома на всю ночь с облегчением: мое отношение к мужу металось от </t>
    </r>
    <r>
      <rPr>
        <rFont val="Calibri"/>
        <b/>
        <color theme="1"/>
        <sz val="11.0"/>
      </rPr>
      <t>раздраженной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</si>
  <si>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t xml:space="preserve"> ,я юачевто ― ,»илуп йокстиднаб тО« </t>
  </si>
  <si>
    <t>«От бандитской пули», ― отвечаю я,</t>
  </si>
  <si>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</si>
  <si>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t>разнообразию.</t>
  </si>
  <si>
    <r>
      <rPr>
        <rFont val="Calibri"/>
        <color theme="1"/>
        <sz val="11.0"/>
      </rPr>
      <t xml:space="preserve">«От бандитской пули», ― отвечаю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</si>
  <si>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t xml:space="preserve"> ,зар йинделсоп В </t>
  </si>
  <si>
    <t>яаннешебзв</t>
  </si>
  <si>
    <t>В последний раз,</t>
  </si>
  <si>
    <t>взбешенная</t>
  </si>
  <si>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</t>
    </r>
  </si>
  <si>
    <r>
      <rPr>
        <rFont val="Calibri"/>
        <color theme="1"/>
        <sz val="11.0"/>
      </rPr>
      <t xml:space="preserve">В последний раз, </t>
    </r>
    <r>
      <rPr>
        <rFont val="Calibri"/>
        <b/>
        <color theme="1"/>
        <sz val="11.0"/>
      </rPr>
      <t>взбешенная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кофе, если клиент не заказал обеда, ― я доброжелательно спросила его, почему в здешнем меню нет блюд грузинской кухни.</t>
    </r>
  </si>
  <si>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</t>
    </r>
  </si>
  <si>
    <t>суши!</t>
  </si>
  <si>
    <t>коллективный. Суши Мин ― ТЦ Республика… когда особо нет выбора.. (2014.12.03)</t>
  </si>
  <si>
    <t>Суши Мин ― ТЦ Республика… когда особо нет выбора..</t>
  </si>
  <si>
    <t>2014.12.03</t>
  </si>
  <si>
    <r>
      <rPr>
        <rFont val="Calibri"/>
        <color theme="1"/>
        <sz val="11.0"/>
      </rPr>
      <t xml:space="preserve">[Ольга 777, жен]  Фото, да, но вкус всегда разный. [Иннушка2013, жен] 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 [Pryan_nn, жен]  VetaSvet, вот-вот) хотя место-то прибыльное) людей на Московском всегда очень много) и ничего вкусного там не открывают)</t>
    </r>
  </si>
  <si>
    <t xml:space="preserve"> я ,ывУ ]82</t>
  </si>
  <si>
    <t>28] Увы, я</t>
  </si>
  <si>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</si>
  <si>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t>суши</t>
  </si>
  <si>
    <r>
      <rPr>
        <rFont val="Calibri"/>
        <color theme="1"/>
        <sz val="11.0"/>
      </rPr>
      <t xml:space="preserve">[VetaSvet, жен] 28] Увы, я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</si>
  <si>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t xml:space="preserve"> )умалкер аз генед ешьлоб ,онневтстевтоос ,и</t>
  </si>
  <si>
    <t>и, соответственно, больше денег за рекламу)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</si>
  <si>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</t>
    </r>
  </si>
  <si>
    <t>коллективный. Нижегородка: «Из-за вранья в группе «Курицы» меня бросил жених!» (2014.07.11)</t>
  </si>
  <si>
    <t>Нижегородка: «Из-за вранья в группе «Курицы» меня бросил жених!»</t>
  </si>
  <si>
    <t>2014.07.11</t>
  </si>
  <si>
    <t>право | частная жизнь</t>
  </si>
  <si>
    <r>
      <rPr>
        <rFont val="Calibri"/>
        <color theme="1"/>
        <sz val="11.0"/>
      </rPr>
      <t xml:space="preserve">[Горожанин(3), ?]  и вести себя как потаскушка последняя] Добавляют и еще как)) Это же рекламная группа) Чем больше информации ― тем больше подписчиков и, соответственно, больше денег за рекламу)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 сожалению.</t>
    </r>
  </si>
  <si>
    <t xml:space="preserve"> алыб ,имазалг имынтсург имигортс ос анищнеж</t>
  </si>
  <si>
    <t>анелвиду</t>
  </si>
  <si>
    <t>женщина со строгими грустными глазами, была</t>
  </si>
  <si>
    <t>удивлена</t>
  </si>
  <si>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</t>
    </r>
  </si>
  <si>
    <t>гостю</t>
  </si>
  <si>
    <t>Александр Ивантер. Созидательное разрушение // «Эксперт», 2014</t>
  </si>
  <si>
    <t>Александр Ивантер</t>
  </si>
  <si>
    <t>Созидательное разрушение</t>
  </si>
  <si>
    <t>2014</t>
  </si>
  <si>
    <t>бизнес, коммерция, экономика, финансы | производство</t>
  </si>
  <si>
    <r>
      <rPr>
        <rFont val="Calibri"/>
        <color theme="1"/>
        <sz val="11.0"/>
      </rPr>
      <t xml:space="preserve">Хранительница музея Людмила Петрушкина, ветеран БАЗа, пожилая женщина со строгими грустными глазами, была </t>
    </r>
    <r>
      <rPr>
        <rFont val="Calibri"/>
        <b/>
        <color theme="1"/>
        <sz val="11.0"/>
      </rPr>
      <t>удивлена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 поведала об основных вехах истории завода: «В шестидесятые годы завод был одним из лучших в стране.</t>
    </r>
  </si>
  <si>
    <t xml:space="preserve"> ыноротс еищюувтсробовиторп хяиволсу хикат В </t>
  </si>
  <si>
    <t>В таких условиях противоборствующие стороны</t>
  </si>
  <si>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</t>
    </r>
  </si>
  <si>
    <t>главным</t>
  </si>
  <si>
    <t>Александр Макарычев. «Та страна, что могла быть раем, стала логовищем огня…» // «Наука в России», 2014</t>
  </si>
  <si>
    <t>Александр Макарычев</t>
  </si>
  <si>
    <t>«Та страна, что могла быть раем, стала логовищем огня…»</t>
  </si>
  <si>
    <t>история | наука и технологии</t>
  </si>
  <si>
    <t>«Наука в России»</t>
  </si>
  <si>
    <r>
      <rPr>
        <rFont val="Calibri"/>
        <color theme="1"/>
        <sz val="11.0"/>
      </rPr>
      <t xml:space="preserve">В таких условиях противоборствующие стороны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 активные боевые действия оказывались неэффективными.</t>
    </r>
  </si>
  <si>
    <r>
      <rPr>
        <rFont val="Calibri"/>
        <b/>
        <color theme="1"/>
        <sz val="11.0"/>
      </rPr>
      <t>параллели</t>
    </r>
    <r>
      <rPr>
        <rFont val="Calibri"/>
        <color theme="1"/>
        <sz val="11.0"/>
      </rPr>
      <t xml:space="preserve"> между ГПГ и амфимиксисом очевидны</t>
    </r>
  </si>
  <si>
    <t>параллели</t>
  </si>
  <si>
    <t>Александр Марков, Елена Наймарк. Эволюция. Классические идеи в свете новых открытий (2014)</t>
  </si>
  <si>
    <t>Александр Марков, Елена Наймарк</t>
  </si>
  <si>
    <t>Эволюция. Классические идеи в свете новых открытий</t>
  </si>
  <si>
    <t>наука и технологии: биология</t>
  </si>
  <si>
    <t>А. В. Марков, Е. Б. Наймарк. Эволюция. Классические идеи в свете новых открытий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</si>
  <si>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параллели</t>
    </r>
    <r>
      <rPr>
        <rFont val="Calibri"/>
        <color theme="1"/>
        <sz val="11.0"/>
      </rPr>
      <t xml:space="preserve"> между ГПГ и амфимиксисом очевидны, эти явления обычно считают аналогичными, но не гомологичными.</t>
    </r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</si>
  <si>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стоить заметить, что лет</t>
    </r>
  </si>
  <si>
    <t>Александр Механик. Мешает ли России ее история // «Эксперт», 2014</t>
  </si>
  <si>
    <t>Мешает ли России ее история</t>
  </si>
  <si>
    <t>администрация и управление | бизнес, коммерция, экономика, финансы | история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</si>
  <si>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стоить заметить, что лет пятьдесят назад и советский опыт многие рассматривали как пример успешной модернизации и технологического развития.</t>
    </r>
  </si>
  <si>
    <t xml:space="preserve"> ,восьлер течс аз оннеми тюавытичссар иитяирпдерп</t>
  </si>
  <si>
    <t>предприятии рассчитывают именно за счет рельсов,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</si>
  <si>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</t>
    </r>
  </si>
  <si>
    <t>Александр Попов. Кузнецкая металлургическая революция // «Эксперт», 2014</t>
  </si>
  <si>
    <t>Александр Попов</t>
  </si>
  <si>
    <t>Кузнецкая металлургическая революция</t>
  </si>
  <si>
    <t>бизнес, коммерция, экономика, финансы | металлургия | производство</t>
  </si>
  <si>
    <r>
      <rPr>
        <rFont val="Calibri"/>
        <color theme="1"/>
        <sz val="11.0"/>
      </rPr>
      <t xml:space="preserve">Выйти на 1 млн тонн проката в год на предприятии рассчитывают именно за счет рельсов,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 продукцию, в том числе строительного сортамента.</t>
    </r>
  </si>
  <si>
    <t xml:space="preserve"> ларенег амузар иктатсо аз ясйищюялпеЦ </t>
  </si>
  <si>
    <t>Цепляющийся за остатки разума генерал</t>
  </si>
  <si>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</t>
    </r>
  </si>
  <si>
    <t>отстраиванию</t>
  </si>
  <si>
    <t>Александр Снегирев. Бетон // «Новый Мир», 2014</t>
  </si>
  <si>
    <t>Бетон</t>
  </si>
  <si>
    <r>
      <rPr>
        <rFont val="Calibri"/>
        <color theme="1"/>
        <sz val="11.0"/>
      </rPr>
      <t xml:space="preserve">Цепляющийся за остатки разума генерал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 приветствовал юнцом.</t>
    </r>
  </si>
  <si>
    <t xml:space="preserve"> как ,ьсолаватсо ен огечин укищнотеб и</t>
  </si>
  <si>
    <t>и бетонщику ничего не оставалось, как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</si>
  <si>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</t>
    </r>
  </si>
  <si>
    <r>
      <rPr>
        <rFont val="Calibri"/>
        <color theme="1"/>
        <sz val="11.0"/>
      </rPr>
      <t xml:space="preserve">Все бумаги на тот момент были уже подписаны, и бетонщику ничего не оставалось, как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 вовсе ни с чем.</t>
    </r>
  </si>
  <si>
    <t xml:space="preserve"> ,йендзоп ,йонневтсниде ан яслинеж ,ялопорватС зи</t>
  </si>
  <si>
    <t>из Ставрополя, женился на единственной, поздней,</t>
  </si>
  <si>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</si>
  <si>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t>дочери</t>
  </si>
  <si>
    <t>Александр Снегирев. То самое окно // «Дружба Народов», 2014</t>
  </si>
  <si>
    <t>То самое окно</t>
  </si>
  <si>
    <t>«Дружба Народов»</t>
  </si>
  <si>
    <r>
      <rPr>
        <rFont val="Calibri"/>
        <color theme="1"/>
        <sz val="11.0"/>
      </rPr>
      <t xml:space="preserve">Ну а отец моей возлюбленной, талантливый, бойкий аспирант из Ставрополя, женился на единственной, поздней,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</si>
  <si>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t xml:space="preserve"> ен чиволйахиМ гелО :еледерп ан латобар</t>
  </si>
  <si>
    <t>работал на пределе: Олег Михайлович не</t>
  </si>
  <si>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</si>
  <si>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t>расхлябанности,</t>
  </si>
  <si>
    <t>Александра Борисова, Снежана Шабанова. Пять портретов в Главном корпусе // «За науку», 2014</t>
  </si>
  <si>
    <t>Александра Борисова, Снежана Шабанова</t>
  </si>
  <si>
    <t>Пять портретов в Главном корпусе</t>
  </si>
  <si>
    <t>история | наука и технологии | образование</t>
  </si>
  <si>
    <t>«За науку»</t>
  </si>
  <si>
    <r>
      <rPr>
        <rFont val="Calibri"/>
        <color theme="1"/>
        <sz val="11.0"/>
      </rPr>
      <t xml:space="preserve">Каждый человек работал на пределе: Олег Михайлович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</si>
  <si>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t xml:space="preserve"> и мынневтсниде и еще ястеялвя увтсьлетитсемвос</t>
  </si>
  <si>
    <t>совместительству является еще и единственным и</t>
  </si>
  <si>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</si>
  <si>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t>папиным</t>
  </si>
  <si>
    <t>Александра Маринина. Ангелы на льду не выживают. Т. 1 (2014)</t>
  </si>
  <si>
    <t>Александра Маринина</t>
  </si>
  <si>
    <t>Ангелы на льду не выживают. Т. 1</t>
  </si>
  <si>
    <t>Александра Маринина. Ангелы на льду не выживают. Т. 1</t>
  </si>
  <si>
    <r>
      <rPr>
        <rFont val="Calibri"/>
        <color theme="1"/>
        <sz val="11.0"/>
      </rPr>
      <t xml:space="preserve">Вообще-то толку от него  – как с козла молока, а если точнее  – то вред один, но никуда не денешься, есть указание владельца «Файтер-трейда», самого Орехова, натаскивать и учить эту бестолочь, которая по совместительству является еще и единственным и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</si>
  <si>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r>
      <rPr>
        <rFont val="Calibri"/>
        <b/>
        <color theme="1"/>
        <sz val="11.0"/>
      </rPr>
      <t>Химину</t>
    </r>
    <r>
      <rPr>
        <rFont val="Calibri"/>
        <color theme="1"/>
        <sz val="11.0"/>
      </rPr>
      <t xml:space="preserve"> показалось, что в глубине ее</t>
    </r>
  </si>
  <si>
    <t>Химину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</si>
  <si>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Химину</t>
    </r>
    <r>
      <rPr>
        <rFont val="Calibri"/>
        <color theme="1"/>
        <sz val="11.0"/>
      </rPr>
      <t xml:space="preserve"> показалось, что в глубине ее темно-карих глаз полыхнул злобный огонек.</t>
    </r>
  </si>
  <si>
    <t xml:space="preserve"> окьлокс и течох отч тсе ьтсуп</t>
  </si>
  <si>
    <t>пусть ест что хочет и сколько</t>
  </si>
  <si>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</t>
    </r>
  </si>
  <si>
    <t>Насте</t>
  </si>
  <si>
    <r>
      <rPr>
        <rFont val="Calibri"/>
        <color theme="1"/>
        <sz val="11.0"/>
      </rPr>
      <t xml:space="preserve">Да это-то ладно, Петруччо пусть ест что хочет и сколько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 ведь и племянник вместе с другом ест то, что ему категорически противопоказано.</t>
    </r>
  </si>
  <si>
    <t xml:space="preserve"> ее зи еонжорип :ьчолем яабюл ьсалидоГ</t>
  </si>
  <si>
    <t>Годилась любая мелочь: пирожное из ее</t>
  </si>
  <si>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</t>
    </r>
  </si>
  <si>
    <t>кондитерской,</t>
  </si>
  <si>
    <r>
      <rPr>
        <rFont val="Calibri"/>
        <color theme="1"/>
        <sz val="11.0"/>
      </rPr>
      <t xml:space="preserve">Годилась любая мелочь: пирожное из ее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 интервью и фотографией на обложке, альбом любимого певца, песнями которого Алла заслушивалась еще в юности.</t>
    </r>
  </si>
  <si>
    <t xml:space="preserve"> отк ,хет ьтакси тедуб нО </t>
  </si>
  <si>
    <t>Он будет искать тех, кто</t>
  </si>
  <si>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</si>
  <si>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t>Валеру</t>
  </si>
  <si>
    <r>
      <rPr>
        <rFont val="Calibri"/>
        <color theme="1"/>
        <sz val="11.0"/>
      </rPr>
      <t xml:space="preserve">Он будет искать тех, кто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</si>
  <si>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t xml:space="preserve">  А  –</t>
  </si>
  <si>
    <t>–  А</t>
  </si>
  <si>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</t>
    </r>
  </si>
  <si>
    <t>чаю?</t>
  </si>
  <si>
    <r>
      <rPr>
        <rFont val="Calibri"/>
        <color theme="1"/>
        <sz val="11.0"/>
      </rPr>
      <t xml:space="preserve">Антон в очередной раз обругал себя за то, что мысли его даже во время работы невольно съезжают на собственную личную жизнь. –  А 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   – внезапно предложила Валентина Яковлевна.</t>
    </r>
  </si>
  <si>
    <t xml:space="preserve"> и тор вырксар ,ее илашулс ишылам</t>
  </si>
  <si>
    <t>малыши слушали ее, раскрыв рот и</t>
  </si>
  <si>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</t>
    </r>
  </si>
  <si>
    <t>злоключениям</t>
  </si>
  <si>
    <r>
      <rPr>
        <rFont val="Calibri"/>
        <color theme="1"/>
        <sz val="11.0"/>
      </rPr>
      <t xml:space="preserve">Читала девочка в пять лет бегло и с выражением, малыши слушали ее, раскрыв рот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 в поисках Изумрудного города или Оли и Яло, попавшим в Королевство кривых зеркал.</t>
    </r>
  </si>
  <si>
    <t xml:space="preserve"> оншартС </t>
  </si>
  <si>
    <t>Страшно</t>
  </si>
  <si>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</t>
    </r>
  </si>
  <si>
    <t>беспомощности.</t>
  </si>
  <si>
    <t>Алексей Учитель. «По-настоящему я верю в любовь» // «Огонек», 2014</t>
  </si>
  <si>
    <t>Алексей Учитель</t>
  </si>
  <si>
    <t>«По-настоящему я верю в любовь»</t>
  </si>
  <si>
    <r>
      <rPr>
        <rFont val="Calibri"/>
        <color theme="1"/>
        <sz val="11.0"/>
      </rPr>
      <t xml:space="preserve">Я ведь ничего не умею, кроме как снимать кино, и боюсь, что однажды не смогу это делать.  Страшно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  Не только физической.</t>
    </r>
  </si>
  <si>
    <t xml:space="preserve"> И </t>
  </si>
  <si>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</t>
    </r>
  </si>
  <si>
    <t>Плёсу</t>
  </si>
  <si>
    <t>Алена Солнцева. Хрупкое «зеркало» // «Огонек», 2014</t>
  </si>
  <si>
    <t>Алена Солнцева</t>
  </si>
  <si>
    <t>Хрупкое «зеркало»</t>
  </si>
  <si>
    <r>
      <rPr>
        <rFont val="Calibri"/>
        <color theme="1"/>
        <sz val="11.0"/>
      </rPr>
      <t xml:space="preserve">И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 него должно быть свое будущее.</t>
    </r>
  </si>
  <si>
    <t xml:space="preserve"> а ,генед идар отсорп ен тюатобар</t>
  </si>
  <si>
    <t>работают не просто ради денег, а</t>
  </si>
  <si>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</t>
    </r>
  </si>
  <si>
    <t>самореализации</t>
  </si>
  <si>
    <t>Анастасия Матвеева. Амбициозные и бессмысленные // «Эксперт», 2014</t>
  </si>
  <si>
    <t>Анастасия Матвеева</t>
  </si>
  <si>
    <t>Амбициозные и бессмысленные</t>
  </si>
  <si>
    <r>
      <rPr>
        <rFont val="Calibri"/>
        <color theme="1"/>
        <sz val="11.0"/>
      </rPr>
      <t xml:space="preserve">Люди работают не просто ради денег, а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 проектах».</t>
    </r>
  </si>
  <si>
    <t xml:space="preserve"> как и он ,ииценеВ агарв как</t>
  </si>
  <si>
    <t>юумибюл</t>
  </si>
  <si>
    <t>как врага Венеции, но и как</t>
  </si>
  <si>
    <t>любимую</t>
  </si>
  <si>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</t>
    </r>
  </si>
  <si>
    <t>родину</t>
  </si>
  <si>
    <t>Анастасия Матвеева. Чума, архитектура и любовь // «Эксперт», 2014</t>
  </si>
  <si>
    <t>Чума, архитектура и любовь</t>
  </si>
  <si>
    <t>история | психология</t>
  </si>
  <si>
    <r>
      <rPr>
        <rFont val="Calibri"/>
        <color theme="1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</si>
  <si>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 xml:space="preserve"> ,оидаллаП йинедевзиорп и йетечем хиксьлубматс йинешер</t>
  </si>
  <si>
    <t>ясьтизароп</t>
  </si>
  <si>
    <t>решений стамбульских мечетей и произведений Палладио,</t>
  </si>
  <si>
    <t>поразиться</t>
  </si>
  <si>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</t>
    </r>
  </si>
  <si>
    <t>уровню</t>
  </si>
  <si>
    <r>
      <rPr>
        <rFont val="Calibri"/>
        <color theme="1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</si>
  <si>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 xml:space="preserve"> водорог хынчилотсен зи воротва ьтялватсдерп юущюяловзоп</t>
  </si>
  <si>
    <t>йоннавосеретниаз</t>
  </si>
  <si>
    <t>позволяющую представлять авторов из нестоличных городов</t>
  </si>
  <si>
    <t>заинтересованной</t>
  </si>
  <si>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</si>
  <si>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t>публике.</t>
  </si>
  <si>
    <t>Андрей Пермяков. Лучшие виды сквозь этот город // «Волга», 2014</t>
  </si>
  <si>
    <t>Лучшие виды сквозь этот город</t>
  </si>
  <si>
    <r>
      <rPr>
        <rFont val="Calibri"/>
        <color theme="1"/>
        <sz val="11.0"/>
      </rPr>
      <t xml:space="preserve">Тут надо благодарить и собственно Интернет, и фестивальную культуру, позволяющую представлять авторов из нестоличных городов </t>
    </r>
    <r>
      <rPr>
        <rFont val="Calibri"/>
        <b/>
        <color theme="1"/>
        <sz val="11.0"/>
      </rPr>
      <t>заинтересованной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</si>
  <si>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t xml:space="preserve"> к тарвзов автссукси яинерз икчот с</t>
  </si>
  <si>
    <t>с точки зрения искусства возврат к</t>
  </si>
  <si>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</si>
  <si>
    <t>объектам</t>
  </si>
  <si>
    <r>
      <rPr>
        <rFont val="Calibri"/>
        <color theme="1"/>
        <sz val="11.0"/>
      </rPr>
      <t xml:space="preserve">Прежде всего, так ли бесплоден с точки зрения искусства возврат к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</si>
  <si>
    <t>COUNTA из VERB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</si>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</sst>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H1000" sheet="Sheet1"/>
  </cacheSource>
  <cacheFields>
    <cacheField name="VERB" numFmtId="0">
      <sharedItems containsBlank="1">
        <s v="сопереживать"/>
        <s v="сопереживая"/>
        <s v="заинтересованным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  <s v="Порадовались"/>
        <s v="любили"/>
        <s v="обиженной"/>
        <s v="мучиться"/>
        <s v="обиженному"/>
        <s v="окрыленные"/>
        <s v="любящие"/>
        <s v="жалел"/>
        <s v="Хочешь"/>
        <s v="боялся"/>
        <s v="порадуются"/>
        <s v="заинтересовала"/>
        <s v="смущавшая"/>
        <s v="отпугивавшее"/>
        <s v="пугали"/>
        <s v="бесивший"/>
        <s v="пригорюнившимся"/>
        <s v="удивленному"/>
        <s v="гордимся"/>
        <s v="восторгавшиеся"/>
        <s v="стремились"/>
        <s v="изумленным"/>
        <s v="Любящая"/>
        <s v="хотел"/>
        <s v="Удивлены"/>
        <s v="Любимую"/>
        <s v="веселящем"/>
        <s v="сочувствует"/>
        <s v="восхищались"/>
        <s v="восхищаться"/>
        <s v="обожали"/>
        <s v="Сочувствуя"/>
        <s v="растрогавшись"/>
        <s v="ненавидела"/>
        <s v="любит"/>
        <s v="озлобленной"/>
        <s v="восхищен"/>
        <s v="стыдиться"/>
        <s v="боюсь"/>
        <s v="изумляется"/>
        <s v="вдохновленный"/>
        <s v="восторгаться"/>
        <s v="испуганной"/>
        <s v="трогающие"/>
        <s v="гипнотизировал"/>
        <s v="огорченной"/>
        <s v="обрадует"/>
        <s v="удивлен"/>
        <s v="пугающей"/>
        <s v="вдохновлялись"/>
        <s v="сочувствуешь"/>
        <s v="терпел"/>
        <s v="одушевленным"/>
        <s v="обижается"/>
        <s v="удивленной"/>
        <s v="любила"/>
        <s v="ненавидимой"/>
        <s v="негодующую"/>
        <s v="будоражащему"/>
        <s v="возмутился"/>
        <s v="огорчился"/>
        <s v="повеселевший"/>
        <s v="наслаждаясь"/>
        <s v="Страшила"/>
        <s v="жалеет"/>
        <s v="изумлённой"/>
        <s v="удивленные"/>
        <s v="боящаяся"/>
        <s v="порадуют"/>
        <s v="подивиться"/>
        <s v="раздраженной"/>
        <s v="взбешенная"/>
        <s v="удивлена"/>
        <s v="поразиться"/>
        <s v="заинтересованной"/>
        <m/>
      </sharedItems>
    </cacheField>
    <cacheField name="NOUN" numFmtId="0">
      <sharedItems containsBlank="1">
        <s v="героям"/>
        <s v="сторонам,"/>
        <s v="отсутствию"/>
        <s v="жизни,"/>
        <s v="девке"/>
        <s v="НТВ"/>
        <s v="развязности"/>
        <s v="гостям,"/>
        <s v="делу"/>
        <s v="росту"/>
        <s v="судам,"/>
        <s v="мудрости"/>
        <s v="СПС"/>
        <s v="муравью,"/>
        <s v="жизни"/>
        <s v="исполнению"/>
        <s v="ажиотажу"/>
        <s v="Галине,"/>
        <s v="слову"/>
        <s v="встрече"/>
        <s v="красоте"/>
        <s v="девчаткам,"/>
        <s v="китам,"/>
        <s v="терактам"/>
        <s v="предложению"/>
        <s v="мощи"/>
        <s v="матери"/>
        <s v="одеждам"/>
        <s v="метаморфозе,"/>
        <s v="полноте"/>
        <s v="возможности"/>
        <s v="узнаванию"/>
        <s v="приключению,"/>
        <s v="лёгкости"/>
        <s v="богатству"/>
        <s v="Тане,"/>
        <s v="состоянию"/>
        <s v="Жене"/>
        <s v="удаче."/>
        <s v="женщине"/>
        <s v="отцу"/>
        <s v="каникулам."/>
        <s v="обустройству"/>
        <s v="лопате"/>
        <s v="приобретению,"/>
        <s v="искусству"/>
        <s v="успехам"/>
        <s v="вопросу"/>
        <s v="приходу"/>
        <s v="офицерам"/>
        <s v="сыну,"/>
        <s v="ходу"/>
        <s v="случаю"/>
        <s v="освобождению"/>
        <s v="оплошке"/>
        <s v="больным"/>
        <s v="психиатру."/>
        <s v="супругам,"/>
        <s v="чудесам"/>
        <s v="окружающим,"/>
        <s v="возмездию."/>
        <s v="крепости"/>
        <s v="жителям"/>
        <s v="отпору."/>
        <s v="движению"/>
        <s v="пробуждению"/>
        <s v="Аркадию"/>
        <s v="признакам"/>
        <s v="убийцам"/>
        <s v="приказу"/>
        <s v="папе,"/>
        <s v="партизанам,"/>
        <s v="слонёнку."/>
        <s v="подлецам,"/>
        <s v="девчонке"/>
        <s v="Егору"/>
        <s v="домохозяйкам"/>
        <s v="встрече,"/>
        <s v="воле."/>
        <s v="злости,"/>
        <s v="Дмитриеву:"/>
        <s v="солнцу"/>
        <s v="Осколупову."/>
        <s v="одинаковости"/>
        <s v="прокурору"/>
        <s v="чувству"/>
        <s v="покою"/>
        <s v="детям"/>
        <s v="Шухову"/>
        <s v="занятию:"/>
        <s v="молодёжи&quot;."/>
        <s v="малому."/>
        <s v="прочности"/>
        <s v="телу"/>
        <s v="Крымову."/>
        <s v="успеху,"/>
        <s v="подаркам."/>
        <s v="теплу"/>
        <s v="избавлению"/>
        <s v="торжеству"/>
        <s v="победе,"/>
        <s v="предлогу"/>
        <s v="Ланэ"/>
        <s v="предмету."/>
        <s v="недоумению"/>
        <s v="товарищу"/>
        <s v="осведомлённости"/>
        <s v="контрамарке."/>
        <s v="перемене,"/>
        <s v="гостю,"/>
        <s v="солнышку,"/>
        <s v="мысли."/>
        <s v="крестьянам"/>
        <s v="затее"/>
        <s v="живучести"/>
        <s v="подарку"/>
        <s v="блузочкам"/>
        <s v="смерти"/>
        <s v="прислуге,"/>
        <s v="Льву"/>
        <s v="водке,"/>
        <s v="предлогу,"/>
        <s v="полиции"/>
        <s v="внукам,"/>
        <s v="премудрости:"/>
        <s v="красоте-то"/>
        <s v="смышлёности"/>
        <s v="появлению"/>
        <s v="чертам."/>
        <s v="опыту"/>
        <s v="людям,"/>
        <s v="исступлению"/>
        <s v="господину"/>
        <s v="сновидению"/>
        <s v="великости"/>
        <s v="веселью"/>
        <s v="словам"/>
        <s v="команде"/>
        <s v="песни,"/>
        <s v="справедливости"/>
        <s v="человеку,"/>
        <s v="страданиям"/>
        <s v="Германию"/>
        <s v="тому,"/>
        <s v="реакции"/>
        <s v="станции"/>
        <s v="делом"/>
        <s v="банальности"/>
        <s v="тишину."/>
        <s v="улыбчивости"/>
        <s v="Ангелину,"/>
        <s v="чумовым"/>
        <s v="экспедиции"/>
        <s v="молодой"/>
        <s v="мамаше,"/>
        <s v="теории"/>
        <s v="русским"/>
        <s v="проекту"/>
        <s v="были,"/>
        <s v="крови!"/>
        <s v="спортсмену"/>
        <s v="Валеру,"/>
        <s v="гостям"/>
        <s v="профессии,"/>
        <s v="настоящим,"/>
        <s v="оперу,"/>
        <s v="Вирджинии"/>
        <s v="цитатам"/>
        <s v="экстраполяции,"/>
        <s v="Юрку."/>
        <s v="Таратуту."/>
        <s v="Юлию"/>
        <s v="коррупции,"/>
        <s v="установке"/>
        <s v="агрессии"/>
        <s v="святому,"/>
        <s v="чаще"/>
        <s v="были"/>
        <s v="баню,"/>
        <s v="популярности,"/>
        <s v="промахам"/>
        <s v="пару"/>
        <s v="многообразию"/>
        <s v="одинокой"/>
        <s v="цветам"/>
        <s v="случайности"/>
        <s v="человеку"/>
        <s v="инвалиду"/>
        <s v="тени,"/>
        <s v="зренью"/>
        <s v="откровенности"/>
        <s v="русской"/>
        <s v="душе"/>
        <s v="Боженьке"/>
        <s v="России"/>
        <s v="декабристам,"/>
        <s v="организациям,"/>
        <s v="невостребованности,"/>
        <s v="холодной"/>
        <s v="Петрову,"/>
        <s v="Петрову"/>
        <s v="стали"/>
        <s v="Петрову),"/>
        <s v="провинциалам"/>
        <s v="взгляду"/>
        <s v="зверьку,"/>
        <s v="политической"/>
        <s v="солнцу."/>
        <s v="мелочам"/>
        <s v="Савушкину"/>
        <s v="времени"/>
        <s v="малышам."/>
        <s v="логику,"/>
        <s v="чёрным"/>
        <s v="Мише."/>
        <s v="белку"/>
        <s v="газу."/>
        <s v="мелочи"/>
        <s v="будущему"/>
        <s v="духовной"/>
        <s v="людям."/>
        <s v="делом:"/>
        <s v="воскресенью,"/>
        <s v="Толстой"/>
        <s v="чужому"/>
        <s v="Рафаэлевой"/>
        <s v="моменту,"/>
        <s v="литургии "/>
        <s v="компаниям,"/>
        <s v="Обаме,"/>
        <s v="водопроводу"/>
        <s v="вызову,"/>
        <s v="просьбе,"/>
        <s v="Ваську,"/>
        <s v="переменам."/>
        <s v="герою."/>
        <s v="побегу"/>
        <s v="Свету,"/>
        <s v="соли"/>
        <s v="псу"/>
        <s v="технологии."/>
        <s v="Женьку"/>
        <s v="любви?!"/>
        <s v="страм"/>
        <s v="искренности,"/>
        <s v="учительнице"/>
        <s v="ученикам"/>
        <s v="Марину"/>
        <s v="знакомой"/>
        <s v="молодым"/>
        <s v="Андрею"/>
        <s v="тишине"/>
        <s v="Инге"/>
        <s v="триатлону,"/>
        <s v="душу"/>
        <s v="государству"/>
        <s v="басовой"/>
        <s v="милиции"/>
        <s v="опасности,"/>
        <s v="новым"/>
        <s v="встрече."/>
        <s v="воспоминаниям"/>
        <s v="Крецу"/>
        <s v="покупке"/>
        <s v="ясности"/>
        <s v="Чеховым"/>
        <s v="части"/>
        <s v="комиссарам,"/>
        <s v="фамильярности."/>
        <s v="Чудиным"/>
        <s v="лошади"/>
        <s v="пропылесосю?"/>
        <s v="Лидии"/>
        <s v="математику,"/>
        <s v="Демидову"/>
        <s v="жизни."/>
        <s v="Козелкиным,"/>
        <s v="Вике"/>
        <s v="спину"/>
        <s v="Борису"/>
        <s v="делом."/>
        <s v="детали"/>
        <s v="имени"/>
        <s v="Молодой."/>
        <s v="Молодой,"/>
        <s v="Игоревым"/>
        <s v="Миру,"/>
        <s v="оперу"/>
        <s v="море"/>
        <s v="истории"/>
        <s v="маме"/>
        <s v="очереди"/>
        <s v="чаю"/>
        <s v="стерильности"/>
        <s v="тишину,"/>
        <s v="Алёне"/>
        <s v="Марину,"/>
        <s v="решительности"/>
        <s v="паузе"/>
        <s v="Руслану"/>
        <s v="Алёну."/>
        <s v="Алину,"/>
        <s v="Игорю"/>
        <s v="брови,"/>
        <s v="грязи"/>
        <s v="учителю"/>
        <s v="учителям."/>
        <s v="лицам"/>
        <s v="Эвальду"/>
        <s v="машину"/>
        <s v="живому"/>
        <s v="Ахматову,"/>
        <s v="песни"/>
        <s v="власти"/>
        <s v="девушке"/>
        <s v="церкви"/>
        <s v="золотым"/>
        <s v="Леньку"/>
        <s v="неприязни"/>
        <s v="разнообразию."/>
        <s v="суши!"/>
        <s v="суши"/>
        <s v="гостю"/>
        <s v="главным"/>
        <s v="параллели"/>
        <s v="отстраиванию"/>
        <s v="дочери"/>
        <s v="расхлябанности,"/>
        <s v="папиным"/>
        <s v="Химину"/>
        <s v="Насте"/>
        <s v="кондитерской,"/>
        <s v="Валеру"/>
        <s v="чаю?"/>
        <s v="злоключениям"/>
        <s v="беспомощности."/>
        <s v="Плёсу"/>
        <s v="самореализации"/>
        <s v="родину"/>
        <s v="уровню"/>
        <s v="публике."/>
        <s v="объектам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dataCaption="" compact="0" compactData="0">
  <location ref="A1:B178" firstHeaderRow="0" firstDataRow="1" firstDataCol="0"/>
  <pivotFields>
    <pivotField name="VERB" axis="axisRow" dataField="1" compact="0" outline="0" multipleItemSelectionAllowed="1" showAll="0" sortType="ascending">
      <items>
        <item x="175"/>
        <item x="115"/>
        <item x="63"/>
        <item x="95"/>
        <item x="138"/>
        <item x="109"/>
        <item x="13"/>
        <item x="36"/>
        <item x="167"/>
        <item x="158"/>
        <item x="140"/>
        <item x="149"/>
        <item x="126"/>
        <item x="171"/>
        <item x="62"/>
        <item x="159"/>
        <item x="99"/>
        <item x="80"/>
        <item x="46"/>
        <item x="119"/>
        <item x="141"/>
        <item x="128"/>
        <item x="129"/>
        <item x="136"/>
        <item x="70"/>
        <item x="71"/>
        <item x="144"/>
        <item x="118"/>
        <item x="24"/>
        <item x="74"/>
        <item x="67"/>
        <item x="34"/>
        <item x="164"/>
        <item x="107"/>
        <item x="111"/>
        <item x="97"/>
        <item x="174"/>
        <item x="2"/>
        <item x="83"/>
        <item x="165"/>
        <item x="121"/>
        <item x="139"/>
        <item x="30"/>
        <item x="20"/>
        <item x="29"/>
        <item x="73"/>
        <item x="142"/>
        <item x="94"/>
        <item x="155"/>
        <item x="101"/>
        <item x="32"/>
        <item x="93"/>
        <item x="52"/>
        <item x="125"/>
        <item x="78"/>
        <item x="65"/>
        <item x="134"/>
        <item x="98"/>
        <item x="96"/>
        <item x="122"/>
        <item x="106"/>
        <item x="41"/>
        <item x="103"/>
        <item x="92"/>
        <item x="85"/>
        <item x="162"/>
        <item x="157"/>
        <item x="133"/>
        <item x="156"/>
        <item x="79"/>
        <item x="153"/>
        <item x="39"/>
        <item x="102"/>
        <item x="104"/>
        <item x="130"/>
        <item x="35"/>
        <item x="37"/>
        <item x="23"/>
        <item x="8"/>
        <item x="146"/>
        <item x="61"/>
        <item x="145"/>
        <item x="160"/>
        <item x="54"/>
        <item x="152"/>
        <item x="135"/>
        <item x="91"/>
        <item x="105"/>
        <item x="113"/>
        <item x="25"/>
        <item x="161"/>
        <item x="38"/>
        <item x="7"/>
        <item x="68"/>
        <item x="169"/>
        <item x="17"/>
        <item x="76"/>
        <item x="100"/>
        <item x="15"/>
        <item x="168"/>
        <item x="110"/>
        <item x="18"/>
        <item x="33"/>
        <item x="173"/>
        <item x="11"/>
        <item x="116"/>
        <item x="21"/>
        <item x="40"/>
        <item x="114"/>
        <item x="148"/>
        <item x="16"/>
        <item x="82"/>
        <item x="48"/>
        <item x="27"/>
        <item x="19"/>
        <item x="44"/>
        <item x="22"/>
        <item x="10"/>
        <item x="69"/>
        <item x="57"/>
        <item x="4"/>
        <item x="58"/>
        <item x="28"/>
        <item x="170"/>
        <item x="87"/>
        <item x="132"/>
        <item x="86"/>
        <item x="84"/>
        <item x="112"/>
        <item x="0"/>
        <item x="1"/>
        <item x="47"/>
        <item x="51"/>
        <item x="50"/>
        <item x="43"/>
        <item x="6"/>
        <item x="127"/>
        <item x="150"/>
        <item x="56"/>
        <item x="90"/>
        <item x="9"/>
        <item x="131"/>
        <item x="163"/>
        <item x="120"/>
        <item x="81"/>
        <item x="137"/>
        <item x="151"/>
        <item x="89"/>
        <item x="64"/>
        <item x="88"/>
        <item x="143"/>
        <item x="60"/>
        <item x="14"/>
        <item x="3"/>
        <item x="26"/>
        <item x="12"/>
        <item x="147"/>
        <item x="172"/>
        <item x="154"/>
        <item x="117"/>
        <item x="166"/>
        <item x="53"/>
        <item x="124"/>
        <item x="75"/>
        <item x="42"/>
        <item x="45"/>
        <item x="123"/>
        <item x="55"/>
        <item x="49"/>
        <item x="72"/>
        <item x="77"/>
        <item x="66"/>
        <item x="31"/>
        <item x="5"/>
        <item x="108"/>
        <item x="59"/>
        <item t="default"/>
      </items>
    </pivotField>
    <pivotField name="NOU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t="default"/>
      </items>
    </pivotField>
  </pivotFields>
  <rowFields>
    <field x="0"/>
  </rowFields>
  <dataFields>
    <dataField name="COUNTA of VERB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2.38"/>
    <col customWidth="1" min="3" max="3" width="44.38"/>
    <col customWidth="1" min="4" max="4" width="15.5"/>
    <col customWidth="1" min="5" max="5" width="3.25"/>
    <col customWidth="1" min="6" max="6" width="44.38"/>
    <col customWidth="1" min="7" max="8" width="19.38"/>
    <col customWidth="1" min="9" max="9" width="44.38"/>
    <col customWidth="1" min="10" max="19" width="7.63"/>
    <col customWidth="1" min="20" max="20" width="16.88"/>
    <col customWidth="1" hidden="1" min="21" max="21" width="105.13"/>
    <col customWidth="1" min="22" max="22" width="25.5"/>
    <col customWidth="1" min="23" max="29" width="7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6" t="s">
        <v>7</v>
      </c>
    </row>
    <row r="2" ht="14.25" customHeight="1">
      <c r="A2" s="1" t="s">
        <v>21</v>
      </c>
      <c r="B2" s="1" t="s">
        <v>22</v>
      </c>
      <c r="C2" s="2" t="s">
        <v>23</v>
      </c>
      <c r="D2" s="7" t="s">
        <v>24</v>
      </c>
      <c r="E2" s="1" t="s">
        <v>25</v>
      </c>
      <c r="F2" s="4" t="s">
        <v>26</v>
      </c>
      <c r="G2" s="7" t="s">
        <v>24</v>
      </c>
      <c r="H2" s="7" t="s">
        <v>27</v>
      </c>
      <c r="I2" s="4" t="s">
        <v>28</v>
      </c>
      <c r="J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R2" s="1" t="s">
        <v>31</v>
      </c>
      <c r="S2" s="1" t="s">
        <v>35</v>
      </c>
      <c r="T2" s="1" t="s">
        <v>36</v>
      </c>
      <c r="U2" s="4" t="s">
        <v>37</v>
      </c>
      <c r="V2" s="4" t="str">
        <f>IFERROR(__xludf.DUMMYFUNCTION("SPLIT(F2, "" "")"),"героям")</f>
        <v>героям</v>
      </c>
      <c r="W2" s="1" t="str">
        <f>IFERROR(__xludf.DUMMYFUNCTION("""COMPUTED_VALUE"""),"как")</f>
        <v>как</v>
      </c>
      <c r="X2" s="1" t="str">
        <f>IFERROR(__xludf.DUMMYFUNCTION("""COMPUTED_VALUE"""),"своим")</f>
        <v>своим</v>
      </c>
      <c r="Y2" s="1" t="str">
        <f>IFERROR(__xludf.DUMMYFUNCTION("""COMPUTED_VALUE"""),"близким")</f>
        <v>близким</v>
      </c>
      <c r="Z2" s="1" t="str">
        <f>IFERROR(__xludf.DUMMYFUNCTION("""COMPUTED_VALUE"""),"или")</f>
        <v>или</v>
      </c>
      <c r="AA2" s="1" t="str">
        <f>IFERROR(__xludf.DUMMYFUNCTION("""COMPUTED_VALUE"""),"родным")</f>
        <v>родным</v>
      </c>
    </row>
    <row r="3" ht="14.25" customHeight="1">
      <c r="A3" s="1" t="s">
        <v>38</v>
      </c>
      <c r="B3" s="1" t="s">
        <v>39</v>
      </c>
      <c r="C3" s="2" t="s">
        <v>40</v>
      </c>
      <c r="D3" s="7" t="s">
        <v>41</v>
      </c>
      <c r="E3" s="1" t="s">
        <v>25</v>
      </c>
      <c r="F3" s="4" t="s">
        <v>42</v>
      </c>
      <c r="G3" s="7" t="s">
        <v>41</v>
      </c>
      <c r="H3" s="7" t="s">
        <v>27</v>
      </c>
      <c r="I3" s="4" t="s">
        <v>28</v>
      </c>
      <c r="J3" s="1" t="s">
        <v>29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R3" s="1" t="s">
        <v>31</v>
      </c>
      <c r="S3" s="1" t="s">
        <v>35</v>
      </c>
      <c r="T3" s="1" t="s">
        <v>36</v>
      </c>
      <c r="U3" s="4" t="s">
        <v>43</v>
      </c>
      <c r="V3" s="4" t="str">
        <f>IFERROR(__xludf.DUMMYFUNCTION("SPLIT(F3, "" "")"),"героям")</f>
        <v>героям</v>
      </c>
      <c r="W3" s="1" t="str">
        <f>IFERROR(__xludf.DUMMYFUNCTION("""COMPUTED_VALUE"""),"и")</f>
        <v>и</v>
      </c>
      <c r="X3" s="1" t="str">
        <f>IFERROR(__xludf.DUMMYFUNCTION("""COMPUTED_VALUE"""),"заново")</f>
        <v>заново</v>
      </c>
      <c r="Y3" s="1" t="str">
        <f>IFERROR(__xludf.DUMMYFUNCTION("""COMPUTED_VALUE"""),"участвуя")</f>
        <v>участвуя</v>
      </c>
      <c r="Z3" s="1" t="str">
        <f>IFERROR(__xludf.DUMMYFUNCTION("""COMPUTED_VALUE"""),"в")</f>
        <v>в</v>
      </c>
      <c r="AA3" s="1" t="str">
        <f>IFERROR(__xludf.DUMMYFUNCTION("""COMPUTED_VALUE"""),"событиях!")</f>
        <v>событиях!</v>
      </c>
    </row>
    <row r="4" ht="14.25" customHeight="1">
      <c r="A4" s="1" t="s">
        <v>44</v>
      </c>
      <c r="B4" s="1" t="s">
        <v>39</v>
      </c>
      <c r="C4" s="2" t="s">
        <v>45</v>
      </c>
      <c r="D4" s="7" t="s">
        <v>41</v>
      </c>
      <c r="E4" s="1" t="s">
        <v>25</v>
      </c>
      <c r="F4" s="4" t="s">
        <v>46</v>
      </c>
      <c r="G4" s="7" t="s">
        <v>41</v>
      </c>
      <c r="H4" s="7" t="s">
        <v>27</v>
      </c>
      <c r="I4" s="4" t="s">
        <v>47</v>
      </c>
      <c r="J4" s="1" t="s">
        <v>48</v>
      </c>
      <c r="L4" s="1" t="s">
        <v>49</v>
      </c>
      <c r="M4" s="1" t="s">
        <v>50</v>
      </c>
      <c r="N4" s="1" t="s">
        <v>51</v>
      </c>
      <c r="O4" s="1" t="s">
        <v>52</v>
      </c>
      <c r="P4" s="1" t="s">
        <v>53</v>
      </c>
      <c r="Q4" s="1" t="s">
        <v>54</v>
      </c>
      <c r="R4" s="1" t="s">
        <v>55</v>
      </c>
      <c r="S4" s="1" t="s">
        <v>56</v>
      </c>
      <c r="T4" s="1" t="s">
        <v>36</v>
      </c>
      <c r="U4" s="4" t="s">
        <v>57</v>
      </c>
      <c r="V4" s="4" t="str">
        <f>IFERROR(__xludf.DUMMYFUNCTION("SPLIT(F4, "" "")"),"героям")</f>
        <v>героям</v>
      </c>
      <c r="W4" s="1" t="str">
        <f>IFERROR(__xludf.DUMMYFUNCTION("""COMPUTED_VALUE"""),"в")</f>
        <v>в</v>
      </c>
      <c r="X4" s="1" t="str">
        <f>IFERROR(__xludf.DUMMYFUNCTION("""COMPUTED_VALUE"""),"минуты")</f>
        <v>минуты</v>
      </c>
      <c r="Y4" s="1" t="str">
        <f>IFERROR(__xludf.DUMMYFUNCTION("""COMPUTED_VALUE"""),"эмоционального")</f>
        <v>эмоционального</v>
      </c>
      <c r="Z4" s="1" t="str">
        <f>IFERROR(__xludf.DUMMYFUNCTION("""COMPUTED_VALUE"""),"подъёма.")</f>
        <v>подъёма.</v>
      </c>
    </row>
    <row r="5" ht="14.25" customHeight="1">
      <c r="A5" s="1" t="s">
        <v>58</v>
      </c>
      <c r="B5" s="1" t="s">
        <v>59</v>
      </c>
      <c r="C5" s="2" t="s">
        <v>60</v>
      </c>
      <c r="D5" s="7" t="s">
        <v>61</v>
      </c>
      <c r="E5" s="1" t="s">
        <v>25</v>
      </c>
      <c r="F5" s="4" t="s">
        <v>62</v>
      </c>
      <c r="G5" s="7" t="s">
        <v>61</v>
      </c>
      <c r="H5" s="7" t="s">
        <v>63</v>
      </c>
      <c r="I5" s="4" t="s">
        <v>64</v>
      </c>
      <c r="J5" s="1" t="s">
        <v>65</v>
      </c>
      <c r="L5" s="1" t="s">
        <v>66</v>
      </c>
      <c r="M5" s="1" t="s">
        <v>50</v>
      </c>
      <c r="N5" s="1" t="s">
        <v>51</v>
      </c>
      <c r="O5" s="1" t="s">
        <v>67</v>
      </c>
      <c r="P5" s="1" t="s">
        <v>68</v>
      </c>
      <c r="Q5" s="1" t="s">
        <v>69</v>
      </c>
      <c r="R5" s="1" t="s">
        <v>50</v>
      </c>
      <c r="S5" s="1" t="s">
        <v>70</v>
      </c>
      <c r="T5" s="1" t="s">
        <v>36</v>
      </c>
      <c r="U5" s="4" t="s">
        <v>71</v>
      </c>
      <c r="V5" s="4" t="str">
        <f>IFERROR(__xludf.DUMMYFUNCTION("SPLIT(F5, "" "")"),"сторонам,")</f>
        <v>сторонам,</v>
      </c>
      <c r="W5" s="1" t="str">
        <f>IFERROR(__xludf.DUMMYFUNCTION("""COMPUTED_VALUE"""),"и")</f>
        <v>и</v>
      </c>
      <c r="X5" s="1" t="str">
        <f>IFERROR(__xludf.DUMMYFUNCTION("""COMPUTED_VALUE"""),"для")</f>
        <v>для</v>
      </c>
      <c r="Y5" s="1" t="str">
        <f>IFERROR(__xludf.DUMMYFUNCTION("""COMPUTED_VALUE"""),"железной")</f>
        <v>железной</v>
      </c>
      <c r="Z5" s="1" t="str">
        <f>IFERROR(__xludf.DUMMYFUNCTION("""COMPUTED_VALUE"""),"дороги")</f>
        <v>дороги</v>
      </c>
      <c r="AA5" s="1" t="str">
        <f>IFERROR(__xludf.DUMMYFUNCTION("""COMPUTED_VALUE"""),"основной")</f>
        <v>основной</v>
      </c>
    </row>
    <row r="6" ht="14.25" customHeight="1">
      <c r="A6" s="1" t="s">
        <v>72</v>
      </c>
      <c r="B6" s="1" t="s">
        <v>73</v>
      </c>
      <c r="C6" s="2" t="s">
        <v>74</v>
      </c>
      <c r="D6" s="7" t="s">
        <v>75</v>
      </c>
      <c r="E6" s="1" t="s">
        <v>25</v>
      </c>
      <c r="F6" s="4" t="s">
        <v>76</v>
      </c>
      <c r="G6" s="7" t="s">
        <v>75</v>
      </c>
      <c r="H6" s="7" t="s">
        <v>77</v>
      </c>
      <c r="I6" s="4" t="s">
        <v>78</v>
      </c>
      <c r="L6" s="1" t="s">
        <v>79</v>
      </c>
      <c r="M6" s="1" t="s">
        <v>50</v>
      </c>
      <c r="N6" s="1" t="s">
        <v>32</v>
      </c>
      <c r="O6" s="1" t="s">
        <v>80</v>
      </c>
      <c r="P6" s="1" t="s">
        <v>81</v>
      </c>
      <c r="R6" s="1" t="s">
        <v>50</v>
      </c>
      <c r="S6" s="1" t="s">
        <v>35</v>
      </c>
      <c r="T6" s="1" t="s">
        <v>36</v>
      </c>
      <c r="U6" s="4" t="s">
        <v>82</v>
      </c>
      <c r="V6" s="4" t="str">
        <f>IFERROR(__xludf.DUMMYFUNCTION("SPLIT(F6, "" "")"),"отсутствию")</f>
        <v>отсутствию</v>
      </c>
      <c r="W6" s="1" t="str">
        <f>IFERROR(__xludf.DUMMYFUNCTION("""COMPUTED_VALUE"""),"сына")</f>
        <v>сына</v>
      </c>
      <c r="X6" s="1" t="str">
        <f>IFERROR(__xludf.DUMMYFUNCTION("""COMPUTED_VALUE"""),"в")</f>
        <v>в</v>
      </c>
      <c r="Y6" s="1" t="str">
        <f>IFERROR(__xludf.DUMMYFUNCTION("""COMPUTED_VALUE"""),"списках")</f>
        <v>списках</v>
      </c>
      <c r="Z6" s="1" t="str">
        <f>IFERROR(__xludf.DUMMYFUNCTION("""COMPUTED_VALUE"""),"и")</f>
        <v>и</v>
      </c>
      <c r="AA6" s="1" t="str">
        <f>IFERROR(__xludf.DUMMYFUNCTION("""COMPUTED_VALUE"""),"высказали")</f>
        <v>высказали</v>
      </c>
    </row>
    <row r="7" ht="14.25" customHeight="1">
      <c r="A7" s="1" t="s">
        <v>25</v>
      </c>
      <c r="B7" s="1" t="s">
        <v>83</v>
      </c>
      <c r="C7" s="2"/>
      <c r="D7" s="7" t="s">
        <v>84</v>
      </c>
      <c r="E7" s="1" t="s">
        <v>25</v>
      </c>
      <c r="F7" s="4" t="s">
        <v>85</v>
      </c>
      <c r="G7" s="7" t="s">
        <v>84</v>
      </c>
      <c r="H7" s="7" t="s">
        <v>86</v>
      </c>
      <c r="I7" s="4" t="s">
        <v>87</v>
      </c>
      <c r="L7" s="1" t="s">
        <v>88</v>
      </c>
      <c r="M7" s="1" t="s">
        <v>50</v>
      </c>
      <c r="N7" s="1" t="s">
        <v>89</v>
      </c>
      <c r="O7" s="1" t="s">
        <v>52</v>
      </c>
      <c r="P7" s="1" t="s">
        <v>90</v>
      </c>
      <c r="Q7" s="1" t="s">
        <v>91</v>
      </c>
      <c r="R7" s="1" t="s">
        <v>50</v>
      </c>
      <c r="S7" s="1" t="s">
        <v>70</v>
      </c>
      <c r="T7" s="1" t="s">
        <v>36</v>
      </c>
      <c r="U7" s="4" t="s">
        <v>92</v>
      </c>
      <c r="V7" s="4" t="str">
        <f>IFERROR(__xludf.DUMMYFUNCTION("SPLIT(F7, "" "")"),"жизни,")</f>
        <v>жизни,</v>
      </c>
      <c r="W7" s="1" t="str">
        <f>IFERROR(__xludf.DUMMYFUNCTION("""COMPUTED_VALUE"""),"улыбайся")</f>
        <v>улыбайся</v>
      </c>
      <c r="X7" s="1" t="str">
        <f>IFERROR(__xludf.DUMMYFUNCTION("""COMPUTED_VALUE"""),"и")</f>
        <v>и</v>
      </c>
      <c r="Y7" s="1" t="str">
        <f>IFERROR(__xludf.DUMMYFUNCTION("""COMPUTED_VALUE"""),"влюбляйся")</f>
        <v>влюбляйся</v>
      </c>
      <c r="Z7" s="1" t="str">
        <f>IFERROR(__xludf.DUMMYFUNCTION("""COMPUTED_VALUE"""),"―")</f>
        <v>―</v>
      </c>
      <c r="AA7" s="1" t="str">
        <f>IFERROR(__xludf.DUMMYFUNCTION("""COMPUTED_VALUE"""),"весенняя")</f>
        <v>весенняя</v>
      </c>
      <c r="AB7" s="1" t="str">
        <f>IFERROR(__xludf.DUMMYFUNCTION("""COMPUTED_VALUE"""),"пора")</f>
        <v>пора</v>
      </c>
    </row>
    <row r="8" ht="14.25" customHeight="1">
      <c r="A8" s="1" t="s">
        <v>93</v>
      </c>
      <c r="B8" s="1" t="s">
        <v>94</v>
      </c>
      <c r="C8" s="2" t="s">
        <v>95</v>
      </c>
      <c r="D8" s="7" t="s">
        <v>96</v>
      </c>
      <c r="E8" s="1" t="s">
        <v>97</v>
      </c>
      <c r="F8" s="4" t="s">
        <v>98</v>
      </c>
      <c r="G8" s="7" t="s">
        <v>96</v>
      </c>
      <c r="H8" s="7" t="s">
        <v>99</v>
      </c>
      <c r="I8" s="4" t="s">
        <v>100</v>
      </c>
      <c r="L8" s="1" t="s">
        <v>101</v>
      </c>
      <c r="M8" s="1" t="s">
        <v>50</v>
      </c>
      <c r="N8" s="1" t="s">
        <v>51</v>
      </c>
      <c r="O8" s="1" t="s">
        <v>67</v>
      </c>
      <c r="P8" s="1" t="s">
        <v>53</v>
      </c>
      <c r="Q8" s="1" t="s">
        <v>102</v>
      </c>
      <c r="R8" s="1" t="s">
        <v>50</v>
      </c>
      <c r="S8" s="1" t="s">
        <v>70</v>
      </c>
      <c r="T8" s="1" t="s">
        <v>36</v>
      </c>
      <c r="U8" s="4" t="s">
        <v>103</v>
      </c>
      <c r="V8" s="4" t="str">
        <f>IFERROR(__xludf.DUMMYFUNCTION("SPLIT(F8, "" "")"),"девке")</f>
        <v>девке</v>
      </c>
      <c r="W8" s="1" t="str">
        <f>IFERROR(__xludf.DUMMYFUNCTION("""COMPUTED_VALUE"""),"ещё")</f>
        <v>ещё</v>
      </c>
      <c r="X8" s="1" t="str">
        <f>IFERROR(__xludf.DUMMYFUNCTION("""COMPUTED_VALUE"""),"лучше")</f>
        <v>лучше</v>
      </c>
      <c r="Y8" s="1" t="str">
        <f>IFERROR(__xludf.DUMMYFUNCTION("""COMPUTED_VALUE"""),"дома")</f>
        <v>дома</v>
      </c>
      <c r="Z8" s="1" t="str">
        <f>IFERROR(__xludf.DUMMYFUNCTION("""COMPUTED_VALUE"""),"посидеть")</f>
        <v>посидеть</v>
      </c>
      <c r="AA8" s="1" t="str">
        <f>IFERROR(__xludf.DUMMYFUNCTION("""COMPUTED_VALUE"""),"и")</f>
        <v>и</v>
      </c>
    </row>
    <row r="9" ht="14.25" customHeight="1">
      <c r="A9" s="1" t="s">
        <v>104</v>
      </c>
      <c r="B9" s="1" t="s">
        <v>105</v>
      </c>
      <c r="C9" s="2" t="s">
        <v>106</v>
      </c>
      <c r="D9" s="7" t="s">
        <v>107</v>
      </c>
      <c r="E9" s="1" t="s">
        <v>25</v>
      </c>
      <c r="F9" s="4" t="s">
        <v>108</v>
      </c>
      <c r="G9" s="7" t="s">
        <v>107</v>
      </c>
      <c r="H9" s="7" t="s">
        <v>109</v>
      </c>
      <c r="I9" s="4" t="s">
        <v>110</v>
      </c>
      <c r="J9" s="1" t="s">
        <v>111</v>
      </c>
      <c r="L9" s="1" t="s">
        <v>112</v>
      </c>
      <c r="M9" s="1" t="s">
        <v>113</v>
      </c>
      <c r="N9" s="1" t="s">
        <v>51</v>
      </c>
      <c r="O9" s="1" t="s">
        <v>67</v>
      </c>
      <c r="P9" s="1" t="s">
        <v>114</v>
      </c>
      <c r="Q9" s="1" t="s">
        <v>115</v>
      </c>
      <c r="R9" s="1" t="s">
        <v>113</v>
      </c>
      <c r="S9" s="1" t="s">
        <v>70</v>
      </c>
      <c r="T9" s="1" t="s">
        <v>36</v>
      </c>
      <c r="U9" s="4" t="s">
        <v>116</v>
      </c>
      <c r="V9" s="4" t="str">
        <f>IFERROR(__xludf.DUMMYFUNCTION("SPLIT(F9, "" "")"),"НТВ")</f>
        <v>НТВ</v>
      </c>
      <c r="W9" s="1" t="str">
        <f>IFERROR(__xludf.DUMMYFUNCTION("""COMPUTED_VALUE"""),"было")</f>
        <v>было</v>
      </c>
      <c r="X9" s="1" t="str">
        <f>IFERROR(__xludf.DUMMYFUNCTION("""COMPUTED_VALUE"""),"трудно,")</f>
        <v>трудно,</v>
      </c>
      <c r="Y9" s="1" t="str">
        <f>IFERROR(__xludf.DUMMYFUNCTION("""COMPUTED_VALUE"""),"поскольку")</f>
        <v>поскольку</v>
      </c>
      <c r="Z9" s="1" t="str">
        <f>IFERROR(__xludf.DUMMYFUNCTION("""COMPUTED_VALUE"""),"в")</f>
        <v>в</v>
      </c>
      <c r="AA9" s="1" t="str">
        <f>IFERROR(__xludf.DUMMYFUNCTION("""COMPUTED_VALUE"""),"ходе")</f>
        <v>ходе</v>
      </c>
    </row>
    <row r="10" ht="14.25" customHeight="1">
      <c r="A10" s="1" t="s">
        <v>117</v>
      </c>
      <c r="B10" s="1" t="s">
        <v>118</v>
      </c>
      <c r="C10" s="2" t="s">
        <v>119</v>
      </c>
      <c r="D10" s="7" t="s">
        <v>120</v>
      </c>
      <c r="E10" s="1" t="s">
        <v>25</v>
      </c>
      <c r="F10" s="4" t="s">
        <v>121</v>
      </c>
      <c r="G10" s="7" t="s">
        <v>120</v>
      </c>
      <c r="H10" s="7" t="s">
        <v>122</v>
      </c>
      <c r="I10" s="4" t="s">
        <v>123</v>
      </c>
      <c r="J10" s="1" t="s">
        <v>124</v>
      </c>
      <c r="L10" s="1" t="s">
        <v>125</v>
      </c>
      <c r="M10" s="1" t="s">
        <v>113</v>
      </c>
      <c r="N10" s="1" t="s">
        <v>126</v>
      </c>
      <c r="O10" s="1" t="s">
        <v>127</v>
      </c>
      <c r="P10" s="1" t="s">
        <v>53</v>
      </c>
      <c r="Q10" s="1" t="s">
        <v>128</v>
      </c>
      <c r="R10" s="1" t="s">
        <v>113</v>
      </c>
      <c r="S10" s="1" t="s">
        <v>70</v>
      </c>
      <c r="T10" s="1" t="s">
        <v>36</v>
      </c>
      <c r="U10" s="4" t="s">
        <v>129</v>
      </c>
      <c r="V10" s="4" t="str">
        <f>IFERROR(__xludf.DUMMYFUNCTION("SPLIT(F10, "" "")"),"развязности")</f>
        <v>развязности</v>
      </c>
      <c r="W10" s="1" t="str">
        <f>IFERROR(__xludf.DUMMYFUNCTION("""COMPUTED_VALUE"""),"этого")</f>
        <v>этого</v>
      </c>
      <c r="X10" s="1" t="str">
        <f>IFERROR(__xludf.DUMMYFUNCTION("""COMPUTED_VALUE"""),"недавнего")</f>
        <v>недавнего</v>
      </c>
      <c r="Y10" s="1" t="str">
        <f>IFERROR(__xludf.DUMMYFUNCTION("""COMPUTED_VALUE"""),"капитана")</f>
        <v>капитана</v>
      </c>
      <c r="Z10" s="1" t="str">
        <f>IFERROR(__xludf.DUMMYFUNCTION("""COMPUTED_VALUE"""),"Красной")</f>
        <v>Красной</v>
      </c>
      <c r="AA10" s="1" t="str">
        <f>IFERROR(__xludf.DUMMYFUNCTION("""COMPUTED_VALUE"""),"Армии")</f>
        <v>Армии</v>
      </c>
    </row>
    <row r="11" ht="14.25" customHeight="1">
      <c r="A11" s="1" t="s">
        <v>130</v>
      </c>
      <c r="B11" s="1" t="s">
        <v>131</v>
      </c>
      <c r="C11" s="2" t="s">
        <v>132</v>
      </c>
      <c r="D11" s="7" t="s">
        <v>133</v>
      </c>
      <c r="E11" s="1" t="s">
        <v>25</v>
      </c>
      <c r="F11" s="4" t="s">
        <v>134</v>
      </c>
      <c r="G11" s="7" t="s">
        <v>133</v>
      </c>
      <c r="H11" s="7" t="s">
        <v>135</v>
      </c>
      <c r="I11" s="4" t="s">
        <v>136</v>
      </c>
      <c r="J11" s="1" t="s">
        <v>137</v>
      </c>
      <c r="L11" s="1" t="s">
        <v>138</v>
      </c>
      <c r="M11" s="1" t="s">
        <v>113</v>
      </c>
      <c r="N11" s="1" t="s">
        <v>139</v>
      </c>
      <c r="O11" s="1" t="s">
        <v>140</v>
      </c>
      <c r="Q11" s="1" t="s">
        <v>141</v>
      </c>
      <c r="R11" s="1" t="s">
        <v>113</v>
      </c>
      <c r="S11" s="1" t="s">
        <v>70</v>
      </c>
      <c r="T11" s="1" t="s">
        <v>36</v>
      </c>
      <c r="U11" s="4" t="s">
        <v>142</v>
      </c>
      <c r="V11" s="4" t="str">
        <f>IFERROR(__xludf.DUMMYFUNCTION("SPLIT(F11, "" "")"),"гостям,")</f>
        <v>гостям,</v>
      </c>
      <c r="W11" s="1" t="str">
        <f>IFERROR(__xludf.DUMMYFUNCTION("""COMPUTED_VALUE"""),"что")</f>
        <v>что</v>
      </c>
      <c r="X11" s="1" t="str">
        <f>IFERROR(__xludf.DUMMYFUNCTION("""COMPUTED_VALUE"""),"выставил")</f>
        <v>выставил</v>
      </c>
      <c r="Y11" s="1" t="str">
        <f>IFERROR(__xludf.DUMMYFUNCTION("""COMPUTED_VALUE"""),"на")</f>
        <v>на</v>
      </c>
      <c r="Z11" s="1" t="str">
        <f>IFERROR(__xludf.DUMMYFUNCTION("""COMPUTED_VALUE"""),"стол")</f>
        <v>стол</v>
      </c>
      <c r="AA11" s="1" t="str">
        <f>IFERROR(__xludf.DUMMYFUNCTION("""COMPUTED_VALUE"""),"всё")</f>
        <v>всё</v>
      </c>
    </row>
    <row r="12" ht="14.25" customHeight="1">
      <c r="A12" s="1" t="s">
        <v>143</v>
      </c>
      <c r="B12" s="1" t="s">
        <v>144</v>
      </c>
      <c r="C12" s="2" t="s">
        <v>145</v>
      </c>
      <c r="D12" s="7" t="s">
        <v>146</v>
      </c>
      <c r="E12" s="1" t="s">
        <v>25</v>
      </c>
      <c r="F12" s="4" t="s">
        <v>147</v>
      </c>
      <c r="G12" s="7" t="s">
        <v>146</v>
      </c>
      <c r="H12" s="7" t="s">
        <v>148</v>
      </c>
      <c r="I12" s="4" t="s">
        <v>149</v>
      </c>
      <c r="J12" s="1" t="s">
        <v>150</v>
      </c>
      <c r="L12" s="1" t="s">
        <v>151</v>
      </c>
      <c r="M12" s="1" t="s">
        <v>113</v>
      </c>
      <c r="N12" s="1" t="s">
        <v>51</v>
      </c>
      <c r="O12" s="1" t="s">
        <v>67</v>
      </c>
      <c r="P12" s="1" t="s">
        <v>114</v>
      </c>
      <c r="Q12" s="1" t="s">
        <v>152</v>
      </c>
      <c r="R12" s="1" t="s">
        <v>153</v>
      </c>
      <c r="S12" s="1" t="s">
        <v>70</v>
      </c>
      <c r="T12" s="1" t="s">
        <v>36</v>
      </c>
      <c r="U12" s="4" t="s">
        <v>154</v>
      </c>
      <c r="V12" s="4" t="str">
        <f>IFERROR(__xludf.DUMMYFUNCTION("SPLIT(F12, "" "")"),"делу")</f>
        <v>делу</v>
      </c>
      <c r="W12" s="1" t="str">
        <f>IFERROR(__xludf.DUMMYFUNCTION("""COMPUTED_VALUE"""),"""Единой")</f>
        <v>"Единой</v>
      </c>
      <c r="X12" s="1" t="str">
        <f>IFERROR(__xludf.DUMMYFUNCTION("""COMPUTED_VALUE"""),"России"".")</f>
        <v>России".</v>
      </c>
    </row>
    <row r="13" ht="14.25" customHeight="1">
      <c r="A13" s="1" t="s">
        <v>155</v>
      </c>
      <c r="B13" s="1" t="s">
        <v>156</v>
      </c>
      <c r="C13" s="2" t="s">
        <v>157</v>
      </c>
      <c r="D13" s="7" t="s">
        <v>158</v>
      </c>
      <c r="E13" s="1" t="s">
        <v>25</v>
      </c>
      <c r="F13" s="4" t="s">
        <v>159</v>
      </c>
      <c r="G13" s="7" t="s">
        <v>158</v>
      </c>
      <c r="H13" s="7" t="s">
        <v>160</v>
      </c>
      <c r="I13" s="4" t="s">
        <v>161</v>
      </c>
      <c r="J13" s="1" t="s">
        <v>162</v>
      </c>
      <c r="L13" s="1" t="s">
        <v>163</v>
      </c>
      <c r="M13" s="1" t="s">
        <v>113</v>
      </c>
      <c r="N13" s="1" t="s">
        <v>51</v>
      </c>
      <c r="O13" s="1" t="s">
        <v>67</v>
      </c>
      <c r="P13" s="1" t="s">
        <v>114</v>
      </c>
      <c r="Q13" s="1" t="s">
        <v>164</v>
      </c>
      <c r="R13" s="1" t="s">
        <v>165</v>
      </c>
      <c r="S13" s="1" t="s">
        <v>166</v>
      </c>
      <c r="T13" s="1" t="s">
        <v>36</v>
      </c>
      <c r="U13" s="4" t="s">
        <v>167</v>
      </c>
      <c r="V13" s="4" t="str">
        <f>IFERROR(__xludf.DUMMYFUNCTION("SPLIT(F13, "" "")"),"росту")</f>
        <v>росту</v>
      </c>
      <c r="W13" s="1" t="str">
        <f>IFERROR(__xludf.DUMMYFUNCTION("""COMPUTED_VALUE"""),"инвестиционной")</f>
        <v>инвестиционной</v>
      </c>
      <c r="X13" s="1" t="str">
        <f>IFERROR(__xludf.DUMMYFUNCTION("""COMPUTED_VALUE"""),"привлекательности")</f>
        <v>привлекательности</v>
      </c>
      <c r="Y13" s="1" t="str">
        <f>IFERROR(__xludf.DUMMYFUNCTION("""COMPUTED_VALUE"""),"страны.")</f>
        <v>страны.</v>
      </c>
    </row>
    <row r="14" ht="14.25" customHeight="1">
      <c r="A14" s="1" t="s">
        <v>168</v>
      </c>
      <c r="B14" s="1" t="s">
        <v>169</v>
      </c>
      <c r="C14" s="2" t="s">
        <v>170</v>
      </c>
      <c r="D14" s="7" t="s">
        <v>171</v>
      </c>
      <c r="E14" s="1" t="s">
        <v>25</v>
      </c>
      <c r="F14" s="4" t="s">
        <v>172</v>
      </c>
      <c r="G14" s="7" t="s">
        <v>171</v>
      </c>
      <c r="H14" s="7" t="s">
        <v>173</v>
      </c>
      <c r="I14" s="4" t="s">
        <v>174</v>
      </c>
      <c r="J14" s="1" t="s">
        <v>175</v>
      </c>
      <c r="K14" s="1" t="s">
        <v>176</v>
      </c>
      <c r="L14" s="1" t="s">
        <v>177</v>
      </c>
      <c r="M14" s="1" t="s">
        <v>113</v>
      </c>
      <c r="N14" s="1" t="s">
        <v>51</v>
      </c>
      <c r="O14" s="1" t="s">
        <v>67</v>
      </c>
      <c r="P14" s="1" t="s">
        <v>178</v>
      </c>
      <c r="Q14" s="1" t="s">
        <v>115</v>
      </c>
      <c r="R14" s="1" t="s">
        <v>113</v>
      </c>
      <c r="S14" s="1" t="s">
        <v>70</v>
      </c>
      <c r="T14" s="1" t="s">
        <v>36</v>
      </c>
      <c r="U14" s="4" t="s">
        <v>179</v>
      </c>
      <c r="V14" s="4" t="str">
        <f>IFERROR(__xludf.DUMMYFUNCTION("SPLIT(F14, "" "")"),"судам,")</f>
        <v>судам,</v>
      </c>
      <c r="W14" s="1" t="str">
        <f>IFERROR(__xludf.DUMMYFUNCTION("""COMPUTED_VALUE"""),"которые")</f>
        <v>которые</v>
      </c>
      <c r="X14" s="1" t="str">
        <f>IFERROR(__xludf.DUMMYFUNCTION("""COMPUTED_VALUE"""),"будут")</f>
        <v>будут</v>
      </c>
      <c r="Y14" s="1" t="str">
        <f>IFERROR(__xludf.DUMMYFUNCTION("""COMPUTED_VALUE"""),"рассматривать")</f>
        <v>рассматривать</v>
      </c>
      <c r="Z14" s="1" t="str">
        <f>IFERROR(__xludf.DUMMYFUNCTION("""COMPUTED_VALUE"""),"дела,")</f>
        <v>дела,</v>
      </c>
      <c r="AA14" s="1" t="str">
        <f>IFERROR(__xludf.DUMMYFUNCTION("""COMPUTED_VALUE"""),"опираясь")</f>
        <v>опираясь</v>
      </c>
    </row>
    <row r="15" ht="14.25" customHeight="1">
      <c r="A15" s="1" t="s">
        <v>180</v>
      </c>
      <c r="B15" s="1" t="s">
        <v>181</v>
      </c>
      <c r="C15" s="2" t="s">
        <v>182</v>
      </c>
      <c r="D15" s="7" t="s">
        <v>183</v>
      </c>
      <c r="E15" s="1" t="s">
        <v>25</v>
      </c>
      <c r="F15" s="4" t="s">
        <v>184</v>
      </c>
      <c r="G15" s="7" t="s">
        <v>183</v>
      </c>
      <c r="H15" s="7" t="s">
        <v>185</v>
      </c>
      <c r="I15" s="4" t="s">
        <v>186</v>
      </c>
      <c r="J15" s="1" t="s">
        <v>187</v>
      </c>
      <c r="L15" s="1" t="s">
        <v>188</v>
      </c>
      <c r="M15" s="1" t="s">
        <v>113</v>
      </c>
      <c r="N15" s="1" t="s">
        <v>51</v>
      </c>
      <c r="O15" s="1" t="s">
        <v>189</v>
      </c>
      <c r="P15" s="1" t="s">
        <v>81</v>
      </c>
      <c r="Q15" s="1" t="s">
        <v>190</v>
      </c>
      <c r="R15" s="1" t="s">
        <v>191</v>
      </c>
      <c r="S15" s="1" t="s">
        <v>70</v>
      </c>
      <c r="T15" s="1" t="s">
        <v>36</v>
      </c>
      <c r="U15" s="4" t="s">
        <v>192</v>
      </c>
      <c r="V15" s="4" t="str">
        <f>IFERROR(__xludf.DUMMYFUNCTION("SPLIT(F15, "" "")"),"мудрости")</f>
        <v>мудрости</v>
      </c>
      <c r="W15" s="1" t="str">
        <f>IFERROR(__xludf.DUMMYFUNCTION("""COMPUTED_VALUE"""),"наших")</f>
        <v>наших</v>
      </c>
      <c r="X15" s="1" t="str">
        <f>IFERROR(__xludf.DUMMYFUNCTION("""COMPUTED_VALUE"""),"предков.")</f>
        <v>предков.</v>
      </c>
    </row>
    <row r="16" ht="14.25" customHeight="1">
      <c r="A16" s="1" t="s">
        <v>193</v>
      </c>
      <c r="B16" s="1" t="s">
        <v>194</v>
      </c>
      <c r="C16" s="2" t="s">
        <v>195</v>
      </c>
      <c r="D16" s="7" t="s">
        <v>196</v>
      </c>
      <c r="E16" s="1" t="s">
        <v>197</v>
      </c>
      <c r="F16" s="4" t="s">
        <v>198</v>
      </c>
      <c r="G16" s="7" t="s">
        <v>196</v>
      </c>
      <c r="H16" s="7" t="s">
        <v>199</v>
      </c>
      <c r="I16" s="4" t="s">
        <v>200</v>
      </c>
      <c r="J16" s="1" t="s">
        <v>201</v>
      </c>
      <c r="K16" s="1" t="s">
        <v>202</v>
      </c>
      <c r="L16" s="1" t="s">
        <v>203</v>
      </c>
      <c r="M16" s="1" t="s">
        <v>113</v>
      </c>
      <c r="N16" s="1" t="s">
        <v>51</v>
      </c>
      <c r="O16" s="1" t="s">
        <v>67</v>
      </c>
      <c r="P16" s="1" t="s">
        <v>114</v>
      </c>
      <c r="Q16" s="1" t="s">
        <v>204</v>
      </c>
      <c r="R16" s="1" t="s">
        <v>205</v>
      </c>
      <c r="S16" s="1" t="s">
        <v>166</v>
      </c>
      <c r="T16" s="1" t="s">
        <v>36</v>
      </c>
      <c r="U16" s="4" t="s">
        <v>206</v>
      </c>
      <c r="V16" s="4" t="str">
        <f>IFERROR(__xludf.DUMMYFUNCTION("SPLIT(F16, "" "")"),"СПС")</f>
        <v>СПС</v>
      </c>
      <c r="W16" s="1" t="str">
        <f>IFERROR(__xludf.DUMMYFUNCTION("""COMPUTED_VALUE"""),"и")</f>
        <v>и</v>
      </c>
      <c r="X16" s="1" t="str">
        <f>IFERROR(__xludf.DUMMYFUNCTION("""COMPUTED_VALUE"""),"""Яблоку""")</f>
        <v>"Яблоку"</v>
      </c>
      <c r="Y16" s="1" t="str">
        <f>IFERROR(__xludf.DUMMYFUNCTION("""COMPUTED_VALUE"""),"в")</f>
        <v>в</v>
      </c>
      <c r="Z16" s="1" t="str">
        <f>IFERROR(__xludf.DUMMYFUNCTION("""COMPUTED_VALUE"""),"массе")</f>
        <v>массе</v>
      </c>
      <c r="AA16" s="1" t="str">
        <f>IFERROR(__xludf.DUMMYFUNCTION("""COMPUTED_VALUE"""),"не")</f>
        <v>не</v>
      </c>
    </row>
    <row r="17" ht="14.25" customHeight="1">
      <c r="A17" s="1" t="s">
        <v>207</v>
      </c>
      <c r="B17" s="1" t="s">
        <v>208</v>
      </c>
      <c r="C17" s="2" t="s">
        <v>209</v>
      </c>
      <c r="D17" s="7" t="s">
        <v>210</v>
      </c>
      <c r="E17" s="1" t="s">
        <v>25</v>
      </c>
      <c r="F17" s="4" t="s">
        <v>211</v>
      </c>
      <c r="G17" s="7" t="s">
        <v>210</v>
      </c>
      <c r="H17" s="7" t="s">
        <v>212</v>
      </c>
      <c r="I17" s="4" t="s">
        <v>213</v>
      </c>
      <c r="L17" s="1" t="s">
        <v>214</v>
      </c>
      <c r="M17" s="1" t="s">
        <v>113</v>
      </c>
      <c r="N17" s="1" t="s">
        <v>51</v>
      </c>
      <c r="O17" s="1" t="s">
        <v>215</v>
      </c>
      <c r="P17" s="1" t="s">
        <v>53</v>
      </c>
      <c r="Q17" s="1" t="s">
        <v>141</v>
      </c>
      <c r="R17" s="1" t="s">
        <v>113</v>
      </c>
      <c r="S17" s="1" t="s">
        <v>70</v>
      </c>
      <c r="T17" s="1" t="s">
        <v>36</v>
      </c>
      <c r="U17" s="4" t="s">
        <v>216</v>
      </c>
      <c r="V17" s="4" t="str">
        <f>IFERROR(__xludf.DUMMYFUNCTION("SPLIT(F17, "" "")"),"муравью,")</f>
        <v>муравью,</v>
      </c>
      <c r="W17" s="1" t="str">
        <f>IFERROR(__xludf.DUMMYFUNCTION("""COMPUTED_VALUE"""),"который")</f>
        <v>который</v>
      </c>
      <c r="X17" s="1" t="str">
        <f>IFERROR(__xludf.DUMMYFUNCTION("""COMPUTED_VALUE"""),"шёл")</f>
        <v>шёл</v>
      </c>
      <c r="Y17" s="1" t="str">
        <f>IFERROR(__xludf.DUMMYFUNCTION("""COMPUTED_VALUE"""),"с")</f>
        <v>с</v>
      </c>
      <c r="Z17" s="1" t="str">
        <f>IFERROR(__xludf.DUMMYFUNCTION("""COMPUTED_VALUE"""),"большой")</f>
        <v>большой</v>
      </c>
      <c r="AA17" s="1" t="str">
        <f>IFERROR(__xludf.DUMMYFUNCTION("""COMPUTED_VALUE"""),"поклажей:")</f>
        <v>поклажей:</v>
      </c>
    </row>
    <row r="18" ht="14.25" customHeight="1">
      <c r="A18" s="1" t="s">
        <v>25</v>
      </c>
      <c r="B18" s="1" t="s">
        <v>217</v>
      </c>
      <c r="C18" s="2"/>
      <c r="D18" s="7" t="s">
        <v>218</v>
      </c>
      <c r="E18" s="1" t="s">
        <v>25</v>
      </c>
      <c r="F18" s="4" t="s">
        <v>219</v>
      </c>
      <c r="G18" s="7" t="s">
        <v>218</v>
      </c>
      <c r="H18" s="7" t="s">
        <v>220</v>
      </c>
      <c r="I18" s="4" t="s">
        <v>221</v>
      </c>
      <c r="L18" s="1" t="s">
        <v>222</v>
      </c>
      <c r="M18" s="1" t="s">
        <v>113</v>
      </c>
      <c r="N18" s="1" t="s">
        <v>51</v>
      </c>
      <c r="O18" s="1" t="s">
        <v>52</v>
      </c>
      <c r="P18" s="1" t="s">
        <v>81</v>
      </c>
      <c r="Q18" s="1" t="s">
        <v>223</v>
      </c>
      <c r="R18" s="1" t="s">
        <v>224</v>
      </c>
      <c r="S18" s="1" t="s">
        <v>166</v>
      </c>
      <c r="T18" s="1" t="s">
        <v>36</v>
      </c>
      <c r="U18" s="4" t="s">
        <v>225</v>
      </c>
      <c r="V18" s="4" t="str">
        <f>IFERROR(__xludf.DUMMYFUNCTION("SPLIT(F18, "" "")"),"жизни")</f>
        <v>жизни</v>
      </c>
      <c r="W18" s="1" t="str">
        <f>IFERROR(__xludf.DUMMYFUNCTION("""COMPUTED_VALUE"""),"и")</f>
        <v>и</v>
      </c>
      <c r="X18" s="1" t="str">
        <f>IFERROR(__xludf.DUMMYFUNCTION("""COMPUTED_VALUE"""),"дальше,")</f>
        <v>дальше,</v>
      </c>
      <c r="Y18" s="1" t="str">
        <f>IFERROR(__xludf.DUMMYFUNCTION("""COMPUTED_VALUE"""),"со")</f>
        <v>со</v>
      </c>
      <c r="Z18" s="1" t="str">
        <f>IFERROR(__xludf.DUMMYFUNCTION("""COMPUTED_VALUE"""),"всеми")</f>
        <v>всеми</v>
      </c>
      <c r="AA18" s="1" t="str">
        <f>IFERROR(__xludf.DUMMYFUNCTION("""COMPUTED_VALUE"""),"вытекающими")</f>
        <v>вытекающими</v>
      </c>
    </row>
    <row r="19" ht="14.25" customHeight="1">
      <c r="A19" s="1" t="s">
        <v>226</v>
      </c>
      <c r="B19" s="1" t="s">
        <v>156</v>
      </c>
      <c r="C19" s="2" t="s">
        <v>227</v>
      </c>
      <c r="D19" s="7" t="s">
        <v>158</v>
      </c>
      <c r="E19" s="1" t="s">
        <v>25</v>
      </c>
      <c r="F19" s="4" t="s">
        <v>228</v>
      </c>
      <c r="G19" s="7" t="s">
        <v>158</v>
      </c>
      <c r="H19" s="7" t="s">
        <v>229</v>
      </c>
      <c r="I19" s="4" t="s">
        <v>230</v>
      </c>
      <c r="J19" s="1" t="s">
        <v>231</v>
      </c>
      <c r="L19" s="1" t="s">
        <v>232</v>
      </c>
      <c r="M19" s="1" t="s">
        <v>233</v>
      </c>
      <c r="N19" s="1" t="s">
        <v>51</v>
      </c>
      <c r="O19" s="1" t="s">
        <v>67</v>
      </c>
      <c r="P19" s="1" t="s">
        <v>234</v>
      </c>
      <c r="Q19" s="1" t="s">
        <v>235</v>
      </c>
      <c r="R19" s="1" t="s">
        <v>236</v>
      </c>
      <c r="S19" s="1" t="s">
        <v>166</v>
      </c>
      <c r="T19" s="1" t="s">
        <v>36</v>
      </c>
      <c r="U19" s="4" t="s">
        <v>237</v>
      </c>
      <c r="V19" s="4" t="str">
        <f>IFERROR(__xludf.DUMMYFUNCTION("SPLIT(F19, "" "")"),"исполнению")</f>
        <v>исполнению</v>
      </c>
      <c r="W19" s="1" t="str">
        <f>IFERROR(__xludf.DUMMYFUNCTION("""COMPUTED_VALUE"""),"мечты")</f>
        <v>мечты</v>
      </c>
      <c r="X19" s="1" t="str">
        <f>IFERROR(__xludf.DUMMYFUNCTION("""COMPUTED_VALUE"""),"всего")</f>
        <v>всего</v>
      </c>
      <c r="Y19" s="1" t="str">
        <f>IFERROR(__xludf.DUMMYFUNCTION("""COMPUTED_VALUE"""),"несколько")</f>
        <v>несколько</v>
      </c>
      <c r="Z19" s="1" t="str">
        <f>IFERROR(__xludf.DUMMYFUNCTION("""COMPUTED_VALUE"""),"человек.")</f>
        <v>человек.</v>
      </c>
    </row>
    <row r="20" ht="14.25" customHeight="1">
      <c r="A20" s="1" t="s">
        <v>238</v>
      </c>
      <c r="B20" s="1" t="s">
        <v>239</v>
      </c>
      <c r="C20" s="2" t="s">
        <v>240</v>
      </c>
      <c r="D20" s="7" t="s">
        <v>241</v>
      </c>
      <c r="E20" s="1" t="s">
        <v>25</v>
      </c>
      <c r="F20" s="4" t="s">
        <v>242</v>
      </c>
      <c r="G20" s="7" t="s">
        <v>241</v>
      </c>
      <c r="H20" s="7" t="s">
        <v>243</v>
      </c>
      <c r="I20" s="4" t="s">
        <v>244</v>
      </c>
      <c r="J20" s="1" t="s">
        <v>245</v>
      </c>
      <c r="L20" s="1" t="s">
        <v>246</v>
      </c>
      <c r="M20" s="1" t="s">
        <v>233</v>
      </c>
      <c r="N20" s="1" t="s">
        <v>51</v>
      </c>
      <c r="O20" s="1" t="s">
        <v>67</v>
      </c>
      <c r="P20" s="1" t="s">
        <v>53</v>
      </c>
      <c r="Q20" s="1" t="s">
        <v>247</v>
      </c>
      <c r="R20" s="1" t="s">
        <v>248</v>
      </c>
      <c r="S20" s="1" t="s">
        <v>70</v>
      </c>
      <c r="T20" s="1" t="s">
        <v>36</v>
      </c>
      <c r="U20" s="4" t="s">
        <v>249</v>
      </c>
      <c r="V20" s="4" t="str">
        <f>IFERROR(__xludf.DUMMYFUNCTION("SPLIT(F20, "" "")"),"ажиотажу")</f>
        <v>ажиотажу</v>
      </c>
      <c r="W20" s="1" t="str">
        <f>IFERROR(__xludf.DUMMYFUNCTION("""COMPUTED_VALUE"""),"вокруг")</f>
        <v>вокруг</v>
      </c>
      <c r="X20" s="1" t="str">
        <f>IFERROR(__xludf.DUMMYFUNCTION("""COMPUTED_VALUE"""),"своей")</f>
        <v>своей</v>
      </c>
      <c r="Y20" s="1" t="str">
        <f>IFERROR(__xludf.DUMMYFUNCTION("""COMPUTED_VALUE"""),"марки:")</f>
        <v>марки:</v>
      </c>
      <c r="Z20" s="1" t="str">
        <f>IFERROR(__xludf.DUMMYFUNCTION("""COMPUTED_VALUE"""),"вот")</f>
        <v>вот</v>
      </c>
      <c r="AA20" s="1" t="str">
        <f>IFERROR(__xludf.DUMMYFUNCTION("""COMPUTED_VALUE"""),"так")</f>
        <v>так</v>
      </c>
    </row>
    <row r="21" ht="14.25" customHeight="1">
      <c r="A21" s="1" t="s">
        <v>250</v>
      </c>
      <c r="B21" s="1" t="s">
        <v>251</v>
      </c>
      <c r="C21" s="2" t="s">
        <v>252</v>
      </c>
      <c r="D21" s="7" t="s">
        <v>253</v>
      </c>
      <c r="E21" s="1" t="s">
        <v>25</v>
      </c>
      <c r="F21" s="4" t="s">
        <v>254</v>
      </c>
      <c r="G21" s="7" t="s">
        <v>253</v>
      </c>
      <c r="H21" s="7" t="s">
        <v>160</v>
      </c>
      <c r="I21" s="4" t="s">
        <v>255</v>
      </c>
      <c r="J21" s="1" t="s">
        <v>256</v>
      </c>
      <c r="K21" s="1" t="s">
        <v>202</v>
      </c>
      <c r="L21" s="1" t="s">
        <v>257</v>
      </c>
      <c r="M21" s="1" t="s">
        <v>233</v>
      </c>
      <c r="N21" s="1" t="s">
        <v>51</v>
      </c>
      <c r="O21" s="1" t="s">
        <v>258</v>
      </c>
      <c r="P21" s="1" t="s">
        <v>114</v>
      </c>
      <c r="Q21" s="1" t="s">
        <v>235</v>
      </c>
      <c r="R21" s="1" t="s">
        <v>259</v>
      </c>
      <c r="S21" s="1" t="s">
        <v>166</v>
      </c>
      <c r="T21" s="1" t="s">
        <v>36</v>
      </c>
      <c r="U21" s="4" t="s">
        <v>260</v>
      </c>
      <c r="V21" s="4" t="str">
        <f>IFERROR(__xludf.DUMMYFUNCTION("SPLIT(F21, "" "")"),"росту")</f>
        <v>росту</v>
      </c>
      <c r="W21" s="1" t="str">
        <f>IFERROR(__xludf.DUMMYFUNCTION("""COMPUTED_VALUE"""),"антигерманских")</f>
        <v>антигерманских</v>
      </c>
      <c r="X21" s="1" t="str">
        <f>IFERROR(__xludf.DUMMYFUNCTION("""COMPUTED_VALUE"""),"настроений.")</f>
        <v>настроений.</v>
      </c>
    </row>
    <row r="22" ht="14.25" customHeight="1">
      <c r="A22" s="1" t="s">
        <v>261</v>
      </c>
      <c r="B22" s="1" t="s">
        <v>262</v>
      </c>
      <c r="C22" s="2" t="s">
        <v>263</v>
      </c>
      <c r="D22" s="7" t="s">
        <v>264</v>
      </c>
      <c r="E22" s="1" t="s">
        <v>25</v>
      </c>
      <c r="F22" s="4" t="s">
        <v>265</v>
      </c>
      <c r="G22" s="7" t="s">
        <v>264</v>
      </c>
      <c r="H22" s="7" t="s">
        <v>266</v>
      </c>
      <c r="I22" s="4" t="s">
        <v>267</v>
      </c>
      <c r="J22" s="1" t="s">
        <v>268</v>
      </c>
      <c r="K22" s="1" t="s">
        <v>269</v>
      </c>
      <c r="L22" s="1" t="s">
        <v>270</v>
      </c>
      <c r="M22" s="1" t="s">
        <v>233</v>
      </c>
      <c r="N22" s="1" t="s">
        <v>51</v>
      </c>
      <c r="O22" s="1" t="s">
        <v>271</v>
      </c>
      <c r="Q22" s="1" t="s">
        <v>272</v>
      </c>
      <c r="R22" s="1" t="s">
        <v>233</v>
      </c>
      <c r="S22" s="1" t="s">
        <v>273</v>
      </c>
      <c r="T22" s="1" t="s">
        <v>36</v>
      </c>
      <c r="U22" s="4" t="s">
        <v>274</v>
      </c>
      <c r="V22" s="4" t="str">
        <f>IFERROR(__xludf.DUMMYFUNCTION("SPLIT(F22, "" "")"),"Галине,")</f>
        <v>Галине,</v>
      </c>
      <c r="W22" s="1" t="str">
        <f>IFERROR(__xludf.DUMMYFUNCTION("""COMPUTED_VALUE"""),"как")</f>
        <v>как</v>
      </c>
      <c r="X22" s="1" t="str">
        <f>IFERROR(__xludf.DUMMYFUNCTION("""COMPUTED_VALUE"""),"кровь")</f>
        <v>кровь</v>
      </c>
      <c r="Y22" s="1" t="str">
        <f>IFERROR(__xludf.DUMMYFUNCTION("""COMPUTED_VALUE"""),"приливает")</f>
        <v>приливает</v>
      </c>
      <c r="Z22" s="1" t="str">
        <f>IFERROR(__xludf.DUMMYFUNCTION("""COMPUTED_VALUE"""),"к")</f>
        <v>к</v>
      </c>
      <c r="AA22" s="1" t="str">
        <f>IFERROR(__xludf.DUMMYFUNCTION("""COMPUTED_VALUE"""),"лицу")</f>
        <v>лицу</v>
      </c>
    </row>
    <row r="23" ht="14.25" customHeight="1">
      <c r="A23" s="1" t="s">
        <v>275</v>
      </c>
      <c r="B23" s="1" t="s">
        <v>276</v>
      </c>
      <c r="C23" s="2" t="s">
        <v>277</v>
      </c>
      <c r="D23" s="7" t="s">
        <v>278</v>
      </c>
      <c r="E23" s="1" t="s">
        <v>25</v>
      </c>
      <c r="F23" s="4" t="s">
        <v>279</v>
      </c>
      <c r="G23" s="7" t="s">
        <v>278</v>
      </c>
      <c r="H23" s="7" t="s">
        <v>280</v>
      </c>
      <c r="I23" s="4" t="s">
        <v>281</v>
      </c>
      <c r="J23" s="1" t="s">
        <v>282</v>
      </c>
      <c r="K23" s="1" t="s">
        <v>283</v>
      </c>
      <c r="L23" s="1" t="s">
        <v>284</v>
      </c>
      <c r="M23" s="1" t="s">
        <v>233</v>
      </c>
      <c r="N23" s="1" t="s">
        <v>139</v>
      </c>
      <c r="O23" s="1" t="s">
        <v>285</v>
      </c>
      <c r="Q23" s="1" t="s">
        <v>286</v>
      </c>
      <c r="R23" s="1" t="s">
        <v>233</v>
      </c>
      <c r="S23" s="1" t="s">
        <v>70</v>
      </c>
      <c r="T23" s="1" t="s">
        <v>36</v>
      </c>
      <c r="U23" s="4" t="s">
        <v>287</v>
      </c>
      <c r="V23" s="4" t="str">
        <f>IFERROR(__xludf.DUMMYFUNCTION("SPLIT(F23, "" "")"),"слову")</f>
        <v>слову</v>
      </c>
      <c r="W23" s="1" t="str">
        <f>IFERROR(__xludf.DUMMYFUNCTION("""COMPUTED_VALUE"""),"""домой"".")</f>
        <v>"домой".</v>
      </c>
    </row>
    <row r="24" ht="14.25" customHeight="1">
      <c r="A24" s="1" t="s">
        <v>288</v>
      </c>
      <c r="B24" s="1" t="s">
        <v>289</v>
      </c>
      <c r="C24" s="2" t="s">
        <v>290</v>
      </c>
      <c r="D24" s="7" t="s">
        <v>291</v>
      </c>
      <c r="E24" s="1" t="s">
        <v>25</v>
      </c>
      <c r="F24" s="4" t="s">
        <v>292</v>
      </c>
      <c r="G24" s="7" t="s">
        <v>291</v>
      </c>
      <c r="H24" s="7" t="s">
        <v>293</v>
      </c>
      <c r="I24" s="4" t="s">
        <v>294</v>
      </c>
      <c r="J24" s="1" t="s">
        <v>295</v>
      </c>
      <c r="L24" s="1" t="s">
        <v>296</v>
      </c>
      <c r="M24" s="1" t="s">
        <v>233</v>
      </c>
      <c r="N24" s="1" t="s">
        <v>51</v>
      </c>
      <c r="O24" s="1" t="s">
        <v>297</v>
      </c>
      <c r="P24" s="1" t="s">
        <v>298</v>
      </c>
      <c r="Q24" s="1" t="s">
        <v>299</v>
      </c>
      <c r="R24" s="1" t="s">
        <v>300</v>
      </c>
      <c r="S24" s="1" t="s">
        <v>166</v>
      </c>
      <c r="T24" s="1" t="s">
        <v>36</v>
      </c>
      <c r="U24" s="4" t="s">
        <v>301</v>
      </c>
      <c r="V24" s="4" t="str">
        <f>IFERROR(__xludf.DUMMYFUNCTION("SPLIT(F24, "" "")"),"встрече")</f>
        <v>встрече</v>
      </c>
      <c r="W24" s="1" t="str">
        <f>IFERROR(__xludf.DUMMYFUNCTION("""COMPUTED_VALUE"""),"у")</f>
        <v>у</v>
      </c>
      <c r="X24" s="1" t="str">
        <f>IFERROR(__xludf.DUMMYFUNCTION("""COMPUTED_VALUE"""),"любимой")</f>
        <v>любимой</v>
      </c>
      <c r="Y24" s="1" t="str">
        <f>IFERROR(__xludf.DUMMYFUNCTION("""COMPUTED_VALUE"""),"Max")</f>
        <v>Max</v>
      </c>
      <c r="Z24" s="1" t="str">
        <f>IFERROR(__xludf.DUMMYFUNCTION("""COMPUTED_VALUE"""),"Mara")</f>
        <v>Mara</v>
      </c>
      <c r="AA24" s="1" t="str">
        <f>IFERROR(__xludf.DUMMYFUNCTION("""COMPUTED_VALUE"""),"и")</f>
        <v>и</v>
      </c>
    </row>
    <row r="25" ht="14.25" customHeight="1">
      <c r="A25" s="1" t="s">
        <v>302</v>
      </c>
      <c r="B25" s="1" t="s">
        <v>303</v>
      </c>
      <c r="C25" s="2" t="s">
        <v>304</v>
      </c>
      <c r="D25" s="7" t="s">
        <v>305</v>
      </c>
      <c r="E25" s="1" t="s">
        <v>25</v>
      </c>
      <c r="F25" s="4" t="s">
        <v>306</v>
      </c>
      <c r="G25" s="7" t="s">
        <v>305</v>
      </c>
      <c r="H25" s="7" t="s">
        <v>307</v>
      </c>
      <c r="I25" s="4" t="s">
        <v>308</v>
      </c>
      <c r="L25" s="1" t="s">
        <v>309</v>
      </c>
      <c r="M25" s="1" t="s">
        <v>233</v>
      </c>
      <c r="N25" s="1" t="s">
        <v>51</v>
      </c>
      <c r="O25" s="1" t="s">
        <v>189</v>
      </c>
      <c r="P25" s="1" t="s">
        <v>68</v>
      </c>
      <c r="Q25" s="1" t="s">
        <v>247</v>
      </c>
      <c r="R25" s="1" t="s">
        <v>310</v>
      </c>
      <c r="S25" s="1" t="s">
        <v>70</v>
      </c>
      <c r="T25" s="1" t="s">
        <v>36</v>
      </c>
      <c r="U25" s="4" t="s">
        <v>311</v>
      </c>
      <c r="V25" s="4" t="str">
        <f>IFERROR(__xludf.DUMMYFUNCTION("SPLIT(F25, "" "")"),"красоте")</f>
        <v>красоте</v>
      </c>
      <c r="W25" s="1" t="str">
        <f>IFERROR(__xludf.DUMMYFUNCTION("""COMPUTED_VALUE"""),"полов,")</f>
        <v>полов,</v>
      </c>
      <c r="X25" s="1" t="str">
        <f>IFERROR(__xludf.DUMMYFUNCTION("""COMPUTED_VALUE"""),"которые")</f>
        <v>которые</v>
      </c>
      <c r="Y25" s="1" t="str">
        <f>IFERROR(__xludf.DUMMYFUNCTION("""COMPUTED_VALUE"""),"создавали")</f>
        <v>создавали</v>
      </c>
      <c r="Z25" s="1" t="str">
        <f>IFERROR(__xludf.DUMMYFUNCTION("""COMPUTED_VALUE"""),"когда-то")</f>
        <v>когда-то</v>
      </c>
      <c r="AA25" s="1" t="str">
        <f>IFERROR(__xludf.DUMMYFUNCTION("""COMPUTED_VALUE"""),"архитекторы")</f>
        <v>архитекторы</v>
      </c>
    </row>
    <row r="26" ht="14.25" customHeight="1">
      <c r="A26" s="1" t="s">
        <v>312</v>
      </c>
      <c r="B26" s="1" t="s">
        <v>313</v>
      </c>
      <c r="C26" s="2" t="s">
        <v>314</v>
      </c>
      <c r="D26" s="7" t="s">
        <v>315</v>
      </c>
      <c r="E26" s="1" t="s">
        <v>25</v>
      </c>
      <c r="F26" s="4" t="s">
        <v>316</v>
      </c>
      <c r="G26" s="7" t="s">
        <v>315</v>
      </c>
      <c r="H26" s="7" t="s">
        <v>317</v>
      </c>
      <c r="I26" s="4" t="s">
        <v>318</v>
      </c>
      <c r="J26" s="1" t="s">
        <v>319</v>
      </c>
      <c r="K26" s="1" t="s">
        <v>320</v>
      </c>
      <c r="L26" s="1" t="s">
        <v>321</v>
      </c>
      <c r="M26" s="1" t="s">
        <v>322</v>
      </c>
      <c r="N26" s="1" t="s">
        <v>139</v>
      </c>
      <c r="O26" s="1" t="s">
        <v>285</v>
      </c>
      <c r="Q26" s="1" t="s">
        <v>323</v>
      </c>
      <c r="R26" s="1" t="s">
        <v>233</v>
      </c>
      <c r="S26" s="1" t="s">
        <v>273</v>
      </c>
      <c r="T26" s="1" t="s">
        <v>36</v>
      </c>
      <c r="U26" s="4" t="s">
        <v>324</v>
      </c>
      <c r="V26" s="4" t="str">
        <f>IFERROR(__xludf.DUMMYFUNCTION("SPLIT(F26, "" "")"),"девчаткам,")</f>
        <v>девчаткам,</v>
      </c>
      <c r="W26" s="1" t="str">
        <f>IFERROR(__xludf.DUMMYFUNCTION("""COMPUTED_VALUE"""),"которых")</f>
        <v>которых</v>
      </c>
      <c r="X26" s="1" t="str">
        <f>IFERROR(__xludf.DUMMYFUNCTION("""COMPUTED_VALUE"""),"грузовик")</f>
        <v>грузовик</v>
      </c>
      <c r="Y26" s="1" t="str">
        <f>IFERROR(__xludf.DUMMYFUNCTION("""COMPUTED_VALUE"""),"повёз")</f>
        <v>повёз</v>
      </c>
      <c r="Z26" s="1" t="str">
        <f>IFERROR(__xludf.DUMMYFUNCTION("""COMPUTED_VALUE"""),"дальше,")</f>
        <v>дальше,</v>
      </c>
      <c r="AA26" s="1" t="str">
        <f>IFERROR(__xludf.DUMMYFUNCTION("""COMPUTED_VALUE"""),"его")</f>
        <v>его</v>
      </c>
    </row>
    <row r="27" ht="14.25" customHeight="1">
      <c r="A27" s="1" t="s">
        <v>325</v>
      </c>
      <c r="B27" s="1" t="s">
        <v>326</v>
      </c>
      <c r="C27" s="2" t="s">
        <v>327</v>
      </c>
      <c r="D27" s="7" t="s">
        <v>328</v>
      </c>
      <c r="E27" s="1" t="s">
        <v>25</v>
      </c>
      <c r="F27" s="4" t="s">
        <v>329</v>
      </c>
      <c r="G27" s="7" t="s">
        <v>328</v>
      </c>
      <c r="H27" s="7" t="s">
        <v>330</v>
      </c>
      <c r="I27" s="4" t="s">
        <v>331</v>
      </c>
      <c r="J27" s="1" t="s">
        <v>332</v>
      </c>
      <c r="K27" s="1" t="s">
        <v>333</v>
      </c>
      <c r="L27" s="1" t="s">
        <v>334</v>
      </c>
      <c r="M27" s="1" t="s">
        <v>322</v>
      </c>
      <c r="N27" s="1" t="s">
        <v>51</v>
      </c>
      <c r="O27" s="1" t="s">
        <v>215</v>
      </c>
      <c r="P27" s="1" t="s">
        <v>53</v>
      </c>
      <c r="Q27" s="1" t="s">
        <v>141</v>
      </c>
      <c r="R27" s="1" t="s">
        <v>322</v>
      </c>
      <c r="S27" s="1" t="s">
        <v>70</v>
      </c>
      <c r="T27" s="1" t="s">
        <v>36</v>
      </c>
      <c r="U27" s="4" t="s">
        <v>335</v>
      </c>
      <c r="V27" s="4" t="str">
        <f>IFERROR(__xludf.DUMMYFUNCTION("SPLIT(F27, "" "")"),"китам,")</f>
        <v>китам,</v>
      </c>
      <c r="W27" s="1" t="str">
        <f>IFERROR(__xludf.DUMMYFUNCTION("""COMPUTED_VALUE"""),"дельфинам,")</f>
        <v>дельфинам,</v>
      </c>
      <c r="X27" s="1" t="str">
        <f>IFERROR(__xludf.DUMMYFUNCTION("""COMPUTED_VALUE"""),"огромным")</f>
        <v>огромным</v>
      </c>
      <c r="Y27" s="1" t="str">
        <f>IFERROR(__xludf.DUMMYFUNCTION("""COMPUTED_VALUE"""),"черепахам,")</f>
        <v>черепахам,</v>
      </c>
      <c r="Z27" s="1" t="str">
        <f>IFERROR(__xludf.DUMMYFUNCTION("""COMPUTED_VALUE"""),"с")</f>
        <v>с</v>
      </c>
      <c r="AA27" s="1" t="str">
        <f>IFERROR(__xludf.DUMMYFUNCTION("""COMPUTED_VALUE"""),"другими")</f>
        <v>другими</v>
      </c>
    </row>
    <row r="28" ht="14.25" customHeight="1">
      <c r="A28" s="1" t="s">
        <v>336</v>
      </c>
      <c r="B28" s="1" t="s">
        <v>131</v>
      </c>
      <c r="C28" s="2" t="s">
        <v>337</v>
      </c>
      <c r="D28" s="7" t="s">
        <v>133</v>
      </c>
      <c r="E28" s="1" t="s">
        <v>25</v>
      </c>
      <c r="F28" s="4" t="s">
        <v>338</v>
      </c>
      <c r="G28" s="7" t="s">
        <v>133</v>
      </c>
      <c r="H28" s="7" t="s">
        <v>339</v>
      </c>
      <c r="I28" s="4" t="s">
        <v>340</v>
      </c>
      <c r="J28" s="1" t="s">
        <v>341</v>
      </c>
      <c r="L28" s="1" t="s">
        <v>342</v>
      </c>
      <c r="M28" s="1" t="s">
        <v>322</v>
      </c>
      <c r="N28" s="1" t="s">
        <v>51</v>
      </c>
      <c r="O28" s="1" t="s">
        <v>67</v>
      </c>
      <c r="P28" s="1" t="s">
        <v>234</v>
      </c>
      <c r="Q28" s="1" t="s">
        <v>235</v>
      </c>
      <c r="R28" s="1" t="s">
        <v>343</v>
      </c>
      <c r="S28" s="1" t="s">
        <v>166</v>
      </c>
      <c r="T28" s="1" t="s">
        <v>36</v>
      </c>
      <c r="U28" s="4" t="s">
        <v>344</v>
      </c>
      <c r="V28" s="4" t="str">
        <f>IFERROR(__xludf.DUMMYFUNCTION("SPLIT(F28, "" "")"),"терактам")</f>
        <v>терактам</v>
      </c>
      <c r="W28" s="1" t="str">
        <f>IFERROR(__xludf.DUMMYFUNCTION("""COMPUTED_VALUE"""),"в")</f>
        <v>в</v>
      </c>
      <c r="X28" s="1" t="str">
        <f>IFERROR(__xludf.DUMMYFUNCTION("""COMPUTED_VALUE"""),"США")</f>
        <v>США</v>
      </c>
    </row>
    <row r="29" ht="14.25" customHeight="1">
      <c r="A29" s="1" t="s">
        <v>345</v>
      </c>
      <c r="B29" s="1" t="s">
        <v>346</v>
      </c>
      <c r="C29" s="2" t="s">
        <v>347</v>
      </c>
      <c r="D29" s="7" t="s">
        <v>348</v>
      </c>
      <c r="E29" s="1" t="s">
        <v>25</v>
      </c>
      <c r="F29" s="4" t="s">
        <v>349</v>
      </c>
      <c r="G29" s="7" t="s">
        <v>348</v>
      </c>
      <c r="H29" s="7" t="s">
        <v>350</v>
      </c>
      <c r="I29" s="4" t="s">
        <v>351</v>
      </c>
      <c r="J29" s="1" t="s">
        <v>352</v>
      </c>
      <c r="L29" s="1" t="s">
        <v>353</v>
      </c>
      <c r="M29" s="1" t="s">
        <v>322</v>
      </c>
      <c r="N29" s="1" t="s">
        <v>51</v>
      </c>
      <c r="O29" s="1" t="s">
        <v>67</v>
      </c>
      <c r="P29" s="1" t="s">
        <v>234</v>
      </c>
      <c r="Q29" s="1" t="s">
        <v>235</v>
      </c>
      <c r="R29" s="1" t="s">
        <v>354</v>
      </c>
      <c r="S29" s="1" t="s">
        <v>166</v>
      </c>
      <c r="T29" s="1" t="s">
        <v>36</v>
      </c>
      <c r="U29" s="4" t="s">
        <v>355</v>
      </c>
      <c r="V29" s="4" t="str">
        <f>IFERROR(__xludf.DUMMYFUNCTION("SPLIT(F29, "" "")"),"предложению")</f>
        <v>предложению</v>
      </c>
      <c r="W29" s="1" t="str">
        <f>IFERROR(__xludf.DUMMYFUNCTION("""COMPUTED_VALUE"""),"побывать")</f>
        <v>побывать</v>
      </c>
      <c r="X29" s="1" t="str">
        <f>IFERROR(__xludf.DUMMYFUNCTION("""COMPUTED_VALUE"""),"в")</f>
        <v>в</v>
      </c>
      <c r="Y29" s="1" t="str">
        <f>IFERROR(__xludf.DUMMYFUNCTION("""COMPUTED_VALUE"""),"Москве")</f>
        <v>Москве</v>
      </c>
      <c r="Z29" s="1" t="str">
        <f>IFERROR(__xludf.DUMMYFUNCTION("""COMPUTED_VALUE"""),"на")</f>
        <v>на</v>
      </c>
      <c r="AA29" s="1" t="str">
        <f>IFERROR(__xludf.DUMMYFUNCTION("""COMPUTED_VALUE"""),"играх")</f>
        <v>играх</v>
      </c>
    </row>
    <row r="30" ht="14.25" customHeight="1">
      <c r="A30" s="1" t="s">
        <v>356</v>
      </c>
      <c r="B30" s="1" t="s">
        <v>357</v>
      </c>
      <c r="C30" s="2" t="s">
        <v>358</v>
      </c>
      <c r="D30" s="7" t="s">
        <v>359</v>
      </c>
      <c r="E30" s="1" t="s">
        <v>25</v>
      </c>
      <c r="F30" s="4" t="s">
        <v>360</v>
      </c>
      <c r="G30" s="7" t="s">
        <v>359</v>
      </c>
      <c r="H30" s="7" t="s">
        <v>361</v>
      </c>
      <c r="I30" s="4" t="s">
        <v>362</v>
      </c>
      <c r="J30" s="1" t="s">
        <v>363</v>
      </c>
      <c r="K30" s="1" t="s">
        <v>364</v>
      </c>
      <c r="L30" s="1" t="s">
        <v>365</v>
      </c>
      <c r="M30" s="1" t="s">
        <v>366</v>
      </c>
      <c r="N30" s="1" t="s">
        <v>139</v>
      </c>
      <c r="O30" s="1" t="s">
        <v>367</v>
      </c>
      <c r="Q30" s="1" t="s">
        <v>286</v>
      </c>
      <c r="R30" s="1" t="s">
        <v>366</v>
      </c>
      <c r="S30" s="1" t="s">
        <v>70</v>
      </c>
      <c r="T30" s="1" t="s">
        <v>36</v>
      </c>
      <c r="U30" s="4" t="s">
        <v>368</v>
      </c>
      <c r="V30" s="4" t="str">
        <f>IFERROR(__xludf.DUMMYFUNCTION("SPLIT(F30, "" "")"),"мощи")</f>
        <v>мощи</v>
      </c>
      <c r="W30" s="1" t="str">
        <f>IFERROR(__xludf.DUMMYFUNCTION("""COMPUTED_VALUE"""),"дядиного")</f>
        <v>дядиного</v>
      </c>
      <c r="X30" s="1" t="str">
        <f>IFERROR(__xludf.DUMMYFUNCTION("""COMPUTED_VALUE"""),"ума.")</f>
        <v>ума.</v>
      </c>
    </row>
    <row r="31" ht="14.25" customHeight="1">
      <c r="A31" s="1" t="s">
        <v>369</v>
      </c>
      <c r="B31" s="1" t="s">
        <v>370</v>
      </c>
      <c r="C31" s="2" t="s">
        <v>371</v>
      </c>
      <c r="D31" s="7" t="s">
        <v>372</v>
      </c>
      <c r="E31" s="1" t="s">
        <v>25</v>
      </c>
      <c r="F31" s="4" t="s">
        <v>373</v>
      </c>
      <c r="G31" s="7" t="s">
        <v>372</v>
      </c>
      <c r="H31" s="7" t="s">
        <v>374</v>
      </c>
      <c r="I31" s="4" t="s">
        <v>362</v>
      </c>
      <c r="J31" s="1" t="s">
        <v>363</v>
      </c>
      <c r="K31" s="1" t="s">
        <v>364</v>
      </c>
      <c r="L31" s="1" t="s">
        <v>365</v>
      </c>
      <c r="M31" s="1" t="s">
        <v>366</v>
      </c>
      <c r="N31" s="1" t="s">
        <v>139</v>
      </c>
      <c r="O31" s="1" t="s">
        <v>367</v>
      </c>
      <c r="Q31" s="1" t="s">
        <v>286</v>
      </c>
      <c r="R31" s="1" t="s">
        <v>366</v>
      </c>
      <c r="S31" s="1" t="s">
        <v>70</v>
      </c>
      <c r="T31" s="1" t="s">
        <v>36</v>
      </c>
      <c r="U31" s="4" t="s">
        <v>375</v>
      </c>
      <c r="V31" s="4" t="str">
        <f>IFERROR(__xludf.DUMMYFUNCTION("SPLIT(F31, "" "")"),"матери")</f>
        <v>матери</v>
      </c>
      <c r="W31" s="1" t="str">
        <f>IFERROR(__xludf.DUMMYFUNCTION("""COMPUTED_VALUE"""),"привезти")</f>
        <v>привезти</v>
      </c>
      <c r="X31" s="1" t="str">
        <f>IFERROR(__xludf.DUMMYFUNCTION("""COMPUTED_VALUE"""),"домой")</f>
        <v>домой</v>
      </c>
      <c r="Y31" s="1" t="str">
        <f>IFERROR(__xludf.DUMMYFUNCTION("""COMPUTED_VALUE"""),"чистокровную")</f>
        <v>чистокровную</v>
      </c>
      <c r="Z31" s="1" t="str">
        <f>IFERROR(__xludf.DUMMYFUNCTION("""COMPUTED_VALUE"""),"немку,")</f>
        <v>немку,</v>
      </c>
      <c r="AA31" s="1" t="str">
        <f>IFERROR(__xludf.DUMMYFUNCTION("""COMPUTED_VALUE"""),"буде")</f>
        <v>буде</v>
      </c>
    </row>
    <row r="32" ht="14.25" customHeight="1">
      <c r="A32" s="1" t="s">
        <v>376</v>
      </c>
      <c r="B32" s="1" t="s">
        <v>357</v>
      </c>
      <c r="C32" s="2" t="s">
        <v>377</v>
      </c>
      <c r="D32" s="7" t="s">
        <v>359</v>
      </c>
      <c r="E32" s="1" t="s">
        <v>25</v>
      </c>
      <c r="F32" s="4" t="s">
        <v>378</v>
      </c>
      <c r="G32" s="7" t="s">
        <v>359</v>
      </c>
      <c r="H32" s="7" t="s">
        <v>379</v>
      </c>
      <c r="I32" s="4" t="s">
        <v>362</v>
      </c>
      <c r="J32" s="1" t="s">
        <v>363</v>
      </c>
      <c r="K32" s="1" t="s">
        <v>364</v>
      </c>
      <c r="L32" s="1" t="s">
        <v>365</v>
      </c>
      <c r="M32" s="1" t="s">
        <v>366</v>
      </c>
      <c r="N32" s="1" t="s">
        <v>139</v>
      </c>
      <c r="O32" s="1" t="s">
        <v>367</v>
      </c>
      <c r="Q32" s="1" t="s">
        <v>286</v>
      </c>
      <c r="R32" s="1" t="s">
        <v>366</v>
      </c>
      <c r="S32" s="1" t="s">
        <v>70</v>
      </c>
      <c r="T32" s="1" t="s">
        <v>36</v>
      </c>
      <c r="U32" s="4" t="s">
        <v>380</v>
      </c>
      <c r="V32" s="4" t="str">
        <f>IFERROR(__xludf.DUMMYFUNCTION("SPLIT(F32, "" "")"),"одеждам")</f>
        <v>одеждам</v>
      </c>
      <c r="W32" s="1" t="str">
        <f>IFERROR(__xludf.DUMMYFUNCTION("""COMPUTED_VALUE"""),"отрешённых,")</f>
        <v>отрешённых,</v>
      </c>
      <c r="X32" s="1" t="str">
        <f>IFERROR(__xludf.DUMMYFUNCTION("""COMPUTED_VALUE"""),"не")</f>
        <v>не</v>
      </c>
      <c r="Y32" s="1" t="str">
        <f>IFERROR(__xludf.DUMMYFUNCTION("""COMPUTED_VALUE"""),"присущих")</f>
        <v>присущих</v>
      </c>
      <c r="Z32" s="1" t="str">
        <f>IFERROR(__xludf.DUMMYFUNCTION("""COMPUTED_VALUE"""),"этому")</f>
        <v>этому</v>
      </c>
      <c r="AA32" s="1" t="str">
        <f>IFERROR(__xludf.DUMMYFUNCTION("""COMPUTED_VALUE"""),"миру")</f>
        <v>миру</v>
      </c>
    </row>
    <row r="33" ht="14.25" customHeight="1">
      <c r="A33" s="1" t="s">
        <v>381</v>
      </c>
      <c r="B33" s="1" t="s">
        <v>382</v>
      </c>
      <c r="C33" s="2" t="s">
        <v>383</v>
      </c>
      <c r="D33" s="7" t="s">
        <v>384</v>
      </c>
      <c r="E33" s="1" t="s">
        <v>25</v>
      </c>
      <c r="F33" s="4" t="s">
        <v>385</v>
      </c>
      <c r="G33" s="7" t="s">
        <v>384</v>
      </c>
      <c r="H33" s="7" t="s">
        <v>386</v>
      </c>
      <c r="I33" s="4" t="s">
        <v>362</v>
      </c>
      <c r="J33" s="1" t="s">
        <v>363</v>
      </c>
      <c r="K33" s="1" t="s">
        <v>364</v>
      </c>
      <c r="L33" s="1" t="s">
        <v>365</v>
      </c>
      <c r="M33" s="1" t="s">
        <v>366</v>
      </c>
      <c r="N33" s="1" t="s">
        <v>139</v>
      </c>
      <c r="O33" s="1" t="s">
        <v>367</v>
      </c>
      <c r="Q33" s="1" t="s">
        <v>286</v>
      </c>
      <c r="R33" s="1" t="s">
        <v>366</v>
      </c>
      <c r="S33" s="1" t="s">
        <v>70</v>
      </c>
      <c r="T33" s="1" t="s">
        <v>36</v>
      </c>
      <c r="U33" s="4" t="s">
        <v>387</v>
      </c>
      <c r="V33" s="4" t="str">
        <f>IFERROR(__xludf.DUMMYFUNCTION("SPLIT(F33, "" "")"),"метаморфозе,")</f>
        <v>метаморфозе,</v>
      </c>
      <c r="W33" s="1" t="str">
        <f>IFERROR(__xludf.DUMMYFUNCTION("""COMPUTED_VALUE"""),"заподозрив")</f>
        <v>заподозрив</v>
      </c>
      <c r="X33" s="1" t="str">
        <f>IFERROR(__xludf.DUMMYFUNCTION("""COMPUTED_VALUE"""),"в")</f>
        <v>в</v>
      </c>
      <c r="Y33" s="1" t="str">
        <f>IFERROR(__xludf.DUMMYFUNCTION("""COMPUTED_VALUE"""),"набожности")</f>
        <v>набожности</v>
      </c>
      <c r="Z33" s="1" t="str">
        <f>IFERROR(__xludf.DUMMYFUNCTION("""COMPUTED_VALUE"""),"школьного")</f>
        <v>школьного</v>
      </c>
      <c r="AA33" s="1" t="str">
        <f>IFERROR(__xludf.DUMMYFUNCTION("""COMPUTED_VALUE"""),"товарища")</f>
        <v>товарища</v>
      </c>
    </row>
    <row r="34" ht="14.25" customHeight="1">
      <c r="A34" s="1" t="s">
        <v>388</v>
      </c>
      <c r="B34" s="1" t="s">
        <v>118</v>
      </c>
      <c r="C34" s="2" t="s">
        <v>389</v>
      </c>
      <c r="D34" s="7" t="s">
        <v>120</v>
      </c>
      <c r="E34" s="1" t="s">
        <v>25</v>
      </c>
      <c r="F34" s="4" t="s">
        <v>390</v>
      </c>
      <c r="G34" s="7" t="s">
        <v>120</v>
      </c>
      <c r="H34" s="7" t="s">
        <v>391</v>
      </c>
      <c r="I34" s="4" t="s">
        <v>392</v>
      </c>
      <c r="J34" s="1" t="s">
        <v>393</v>
      </c>
      <c r="K34" s="1" t="s">
        <v>176</v>
      </c>
      <c r="L34" s="1" t="s">
        <v>394</v>
      </c>
      <c r="M34" s="1" t="s">
        <v>366</v>
      </c>
      <c r="N34" s="1" t="s">
        <v>139</v>
      </c>
      <c r="O34" s="1" t="s">
        <v>285</v>
      </c>
      <c r="Q34" s="1" t="s">
        <v>395</v>
      </c>
      <c r="R34" s="1" t="s">
        <v>366</v>
      </c>
      <c r="S34" s="1" t="s">
        <v>273</v>
      </c>
      <c r="T34" s="1" t="s">
        <v>36</v>
      </c>
      <c r="U34" s="4" t="s">
        <v>396</v>
      </c>
      <c r="V34" s="4" t="str">
        <f>IFERROR(__xludf.DUMMYFUNCTION("SPLIT(F34, "" "")"),"полноте")</f>
        <v>полноте</v>
      </c>
      <c r="W34" s="1" t="str">
        <f>IFERROR(__xludf.DUMMYFUNCTION("""COMPUTED_VALUE"""),"совпадения.")</f>
        <v>совпадения.</v>
      </c>
    </row>
    <row r="35" ht="14.25" customHeight="1">
      <c r="A35" s="1" t="s">
        <v>397</v>
      </c>
      <c r="B35" s="1" t="s">
        <v>398</v>
      </c>
      <c r="C35" s="2" t="s">
        <v>399</v>
      </c>
      <c r="D35" s="7" t="s">
        <v>400</v>
      </c>
      <c r="E35" s="1" t="s">
        <v>25</v>
      </c>
      <c r="F35" s="4" t="s">
        <v>401</v>
      </c>
      <c r="G35" s="7" t="s">
        <v>400</v>
      </c>
      <c r="H35" s="7" t="s">
        <v>402</v>
      </c>
      <c r="I35" s="4" t="s">
        <v>392</v>
      </c>
      <c r="J35" s="1" t="s">
        <v>393</v>
      </c>
      <c r="K35" s="1" t="s">
        <v>176</v>
      </c>
      <c r="L35" s="1" t="s">
        <v>394</v>
      </c>
      <c r="M35" s="1" t="s">
        <v>366</v>
      </c>
      <c r="N35" s="1" t="s">
        <v>139</v>
      </c>
      <c r="O35" s="1" t="s">
        <v>285</v>
      </c>
      <c r="Q35" s="1" t="s">
        <v>395</v>
      </c>
      <c r="R35" s="1" t="s">
        <v>366</v>
      </c>
      <c r="S35" s="1" t="s">
        <v>273</v>
      </c>
      <c r="T35" s="1" t="s">
        <v>36</v>
      </c>
      <c r="U35" s="4" t="s">
        <v>403</v>
      </c>
      <c r="V35" s="4" t="str">
        <f>IFERROR(__xludf.DUMMYFUNCTION("SPLIT(F35, "" "")"),"возможности")</f>
        <v>возможности</v>
      </c>
      <c r="W35" s="1" t="str">
        <f>IFERROR(__xludf.DUMMYFUNCTION("""COMPUTED_VALUE"""),"высказаться.")</f>
        <v>высказаться.</v>
      </c>
    </row>
    <row r="36" ht="14.25" customHeight="1">
      <c r="A36" s="1" t="s">
        <v>404</v>
      </c>
      <c r="B36" s="1" t="s">
        <v>156</v>
      </c>
      <c r="C36" s="2" t="s">
        <v>405</v>
      </c>
      <c r="D36" s="7" t="s">
        <v>158</v>
      </c>
      <c r="E36" s="1" t="s">
        <v>25</v>
      </c>
      <c r="F36" s="4" t="s">
        <v>406</v>
      </c>
      <c r="G36" s="7" t="s">
        <v>158</v>
      </c>
      <c r="H36" s="7" t="s">
        <v>407</v>
      </c>
      <c r="I36" s="4" t="s">
        <v>408</v>
      </c>
      <c r="J36" s="1" t="s">
        <v>409</v>
      </c>
      <c r="K36" s="1" t="s">
        <v>410</v>
      </c>
      <c r="L36" s="1" t="s">
        <v>411</v>
      </c>
      <c r="M36" s="1" t="s">
        <v>366</v>
      </c>
      <c r="N36" s="1" t="s">
        <v>139</v>
      </c>
      <c r="O36" s="1" t="s">
        <v>367</v>
      </c>
      <c r="Q36" s="1" t="s">
        <v>286</v>
      </c>
      <c r="R36" s="1" t="s">
        <v>366</v>
      </c>
      <c r="S36" s="1" t="s">
        <v>70</v>
      </c>
      <c r="T36" s="1" t="s">
        <v>36</v>
      </c>
      <c r="U36" s="4" t="s">
        <v>412</v>
      </c>
      <c r="V36" s="4" t="str">
        <f>IFERROR(__xludf.DUMMYFUNCTION("SPLIT(F36, "" "")"),"узнаванию")</f>
        <v>узнаванию</v>
      </c>
      <c r="W36" s="1" t="str">
        <f>IFERROR(__xludf.DUMMYFUNCTION("""COMPUTED_VALUE"""),"родных")</f>
        <v>родных</v>
      </c>
      <c r="X36" s="1" t="str">
        <f>IFERROR(__xludf.DUMMYFUNCTION("""COMPUTED_VALUE"""),"лиц,")</f>
        <v>лиц,</v>
      </c>
      <c r="Y36" s="1" t="str">
        <f>IFERROR(__xludf.DUMMYFUNCTION("""COMPUTED_VALUE"""),"сосок,")</f>
        <v>сосок,</v>
      </c>
      <c r="Z36" s="1" t="str">
        <f>IFERROR(__xludf.DUMMYFUNCTION("""COMPUTED_VALUE"""),"погремушек.")</f>
        <v>погремушек.</v>
      </c>
    </row>
    <row r="37" ht="14.25" customHeight="1">
      <c r="A37" s="1" t="s">
        <v>413</v>
      </c>
      <c r="B37" s="1" t="s">
        <v>414</v>
      </c>
      <c r="C37" s="2" t="s">
        <v>415</v>
      </c>
      <c r="D37" s="7" t="s">
        <v>416</v>
      </c>
      <c r="E37" s="1" t="s">
        <v>25</v>
      </c>
      <c r="F37" s="4" t="s">
        <v>417</v>
      </c>
      <c r="G37" s="7" t="s">
        <v>416</v>
      </c>
      <c r="H37" s="7" t="s">
        <v>418</v>
      </c>
      <c r="I37" s="4" t="s">
        <v>408</v>
      </c>
      <c r="J37" s="1" t="s">
        <v>409</v>
      </c>
      <c r="K37" s="1" t="s">
        <v>410</v>
      </c>
      <c r="L37" s="1" t="s">
        <v>411</v>
      </c>
      <c r="M37" s="1" t="s">
        <v>366</v>
      </c>
      <c r="N37" s="1" t="s">
        <v>139</v>
      </c>
      <c r="O37" s="1" t="s">
        <v>367</v>
      </c>
      <c r="Q37" s="1" t="s">
        <v>286</v>
      </c>
      <c r="R37" s="1" t="s">
        <v>366</v>
      </c>
      <c r="S37" s="1" t="s">
        <v>70</v>
      </c>
      <c r="T37" s="1" t="s">
        <v>36</v>
      </c>
      <c r="U37" s="4" t="s">
        <v>419</v>
      </c>
      <c r="V37" s="4" t="str">
        <f>IFERROR(__xludf.DUMMYFUNCTION("SPLIT(F37, "" "")"),"приключению,")</f>
        <v>приключению,</v>
      </c>
      <c r="W37" s="1" t="str">
        <f>IFERROR(__xludf.DUMMYFUNCTION("""COMPUTED_VALUE"""),"подхватила")</f>
        <v>подхватила</v>
      </c>
      <c r="X37" s="1" t="str">
        <f>IFERROR(__xludf.DUMMYFUNCTION("""COMPUTED_VALUE"""),"Таня.")</f>
        <v>Таня.</v>
      </c>
    </row>
    <row r="38" ht="14.25" customHeight="1">
      <c r="A38" s="1" t="s">
        <v>25</v>
      </c>
      <c r="B38" s="1" t="s">
        <v>420</v>
      </c>
      <c r="C38" s="2"/>
      <c r="D38" s="7" t="s">
        <v>421</v>
      </c>
      <c r="E38" s="1" t="s">
        <v>25</v>
      </c>
      <c r="F38" s="4" t="s">
        <v>422</v>
      </c>
      <c r="G38" s="7" t="s">
        <v>421</v>
      </c>
      <c r="H38" s="7" t="s">
        <v>423</v>
      </c>
      <c r="I38" s="4" t="s">
        <v>408</v>
      </c>
      <c r="J38" s="1" t="s">
        <v>409</v>
      </c>
      <c r="K38" s="1" t="s">
        <v>410</v>
      </c>
      <c r="L38" s="1" t="s">
        <v>411</v>
      </c>
      <c r="M38" s="1" t="s">
        <v>366</v>
      </c>
      <c r="N38" s="1" t="s">
        <v>139</v>
      </c>
      <c r="O38" s="1" t="s">
        <v>367</v>
      </c>
      <c r="Q38" s="1" t="s">
        <v>286</v>
      </c>
      <c r="R38" s="1" t="s">
        <v>366</v>
      </c>
      <c r="S38" s="1" t="s">
        <v>70</v>
      </c>
      <c r="T38" s="1" t="s">
        <v>36</v>
      </c>
      <c r="U38" s="4" t="s">
        <v>424</v>
      </c>
      <c r="V38" s="4" t="str">
        <f>IFERROR(__xludf.DUMMYFUNCTION("SPLIT(F38, "" "")"),"лёгкости")</f>
        <v>лёгкости</v>
      </c>
      <c r="W38" s="1" t="str">
        <f>IFERROR(__xludf.DUMMYFUNCTION("""COMPUTED_VALUE"""),"и")</f>
        <v>и</v>
      </c>
      <c r="X38" s="1" t="str">
        <f>IFERROR(__xludf.DUMMYFUNCTION("""COMPUTED_VALUE"""),"послушности")</f>
        <v>послушности</v>
      </c>
      <c r="Y38" s="1" t="str">
        <f>IFERROR(__xludf.DUMMYFUNCTION("""COMPUTED_VALUE"""),"своего")</f>
        <v>своего</v>
      </c>
      <c r="Z38" s="1" t="str">
        <f>IFERROR(__xludf.DUMMYFUNCTION("""COMPUTED_VALUE"""),"тела,")</f>
        <v>тела,</v>
      </c>
      <c r="AA38" s="1" t="str">
        <f>IFERROR(__xludf.DUMMYFUNCTION("""COMPUTED_VALUE"""),"она")</f>
        <v>она</v>
      </c>
    </row>
    <row r="39" ht="14.25" customHeight="1">
      <c r="A39" s="1" t="s">
        <v>425</v>
      </c>
      <c r="B39" s="1" t="s">
        <v>208</v>
      </c>
      <c r="C39" s="2" t="s">
        <v>426</v>
      </c>
      <c r="D39" s="7" t="s">
        <v>210</v>
      </c>
      <c r="E39" s="1" t="s">
        <v>25</v>
      </c>
      <c r="F39" s="4" t="s">
        <v>427</v>
      </c>
      <c r="G39" s="7" t="s">
        <v>210</v>
      </c>
      <c r="H39" s="7" t="s">
        <v>428</v>
      </c>
      <c r="I39" s="4" t="s">
        <v>408</v>
      </c>
      <c r="J39" s="1" t="s">
        <v>409</v>
      </c>
      <c r="K39" s="1" t="s">
        <v>410</v>
      </c>
      <c r="L39" s="1" t="s">
        <v>411</v>
      </c>
      <c r="M39" s="1" t="s">
        <v>366</v>
      </c>
      <c r="N39" s="1" t="s">
        <v>139</v>
      </c>
      <c r="O39" s="1" t="s">
        <v>367</v>
      </c>
      <c r="Q39" s="1" t="s">
        <v>286</v>
      </c>
      <c r="R39" s="1" t="s">
        <v>366</v>
      </c>
      <c r="S39" s="1" t="s">
        <v>70</v>
      </c>
      <c r="T39" s="1" t="s">
        <v>36</v>
      </c>
      <c r="U39" s="4" t="s">
        <v>429</v>
      </c>
      <c r="V39" s="4" t="str">
        <f>IFERROR(__xludf.DUMMYFUNCTION("SPLIT(F39, "" "")"),"богатству")</f>
        <v>богатству</v>
      </c>
      <c r="W39" s="1" t="str">
        <f>IFERROR(__xludf.DUMMYFUNCTION("""COMPUTED_VALUE"""),"впечатлений,")</f>
        <v>впечатлений,</v>
      </c>
      <c r="X39" s="1" t="str">
        <f>IFERROR(__xludf.DUMMYFUNCTION("""COMPUTED_VALUE"""),"полученных")</f>
        <v>полученных</v>
      </c>
      <c r="Y39" s="1" t="str">
        <f>IFERROR(__xludf.DUMMYFUNCTION("""COMPUTED_VALUE"""),"через")</f>
        <v>через</v>
      </c>
      <c r="Z39" s="1" t="str">
        <f>IFERROR(__xludf.DUMMYFUNCTION("""COMPUTED_VALUE"""),"прикосновение")</f>
        <v>прикосновение</v>
      </c>
      <c r="AA39" s="1" t="str">
        <f>IFERROR(__xludf.DUMMYFUNCTION("""COMPUTED_VALUE"""),"голой")</f>
        <v>голой</v>
      </c>
    </row>
    <row r="40" ht="14.25" customHeight="1">
      <c r="A40" s="1" t="s">
        <v>430</v>
      </c>
      <c r="B40" s="1" t="s">
        <v>326</v>
      </c>
      <c r="C40" s="2" t="s">
        <v>431</v>
      </c>
      <c r="D40" s="7" t="s">
        <v>328</v>
      </c>
      <c r="E40" s="1" t="s">
        <v>25</v>
      </c>
      <c r="F40" s="4" t="s">
        <v>432</v>
      </c>
      <c r="G40" s="7" t="s">
        <v>328</v>
      </c>
      <c r="H40" s="7" t="s">
        <v>433</v>
      </c>
      <c r="I40" s="4" t="s">
        <v>408</v>
      </c>
      <c r="J40" s="1" t="s">
        <v>409</v>
      </c>
      <c r="K40" s="1" t="s">
        <v>410</v>
      </c>
      <c r="L40" s="1" t="s">
        <v>411</v>
      </c>
      <c r="M40" s="1" t="s">
        <v>366</v>
      </c>
      <c r="N40" s="1" t="s">
        <v>139</v>
      </c>
      <c r="O40" s="1" t="s">
        <v>367</v>
      </c>
      <c r="Q40" s="1" t="s">
        <v>286</v>
      </c>
      <c r="R40" s="1" t="s">
        <v>366</v>
      </c>
      <c r="S40" s="1" t="s">
        <v>70</v>
      </c>
      <c r="T40" s="1" t="s">
        <v>36</v>
      </c>
      <c r="U40" s="4" t="s">
        <v>434</v>
      </c>
      <c r="V40" s="4" t="str">
        <f>IFERROR(__xludf.DUMMYFUNCTION("SPLIT(F40, "" "")"),"Тане,")</f>
        <v>Тане,</v>
      </c>
      <c r="W40" s="1" t="str">
        <f>IFERROR(__xludf.DUMMYFUNCTION("""COMPUTED_VALUE"""),"поначалу")</f>
        <v>поначалу</v>
      </c>
      <c r="X40" s="1" t="str">
        <f>IFERROR(__xludf.DUMMYFUNCTION("""COMPUTED_VALUE"""),"расцветал")</f>
        <v>расцветал</v>
      </c>
      <c r="Y40" s="1" t="str">
        <f>IFERROR(__xludf.DUMMYFUNCTION("""COMPUTED_VALUE"""),"всеми")</f>
        <v>всеми</v>
      </c>
      <c r="Z40" s="1" t="str">
        <f>IFERROR(__xludf.DUMMYFUNCTION("""COMPUTED_VALUE"""),"собачьими")</f>
        <v>собачьими</v>
      </c>
      <c r="AA40" s="1" t="str">
        <f>IFERROR(__xludf.DUMMYFUNCTION("""COMPUTED_VALUE"""),"складками")</f>
        <v>складками</v>
      </c>
    </row>
    <row r="41" ht="14.25" customHeight="1">
      <c r="A41" s="1" t="s">
        <v>435</v>
      </c>
      <c r="B41" s="1" t="s">
        <v>436</v>
      </c>
      <c r="C41" s="2" t="s">
        <v>437</v>
      </c>
      <c r="D41" s="7" t="s">
        <v>438</v>
      </c>
      <c r="E41" s="1" t="s">
        <v>25</v>
      </c>
      <c r="F41" s="4" t="s">
        <v>439</v>
      </c>
      <c r="G41" s="7" t="s">
        <v>438</v>
      </c>
      <c r="H41" s="7" t="s">
        <v>440</v>
      </c>
      <c r="I41" s="4" t="s">
        <v>408</v>
      </c>
      <c r="J41" s="1" t="s">
        <v>409</v>
      </c>
      <c r="K41" s="1" t="s">
        <v>410</v>
      </c>
      <c r="L41" s="1" t="s">
        <v>411</v>
      </c>
      <c r="M41" s="1" t="s">
        <v>366</v>
      </c>
      <c r="N41" s="1" t="s">
        <v>139</v>
      </c>
      <c r="O41" s="1" t="s">
        <v>367</v>
      </c>
      <c r="Q41" s="1" t="s">
        <v>286</v>
      </c>
      <c r="R41" s="1" t="s">
        <v>366</v>
      </c>
      <c r="S41" s="1" t="s">
        <v>70</v>
      </c>
      <c r="T41" s="1" t="s">
        <v>36</v>
      </c>
      <c r="U41" s="4" t="s">
        <v>441</v>
      </c>
      <c r="V41" s="4" t="str">
        <f>IFERROR(__xludf.DUMMYFUNCTION("SPLIT(F41, "" "")"),"состоянию")</f>
        <v>состоянию</v>
      </c>
      <c r="W41" s="1" t="str">
        <f>IFERROR(__xludf.DUMMYFUNCTION("""COMPUTED_VALUE"""),"острой")</f>
        <v>острой</v>
      </c>
      <c r="X41" s="1" t="str">
        <f>IFERROR(__xludf.DUMMYFUNCTION("""COMPUTED_VALUE"""),"нежности")</f>
        <v>нежности</v>
      </c>
      <c r="Y41" s="1" t="str">
        <f>IFERROR(__xludf.DUMMYFUNCTION("""COMPUTED_VALUE"""),"и")</f>
        <v>и</v>
      </c>
      <c r="Z41" s="1" t="str">
        <f>IFERROR(__xludf.DUMMYFUNCTION("""COMPUTED_VALUE"""),"столь")</f>
        <v>столь</v>
      </c>
      <c r="AA41" s="1" t="str">
        <f>IFERROR(__xludf.DUMMYFUNCTION("""COMPUTED_VALUE"""),"же")</f>
        <v>же</v>
      </c>
    </row>
    <row r="42" ht="14.25" customHeight="1">
      <c r="A42" s="1" t="s">
        <v>442</v>
      </c>
      <c r="B42" s="1" t="s">
        <v>443</v>
      </c>
      <c r="C42" s="2" t="s">
        <v>444</v>
      </c>
      <c r="D42" s="7" t="s">
        <v>445</v>
      </c>
      <c r="E42" s="1" t="s">
        <v>25</v>
      </c>
      <c r="F42" s="4" t="s">
        <v>446</v>
      </c>
      <c r="G42" s="7" t="s">
        <v>445</v>
      </c>
      <c r="H42" s="7" t="s">
        <v>447</v>
      </c>
      <c r="I42" s="4" t="s">
        <v>408</v>
      </c>
      <c r="J42" s="1" t="s">
        <v>409</v>
      </c>
      <c r="K42" s="1" t="s">
        <v>410</v>
      </c>
      <c r="L42" s="1" t="s">
        <v>411</v>
      </c>
      <c r="M42" s="1" t="s">
        <v>366</v>
      </c>
      <c r="N42" s="1" t="s">
        <v>139</v>
      </c>
      <c r="O42" s="1" t="s">
        <v>367</v>
      </c>
      <c r="Q42" s="1" t="s">
        <v>286</v>
      </c>
      <c r="R42" s="1" t="s">
        <v>366</v>
      </c>
      <c r="S42" s="1" t="s">
        <v>70</v>
      </c>
      <c r="T42" s="1" t="s">
        <v>36</v>
      </c>
      <c r="U42" s="4" t="s">
        <v>448</v>
      </c>
      <c r="V42" s="4" t="str">
        <f>IFERROR(__xludf.DUMMYFUNCTION("SPLIT(F42, "" "")"),"Жене")</f>
        <v>Жене</v>
      </c>
      <c r="W42" s="1" t="str">
        <f>IFERROR(__xludf.DUMMYFUNCTION("""COMPUTED_VALUE"""),"помочь,")</f>
        <v>помочь,</v>
      </c>
      <c r="X42" s="1" t="str">
        <f>IFERROR(__xludf.DUMMYFUNCTION("""COMPUTED_VALUE"""),"но")</f>
        <v>но</v>
      </c>
      <c r="Y42" s="1" t="str">
        <f>IFERROR(__xludf.DUMMYFUNCTION("""COMPUTED_VALUE"""),"и")</f>
        <v>и</v>
      </c>
      <c r="Z42" s="1" t="str">
        <f>IFERROR(__xludf.DUMMYFUNCTION("""COMPUTED_VALUE"""),"сопротивляется")</f>
        <v>сопротивляется</v>
      </c>
      <c r="AA42" s="1" t="str">
        <f>IFERROR(__xludf.DUMMYFUNCTION("""COMPUTED_VALUE"""),"одновременно.")</f>
        <v>одновременно.</v>
      </c>
    </row>
    <row r="43" ht="14.25" customHeight="1">
      <c r="A43" s="1" t="s">
        <v>449</v>
      </c>
      <c r="B43" s="1" t="s">
        <v>414</v>
      </c>
      <c r="C43" s="2" t="s">
        <v>450</v>
      </c>
      <c r="D43" s="7" t="s">
        <v>416</v>
      </c>
      <c r="E43" s="1" t="s">
        <v>25</v>
      </c>
      <c r="F43" s="4" t="s">
        <v>451</v>
      </c>
      <c r="G43" s="7" t="s">
        <v>416</v>
      </c>
      <c r="H43" s="7" t="s">
        <v>452</v>
      </c>
      <c r="I43" s="4" t="s">
        <v>453</v>
      </c>
      <c r="J43" s="1" t="s">
        <v>454</v>
      </c>
      <c r="K43" s="1" t="s">
        <v>455</v>
      </c>
      <c r="L43" s="1" t="s">
        <v>456</v>
      </c>
      <c r="M43" s="1" t="s">
        <v>457</v>
      </c>
      <c r="N43" s="1" t="s">
        <v>139</v>
      </c>
      <c r="O43" s="1" t="s">
        <v>458</v>
      </c>
      <c r="Q43" s="1" t="s">
        <v>459</v>
      </c>
      <c r="R43" s="1" t="s">
        <v>113</v>
      </c>
      <c r="S43" s="1" t="s">
        <v>273</v>
      </c>
      <c r="T43" s="1" t="s">
        <v>36</v>
      </c>
      <c r="U43" s="4" t="s">
        <v>460</v>
      </c>
      <c r="V43" s="4" t="str">
        <f>IFERROR(__xludf.DUMMYFUNCTION("SPLIT(F43, "" "")"),"удаче.")</f>
        <v>удаче.</v>
      </c>
    </row>
    <row r="44" ht="14.25" customHeight="1">
      <c r="A44" s="1" t="s">
        <v>461</v>
      </c>
      <c r="B44" s="1" t="s">
        <v>462</v>
      </c>
      <c r="C44" s="2" t="s">
        <v>463</v>
      </c>
      <c r="D44" s="7" t="s">
        <v>464</v>
      </c>
      <c r="E44" s="1" t="s">
        <v>25</v>
      </c>
      <c r="F44" s="4" t="s">
        <v>465</v>
      </c>
      <c r="G44" s="7" t="s">
        <v>464</v>
      </c>
      <c r="H44" s="7" t="s">
        <v>466</v>
      </c>
      <c r="I44" s="4" t="s">
        <v>467</v>
      </c>
      <c r="J44" s="1" t="s">
        <v>454</v>
      </c>
      <c r="K44" s="1" t="s">
        <v>455</v>
      </c>
      <c r="L44" s="1" t="s">
        <v>468</v>
      </c>
      <c r="M44" s="1" t="s">
        <v>457</v>
      </c>
      <c r="N44" s="1" t="s">
        <v>139</v>
      </c>
      <c r="O44" s="1" t="s">
        <v>458</v>
      </c>
      <c r="Q44" s="1" t="s">
        <v>459</v>
      </c>
      <c r="R44" s="1" t="s">
        <v>113</v>
      </c>
      <c r="S44" s="1" t="s">
        <v>273</v>
      </c>
      <c r="T44" s="1" t="s">
        <v>36</v>
      </c>
      <c r="U44" s="4" t="s">
        <v>469</v>
      </c>
      <c r="V44" s="4" t="str">
        <f>IFERROR(__xludf.DUMMYFUNCTION("SPLIT(F44, "" "")"),"женщине")</f>
        <v>женщине</v>
      </c>
      <c r="W44" s="1" t="str">
        <f>IFERROR(__xludf.DUMMYFUNCTION("""COMPUTED_VALUE"""),"возвращаешься")</f>
        <v>возвращаешься</v>
      </c>
      <c r="X44" s="1" t="str">
        <f>IFERROR(__xludf.DUMMYFUNCTION("""COMPUTED_VALUE"""),"с")</f>
        <v>с</v>
      </c>
      <c r="Y44" s="1" t="str">
        <f>IFERROR(__xludf.DUMMYFUNCTION("""COMPUTED_VALUE"""),"хрустально-хрупкой")</f>
        <v>хрустально-хрупкой</v>
      </c>
      <c r="Z44" s="1" t="str">
        <f>IFERROR(__xludf.DUMMYFUNCTION("""COMPUTED_VALUE"""),"звенящей")</f>
        <v>звенящей</v>
      </c>
      <c r="AA44" s="1" t="str">
        <f>IFERROR(__xludf.DUMMYFUNCTION("""COMPUTED_VALUE"""),"и")</f>
        <v>и</v>
      </c>
    </row>
    <row r="45" ht="14.25" customHeight="1">
      <c r="A45" s="1" t="s">
        <v>470</v>
      </c>
      <c r="B45" s="1" t="s">
        <v>346</v>
      </c>
      <c r="C45" s="2" t="s">
        <v>471</v>
      </c>
      <c r="D45" s="7" t="s">
        <v>348</v>
      </c>
      <c r="E45" s="1" t="s">
        <v>25</v>
      </c>
      <c r="F45" s="4" t="s">
        <v>472</v>
      </c>
      <c r="G45" s="7" t="s">
        <v>348</v>
      </c>
      <c r="H45" s="7" t="s">
        <v>473</v>
      </c>
      <c r="I45" s="4" t="s">
        <v>467</v>
      </c>
      <c r="J45" s="1" t="s">
        <v>454</v>
      </c>
      <c r="K45" s="1" t="s">
        <v>455</v>
      </c>
      <c r="L45" s="1" t="s">
        <v>468</v>
      </c>
      <c r="M45" s="1" t="s">
        <v>457</v>
      </c>
      <c r="N45" s="1" t="s">
        <v>139</v>
      </c>
      <c r="O45" s="1" t="s">
        <v>458</v>
      </c>
      <c r="Q45" s="1" t="s">
        <v>459</v>
      </c>
      <c r="R45" s="1" t="s">
        <v>113</v>
      </c>
      <c r="S45" s="1" t="s">
        <v>273</v>
      </c>
      <c r="T45" s="1" t="s">
        <v>36</v>
      </c>
      <c r="U45" s="4" t="s">
        <v>474</v>
      </c>
      <c r="V45" s="4" t="str">
        <f>IFERROR(__xludf.DUMMYFUNCTION("SPLIT(F45, "" "")"),"отцу")</f>
        <v>отцу</v>
      </c>
      <c r="W45" s="1" t="str">
        <f>IFERROR(__xludf.DUMMYFUNCTION("""COMPUTED_VALUE"""),"и")</f>
        <v>и</v>
      </c>
      <c r="X45" s="1" t="str">
        <f>IFERROR(__xludf.DUMMYFUNCTION("""COMPUTED_VALUE"""),"мужу,")</f>
        <v>мужу,</v>
      </c>
      <c r="Y45" s="1" t="str">
        <f>IFERROR(__xludf.DUMMYFUNCTION("""COMPUTED_VALUE"""),"они")</f>
        <v>они</v>
      </c>
      <c r="Z45" s="1" t="str">
        <f>IFERROR(__xludf.DUMMYFUNCTION("""COMPUTED_VALUE"""),"вдруг")</f>
        <v>вдруг</v>
      </c>
      <c r="AA45" s="1" t="str">
        <f>IFERROR(__xludf.DUMMYFUNCTION("""COMPUTED_VALUE"""),"тоже")</f>
        <v>тоже</v>
      </c>
    </row>
    <row r="46" ht="14.25" customHeight="1">
      <c r="A46" s="1" t="s">
        <v>475</v>
      </c>
      <c r="B46" s="1" t="s">
        <v>414</v>
      </c>
      <c r="C46" s="2" t="s">
        <v>476</v>
      </c>
      <c r="D46" s="7" t="s">
        <v>416</v>
      </c>
      <c r="E46" s="1" t="s">
        <v>25</v>
      </c>
      <c r="F46" s="4" t="s">
        <v>477</v>
      </c>
      <c r="G46" s="7" t="s">
        <v>416</v>
      </c>
      <c r="H46" s="7" t="s">
        <v>478</v>
      </c>
      <c r="I46" s="4" t="s">
        <v>479</v>
      </c>
      <c r="J46" s="1" t="s">
        <v>480</v>
      </c>
      <c r="K46" s="1" t="s">
        <v>481</v>
      </c>
      <c r="L46" s="1" t="s">
        <v>482</v>
      </c>
      <c r="M46" s="1" t="s">
        <v>457</v>
      </c>
      <c r="N46" s="1" t="s">
        <v>139</v>
      </c>
      <c r="O46" s="1" t="s">
        <v>285</v>
      </c>
      <c r="Q46" s="1" t="s">
        <v>483</v>
      </c>
      <c r="R46" s="1" t="s">
        <v>322</v>
      </c>
      <c r="S46" s="1" t="s">
        <v>273</v>
      </c>
      <c r="T46" s="1" t="s">
        <v>36</v>
      </c>
      <c r="U46" s="4" t="s">
        <v>484</v>
      </c>
      <c r="V46" s="4" t="str">
        <f>IFERROR(__xludf.DUMMYFUNCTION("SPLIT(F46, "" "")"),"каникулам.")</f>
        <v>каникулам.</v>
      </c>
    </row>
    <row r="47" ht="14.25" customHeight="1">
      <c r="A47" s="1" t="s">
        <v>485</v>
      </c>
      <c r="B47" s="1" t="s">
        <v>326</v>
      </c>
      <c r="C47" s="2" t="s">
        <v>486</v>
      </c>
      <c r="D47" s="7" t="s">
        <v>328</v>
      </c>
      <c r="E47" s="1" t="s">
        <v>25</v>
      </c>
      <c r="F47" s="4" t="s">
        <v>487</v>
      </c>
      <c r="G47" s="7" t="s">
        <v>328</v>
      </c>
      <c r="H47" s="7" t="s">
        <v>488</v>
      </c>
      <c r="I47" s="4" t="s">
        <v>489</v>
      </c>
      <c r="J47" s="1" t="s">
        <v>490</v>
      </c>
      <c r="K47" s="1" t="s">
        <v>320</v>
      </c>
      <c r="L47" s="1" t="s">
        <v>491</v>
      </c>
      <c r="M47" s="1" t="s">
        <v>457</v>
      </c>
      <c r="N47" s="1" t="s">
        <v>51</v>
      </c>
      <c r="O47" s="1" t="s">
        <v>271</v>
      </c>
      <c r="Q47" s="1" t="s">
        <v>286</v>
      </c>
      <c r="R47" s="1" t="s">
        <v>366</v>
      </c>
      <c r="S47" s="1" t="s">
        <v>70</v>
      </c>
      <c r="T47" s="1" t="s">
        <v>36</v>
      </c>
      <c r="U47" s="4" t="s">
        <v>492</v>
      </c>
      <c r="V47" s="4" t="str">
        <f>IFERROR(__xludf.DUMMYFUNCTION("SPLIT(F47, "" "")"),"обустройству")</f>
        <v>обустройству</v>
      </c>
      <c r="W47" s="1" t="str">
        <f>IFERROR(__xludf.DUMMYFUNCTION("""COMPUTED_VALUE"""),"своему,")</f>
        <v>своему,</v>
      </c>
      <c r="X47" s="1" t="str">
        <f>IFERROR(__xludf.DUMMYFUNCTION("""COMPUTED_VALUE"""),"говорил,")</f>
        <v>говорил,</v>
      </c>
      <c r="Y47" s="1" t="str">
        <f>IFERROR(__xludf.DUMMYFUNCTION("""COMPUTED_VALUE"""),"что")</f>
        <v>что</v>
      </c>
      <c r="Z47" s="1" t="str">
        <f>IFERROR(__xludf.DUMMYFUNCTION("""COMPUTED_VALUE"""),"вот")</f>
        <v>вот</v>
      </c>
      <c r="AA47" s="1" t="str">
        <f>IFERROR(__xludf.DUMMYFUNCTION("""COMPUTED_VALUE"""),"всё")</f>
        <v>всё</v>
      </c>
    </row>
    <row r="48" ht="14.25" customHeight="1">
      <c r="A48" s="1" t="s">
        <v>493</v>
      </c>
      <c r="B48" s="1" t="s">
        <v>494</v>
      </c>
      <c r="C48" s="2" t="s">
        <v>495</v>
      </c>
      <c r="D48" s="7" t="s">
        <v>496</v>
      </c>
      <c r="E48" s="1" t="s">
        <v>25</v>
      </c>
      <c r="F48" s="4" t="s">
        <v>497</v>
      </c>
      <c r="G48" s="7" t="s">
        <v>496</v>
      </c>
      <c r="H48" s="7" t="s">
        <v>498</v>
      </c>
      <c r="I48" s="4" t="s">
        <v>499</v>
      </c>
      <c r="J48" s="1" t="s">
        <v>500</v>
      </c>
      <c r="K48" s="1" t="s">
        <v>501</v>
      </c>
      <c r="L48" s="1" t="s">
        <v>502</v>
      </c>
      <c r="M48" s="1" t="s">
        <v>503</v>
      </c>
      <c r="N48" s="1" t="s">
        <v>139</v>
      </c>
      <c r="O48" s="1" t="s">
        <v>367</v>
      </c>
      <c r="Q48" s="1" t="s">
        <v>286</v>
      </c>
      <c r="R48" s="1" t="s">
        <v>503</v>
      </c>
      <c r="S48" s="1" t="s">
        <v>70</v>
      </c>
      <c r="T48" s="1" t="s">
        <v>36</v>
      </c>
      <c r="U48" s="4" t="s">
        <v>504</v>
      </c>
      <c r="V48" s="4" t="str">
        <f>IFERROR(__xludf.DUMMYFUNCTION("SPLIT(F48, "" "")"),"лопате")</f>
        <v>лопате</v>
      </c>
      <c r="W48" s="1" t="str">
        <f>IFERROR(__xludf.DUMMYFUNCTION("""COMPUTED_VALUE"""),"бригадира.")</f>
        <v>бригадира.</v>
      </c>
    </row>
    <row r="49" ht="14.25" customHeight="1">
      <c r="A49" s="1" t="s">
        <v>25</v>
      </c>
      <c r="B49" s="1" t="s">
        <v>505</v>
      </c>
      <c r="C49" s="2"/>
      <c r="D49" s="7" t="s">
        <v>506</v>
      </c>
      <c r="E49" s="1" t="s">
        <v>25</v>
      </c>
      <c r="F49" s="4" t="s">
        <v>507</v>
      </c>
      <c r="G49" s="7" t="s">
        <v>506</v>
      </c>
      <c r="H49" s="7" t="s">
        <v>508</v>
      </c>
      <c r="I49" s="4" t="s">
        <v>499</v>
      </c>
      <c r="J49" s="1" t="s">
        <v>500</v>
      </c>
      <c r="K49" s="1" t="s">
        <v>501</v>
      </c>
      <c r="L49" s="1" t="s">
        <v>502</v>
      </c>
      <c r="M49" s="1" t="s">
        <v>503</v>
      </c>
      <c r="N49" s="1" t="s">
        <v>139</v>
      </c>
      <c r="O49" s="1" t="s">
        <v>367</v>
      </c>
      <c r="Q49" s="1" t="s">
        <v>286</v>
      </c>
      <c r="R49" s="1" t="s">
        <v>503</v>
      </c>
      <c r="S49" s="1" t="s">
        <v>70</v>
      </c>
      <c r="T49" s="1" t="s">
        <v>36</v>
      </c>
      <c r="U49" s="4" t="s">
        <v>509</v>
      </c>
      <c r="V49" s="4" t="str">
        <f>IFERROR(__xludf.DUMMYFUNCTION("SPLIT(F49, "" "")"),"приобретению,")</f>
        <v>приобретению,</v>
      </c>
      <c r="W49" s="1" t="str">
        <f>IFERROR(__xludf.DUMMYFUNCTION("""COMPUTED_VALUE"""),"Андрей")</f>
        <v>Андрей</v>
      </c>
      <c r="X49" s="1" t="str">
        <f>IFERROR(__xludf.DUMMYFUNCTION("""COMPUTED_VALUE"""),"Николаевич")</f>
        <v>Николаевич</v>
      </c>
      <c r="Y49" s="1" t="str">
        <f>IFERROR(__xludf.DUMMYFUNCTION("""COMPUTED_VALUE"""),"не")</f>
        <v>не</v>
      </c>
      <c r="Z49" s="1" t="str">
        <f>IFERROR(__xludf.DUMMYFUNCTION("""COMPUTED_VALUE"""),"сунул")</f>
        <v>сунул</v>
      </c>
      <c r="AA49" s="1" t="str">
        <f>IFERROR(__xludf.DUMMYFUNCTION("""COMPUTED_VALUE"""),"бельгийский")</f>
        <v>бельгийский</v>
      </c>
    </row>
    <row r="50" ht="14.25" customHeight="1">
      <c r="A50" s="1" t="s">
        <v>510</v>
      </c>
      <c r="B50" s="1" t="s">
        <v>511</v>
      </c>
      <c r="C50" s="2" t="s">
        <v>512</v>
      </c>
      <c r="D50" s="7" t="s">
        <v>513</v>
      </c>
      <c r="E50" s="1" t="s">
        <v>25</v>
      </c>
      <c r="F50" s="4" t="s">
        <v>514</v>
      </c>
      <c r="G50" s="7" t="s">
        <v>513</v>
      </c>
      <c r="H50" s="7" t="s">
        <v>515</v>
      </c>
      <c r="I50" s="4" t="s">
        <v>516</v>
      </c>
      <c r="J50" s="1" t="s">
        <v>500</v>
      </c>
      <c r="K50" s="1" t="s">
        <v>501</v>
      </c>
      <c r="L50" s="1" t="s">
        <v>517</v>
      </c>
      <c r="M50" s="1" t="s">
        <v>518</v>
      </c>
      <c r="N50" s="1" t="s">
        <v>139</v>
      </c>
      <c r="O50" s="1" t="s">
        <v>285</v>
      </c>
      <c r="Q50" s="1" t="s">
        <v>286</v>
      </c>
      <c r="R50" s="1" t="s">
        <v>518</v>
      </c>
      <c r="S50" s="1" t="s">
        <v>70</v>
      </c>
      <c r="T50" s="1" t="s">
        <v>36</v>
      </c>
      <c r="U50" s="4" t="s">
        <v>519</v>
      </c>
      <c r="V50" s="4" t="str">
        <f>IFERROR(__xludf.DUMMYFUNCTION("SPLIT(F50, "" "")"),"искусству")</f>
        <v>искусству</v>
      </c>
      <c r="W50" s="1" t="str">
        <f>IFERROR(__xludf.DUMMYFUNCTION("""COMPUTED_VALUE"""),"Францева")</f>
        <v>Францева</v>
      </c>
      <c r="X50" s="1" t="str">
        <f>IFERROR(__xludf.DUMMYFUNCTION("""COMPUTED_VALUE"""),"умно")</f>
        <v>умно</v>
      </c>
      <c r="Y50" s="1" t="str">
        <f>IFERROR(__xludf.DUMMYFUNCTION("""COMPUTED_VALUE"""),"обдуривать.")</f>
        <v>обдуривать.</v>
      </c>
    </row>
    <row r="51" ht="14.25" customHeight="1">
      <c r="A51" s="1" t="s">
        <v>520</v>
      </c>
      <c r="B51" s="1" t="s">
        <v>398</v>
      </c>
      <c r="C51" s="2" t="s">
        <v>521</v>
      </c>
      <c r="D51" s="7" t="s">
        <v>400</v>
      </c>
      <c r="E51" s="1" t="s">
        <v>25</v>
      </c>
      <c r="F51" s="4" t="s">
        <v>522</v>
      </c>
      <c r="G51" s="7" t="s">
        <v>400</v>
      </c>
      <c r="H51" s="7" t="s">
        <v>523</v>
      </c>
      <c r="I51" s="4" t="s">
        <v>524</v>
      </c>
      <c r="J51" s="1" t="s">
        <v>525</v>
      </c>
      <c r="K51" s="1" t="s">
        <v>526</v>
      </c>
      <c r="L51" s="1" t="s">
        <v>527</v>
      </c>
      <c r="M51" s="1" t="s">
        <v>518</v>
      </c>
      <c r="N51" s="1" t="s">
        <v>139</v>
      </c>
      <c r="O51" s="1" t="s">
        <v>458</v>
      </c>
      <c r="Q51" s="1" t="s">
        <v>459</v>
      </c>
      <c r="R51" s="1" t="s">
        <v>113</v>
      </c>
      <c r="S51" s="1" t="s">
        <v>273</v>
      </c>
      <c r="T51" s="1" t="s">
        <v>36</v>
      </c>
      <c r="U51" s="4" t="s">
        <v>528</v>
      </c>
      <c r="V51" s="4" t="str">
        <f>IFERROR(__xludf.DUMMYFUNCTION("SPLIT(F51, "" "")"),"успехам")</f>
        <v>успехам</v>
      </c>
      <c r="W51" s="1" t="str">
        <f>IFERROR(__xludf.DUMMYFUNCTION("""COMPUTED_VALUE"""),"восстановления")</f>
        <v>восстановления</v>
      </c>
      <c r="X51" s="1" t="str">
        <f>IFERROR(__xludf.DUMMYFUNCTION("""COMPUTED_VALUE"""),"народного")</f>
        <v>народного</v>
      </c>
      <c r="Y51" s="1" t="str">
        <f>IFERROR(__xludf.DUMMYFUNCTION("""COMPUTED_VALUE"""),"хозяйства,")</f>
        <v>хозяйства,</v>
      </c>
      <c r="Z51" s="1" t="str">
        <f>IFERROR(__xludf.DUMMYFUNCTION("""COMPUTED_VALUE"""),"разрушенного")</f>
        <v>разрушенного</v>
      </c>
      <c r="AA51" s="1" t="str">
        <f>IFERROR(__xludf.DUMMYFUNCTION("""COMPUTED_VALUE"""),"войной")</f>
        <v>войной</v>
      </c>
    </row>
    <row r="52" ht="14.25" customHeight="1">
      <c r="A52" s="1" t="s">
        <v>529</v>
      </c>
      <c r="B52" s="1" t="s">
        <v>208</v>
      </c>
      <c r="C52" s="2" t="s">
        <v>530</v>
      </c>
      <c r="D52" s="7" t="s">
        <v>210</v>
      </c>
      <c r="E52" s="1" t="s">
        <v>25</v>
      </c>
      <c r="F52" s="4" t="s">
        <v>531</v>
      </c>
      <c r="G52" s="7" t="s">
        <v>210</v>
      </c>
      <c r="H52" s="7" t="s">
        <v>532</v>
      </c>
      <c r="I52" s="4" t="s">
        <v>533</v>
      </c>
      <c r="J52" s="1" t="s">
        <v>534</v>
      </c>
      <c r="K52" s="1" t="s">
        <v>535</v>
      </c>
      <c r="L52" s="1" t="s">
        <v>536</v>
      </c>
      <c r="M52" s="1" t="s">
        <v>537</v>
      </c>
      <c r="N52" s="1" t="s">
        <v>51</v>
      </c>
      <c r="O52" s="1" t="s">
        <v>271</v>
      </c>
      <c r="Q52" s="1" t="s">
        <v>538</v>
      </c>
      <c r="R52" s="1" t="s">
        <v>503</v>
      </c>
      <c r="S52" s="1" t="s">
        <v>273</v>
      </c>
      <c r="T52" s="1" t="s">
        <v>36</v>
      </c>
      <c r="U52" s="4" t="s">
        <v>539</v>
      </c>
      <c r="V52" s="4" t="str">
        <f>IFERROR(__xludf.DUMMYFUNCTION("SPLIT(F52, "" "")"),"вопросу")</f>
        <v>вопросу</v>
      </c>
      <c r="W52" s="1" t="str">
        <f>IFERROR(__xludf.DUMMYFUNCTION("""COMPUTED_VALUE"""),"Сергея")</f>
        <v>Сергея</v>
      </c>
      <c r="X52" s="1" t="str">
        <f>IFERROR(__xludf.DUMMYFUNCTION("""COMPUTED_VALUE"""),"Яковлевича,")</f>
        <v>Яковлевича,</v>
      </c>
      <c r="Y52" s="1" t="str">
        <f>IFERROR(__xludf.DUMMYFUNCTION("""COMPUTED_VALUE"""),"но")</f>
        <v>но</v>
      </c>
      <c r="Z52" s="1" t="str">
        <f>IFERROR(__xludf.DUMMYFUNCTION("""COMPUTED_VALUE"""),"ответила:")</f>
        <v>ответила:</v>
      </c>
    </row>
    <row r="53" ht="14.25" customHeight="1">
      <c r="A53" s="1" t="s">
        <v>25</v>
      </c>
      <c r="B53" s="1" t="s">
        <v>540</v>
      </c>
      <c r="C53" s="2"/>
      <c r="D53" s="7" t="s">
        <v>541</v>
      </c>
      <c r="E53" s="1" t="s">
        <v>25</v>
      </c>
      <c r="F53" s="4" t="s">
        <v>542</v>
      </c>
      <c r="G53" s="7" t="s">
        <v>541</v>
      </c>
      <c r="H53" s="7" t="s">
        <v>543</v>
      </c>
      <c r="I53" s="4" t="s">
        <v>533</v>
      </c>
      <c r="J53" s="1" t="s">
        <v>534</v>
      </c>
      <c r="K53" s="1" t="s">
        <v>535</v>
      </c>
      <c r="L53" s="1" t="s">
        <v>536</v>
      </c>
      <c r="M53" s="1" t="s">
        <v>537</v>
      </c>
      <c r="N53" s="1" t="s">
        <v>51</v>
      </c>
      <c r="O53" s="1" t="s">
        <v>271</v>
      </c>
      <c r="Q53" s="1" t="s">
        <v>538</v>
      </c>
      <c r="R53" s="1" t="s">
        <v>503</v>
      </c>
      <c r="S53" s="1" t="s">
        <v>273</v>
      </c>
      <c r="T53" s="1" t="s">
        <v>36</v>
      </c>
      <c r="U53" s="4" t="s">
        <v>544</v>
      </c>
      <c r="V53" s="4" t="str">
        <f>IFERROR(__xludf.DUMMYFUNCTION("SPLIT(F53, "" "")"),"приходу")</f>
        <v>приходу</v>
      </c>
      <c r="W53" s="1" t="str">
        <f>IFERROR(__xludf.DUMMYFUNCTION("""COMPUTED_VALUE"""),"Рины,")</f>
        <v>Рины,</v>
      </c>
      <c r="X53" s="1" t="str">
        <f>IFERROR(__xludf.DUMMYFUNCTION("""COMPUTED_VALUE"""),"я")</f>
        <v>я</v>
      </c>
      <c r="Y53" s="1" t="str">
        <f>IFERROR(__xludf.DUMMYFUNCTION("""COMPUTED_VALUE"""),"договорилась")</f>
        <v>договорилась</v>
      </c>
      <c r="Z53" s="1" t="str">
        <f>IFERROR(__xludf.DUMMYFUNCTION("""COMPUTED_VALUE"""),"встретиться")</f>
        <v>встретиться</v>
      </c>
      <c r="AA53" s="1" t="str">
        <f>IFERROR(__xludf.DUMMYFUNCTION("""COMPUTED_VALUE"""),"с")</f>
        <v>с</v>
      </c>
    </row>
    <row r="54" ht="14.25" customHeight="1">
      <c r="A54" s="1" t="s">
        <v>545</v>
      </c>
      <c r="B54" s="1" t="s">
        <v>546</v>
      </c>
      <c r="C54" s="2" t="s">
        <v>547</v>
      </c>
      <c r="D54" s="7" t="s">
        <v>548</v>
      </c>
      <c r="E54" s="1" t="s">
        <v>197</v>
      </c>
      <c r="F54" s="4" t="s">
        <v>549</v>
      </c>
      <c r="G54" s="7" t="s">
        <v>548</v>
      </c>
      <c r="H54" s="7" t="s">
        <v>550</v>
      </c>
      <c r="I54" s="4" t="s">
        <v>551</v>
      </c>
      <c r="J54" s="1" t="s">
        <v>490</v>
      </c>
      <c r="K54" s="1" t="s">
        <v>320</v>
      </c>
      <c r="L54" s="1" t="s">
        <v>552</v>
      </c>
      <c r="M54" s="1" t="s">
        <v>553</v>
      </c>
      <c r="N54" s="1" t="s">
        <v>139</v>
      </c>
      <c r="O54" s="1" t="s">
        <v>285</v>
      </c>
      <c r="Q54" s="1" t="s">
        <v>554</v>
      </c>
      <c r="R54" s="1" t="s">
        <v>518</v>
      </c>
      <c r="S54" s="1" t="s">
        <v>273</v>
      </c>
      <c r="T54" s="1" t="s">
        <v>36</v>
      </c>
      <c r="U54" s="4" t="s">
        <v>555</v>
      </c>
      <c r="V54" s="4" t="str">
        <f>IFERROR(__xludf.DUMMYFUNCTION("SPLIT(F54, "" "")"),"офицерам")</f>
        <v>офицерам</v>
      </c>
      <c r="W54" s="1" t="str">
        <f>IFERROR(__xludf.DUMMYFUNCTION("""COMPUTED_VALUE"""),"заводить")</f>
        <v>заводить</v>
      </c>
      <c r="X54" s="1" t="str">
        <f>IFERROR(__xludf.DUMMYFUNCTION("""COMPUTED_VALUE"""),"романы,")</f>
        <v>романы,</v>
      </c>
      <c r="Y54" s="1" t="str">
        <f>IFERROR(__xludf.DUMMYFUNCTION("""COMPUTED_VALUE"""),"иногда")</f>
        <v>иногда</v>
      </c>
      <c r="Z54" s="1" t="str">
        <f>IFERROR(__xludf.DUMMYFUNCTION("""COMPUTED_VALUE"""),"заканчивающиеся")</f>
        <v>заканчивающиеся</v>
      </c>
      <c r="AA54" s="1" t="str">
        <f>IFERROR(__xludf.DUMMYFUNCTION("""COMPUTED_VALUE"""),"женитьбой")</f>
        <v>женитьбой</v>
      </c>
    </row>
    <row r="55" ht="14.25" customHeight="1">
      <c r="A55" s="1" t="s">
        <v>556</v>
      </c>
      <c r="B55" s="1" t="s">
        <v>557</v>
      </c>
      <c r="C55" s="2" t="s">
        <v>558</v>
      </c>
      <c r="D55" s="7" t="s">
        <v>559</v>
      </c>
      <c r="E55" s="1" t="s">
        <v>25</v>
      </c>
      <c r="F55" s="4" t="s">
        <v>560</v>
      </c>
      <c r="G55" s="7" t="s">
        <v>559</v>
      </c>
      <c r="H55" s="7" t="s">
        <v>561</v>
      </c>
      <c r="I55" s="4" t="s">
        <v>551</v>
      </c>
      <c r="J55" s="1" t="s">
        <v>490</v>
      </c>
      <c r="K55" s="1" t="s">
        <v>320</v>
      </c>
      <c r="L55" s="1" t="s">
        <v>552</v>
      </c>
      <c r="M55" s="1" t="s">
        <v>553</v>
      </c>
      <c r="N55" s="1" t="s">
        <v>139</v>
      </c>
      <c r="O55" s="1" t="s">
        <v>285</v>
      </c>
      <c r="Q55" s="1" t="s">
        <v>554</v>
      </c>
      <c r="R55" s="1" t="s">
        <v>518</v>
      </c>
      <c r="S55" s="1" t="s">
        <v>273</v>
      </c>
      <c r="T55" s="1" t="s">
        <v>36</v>
      </c>
      <c r="U55" s="4" t="s">
        <v>562</v>
      </c>
      <c r="V55" s="4" t="str">
        <f>IFERROR(__xludf.DUMMYFUNCTION("SPLIT(F55, "" "")"),"сыну,")</f>
        <v>сыну,</v>
      </c>
      <c r="W55" s="1" t="str">
        <f>IFERROR(__xludf.DUMMYFUNCTION("""COMPUTED_VALUE"""),"вернувшемуся")</f>
        <v>вернувшемуся</v>
      </c>
      <c r="X55" s="1" t="str">
        <f>IFERROR(__xludf.DUMMYFUNCTION("""COMPUTED_VALUE"""),"с")</f>
        <v>с</v>
      </c>
      <c r="Y55" s="1" t="str">
        <f>IFERROR(__xludf.DUMMYFUNCTION("""COMPUTED_VALUE"""),"войны,")</f>
        <v>войны,</v>
      </c>
      <c r="Z55" s="1" t="str">
        <f>IFERROR(__xludf.DUMMYFUNCTION("""COMPUTED_VALUE"""),"надёже")</f>
        <v>надёже</v>
      </c>
      <c r="AA55" s="1" t="str">
        <f>IFERROR(__xludf.DUMMYFUNCTION("""COMPUTED_VALUE"""),"русского")</f>
        <v>русского</v>
      </c>
    </row>
    <row r="56" ht="14.25" customHeight="1">
      <c r="B56" s="1" t="s">
        <v>563</v>
      </c>
      <c r="C56" s="2"/>
      <c r="D56" s="7" t="s">
        <v>564</v>
      </c>
      <c r="E56" s="1" t="s">
        <v>25</v>
      </c>
      <c r="F56" s="4" t="s">
        <v>565</v>
      </c>
      <c r="G56" s="7" t="s">
        <v>564</v>
      </c>
      <c r="H56" s="7" t="s">
        <v>566</v>
      </c>
      <c r="I56" s="4" t="s">
        <v>567</v>
      </c>
      <c r="J56" s="1" t="s">
        <v>454</v>
      </c>
      <c r="K56" s="1" t="s">
        <v>455</v>
      </c>
      <c r="L56" s="1" t="s">
        <v>568</v>
      </c>
      <c r="M56" s="1" t="s">
        <v>569</v>
      </c>
      <c r="N56" s="1" t="s">
        <v>139</v>
      </c>
      <c r="O56" s="1" t="s">
        <v>285</v>
      </c>
      <c r="Q56" s="1" t="s">
        <v>570</v>
      </c>
      <c r="R56" s="1" t="s">
        <v>366</v>
      </c>
      <c r="S56" s="1" t="s">
        <v>273</v>
      </c>
      <c r="T56" s="1" t="s">
        <v>36</v>
      </c>
      <c r="U56" s="4" t="s">
        <v>571</v>
      </c>
      <c r="V56" s="4" t="str">
        <f>IFERROR(__xludf.DUMMYFUNCTION("SPLIT(F56, "" "")"),"ходу")</f>
        <v>ходу</v>
      </c>
      <c r="W56" s="1" t="str">
        <f>IFERROR(__xludf.DUMMYFUNCTION("""COMPUTED_VALUE"""),"собственных")</f>
        <v>собственных</v>
      </c>
      <c r="X56" s="1" t="str">
        <f>IFERROR(__xludf.DUMMYFUNCTION("""COMPUTED_VALUE"""),"мыслей,")</f>
        <v>мыслей,</v>
      </c>
      <c r="Y56" s="1" t="str">
        <f>IFERROR(__xludf.DUMMYFUNCTION("""COMPUTED_VALUE"""),"Андрей")</f>
        <v>Андрей</v>
      </c>
      <c r="Z56" s="1" t="str">
        <f>IFERROR(__xludf.DUMMYFUNCTION("""COMPUTED_VALUE"""),"Андреев")</f>
        <v>Андреев</v>
      </c>
      <c r="AA56" s="1" t="str">
        <f>IFERROR(__xludf.DUMMYFUNCTION("""COMPUTED_VALUE"""),"встал")</f>
        <v>встал</v>
      </c>
    </row>
    <row r="57" ht="14.25" customHeight="1">
      <c r="A57" s="1" t="s">
        <v>572</v>
      </c>
      <c r="B57" s="1" t="s">
        <v>557</v>
      </c>
      <c r="C57" s="2" t="s">
        <v>573</v>
      </c>
      <c r="D57" s="7" t="s">
        <v>559</v>
      </c>
      <c r="E57" s="1" t="s">
        <v>25</v>
      </c>
      <c r="F57" s="4" t="s">
        <v>574</v>
      </c>
      <c r="G57" s="7" t="s">
        <v>559</v>
      </c>
      <c r="H57" s="7" t="s">
        <v>575</v>
      </c>
      <c r="I57" s="4" t="s">
        <v>567</v>
      </c>
      <c r="J57" s="1" t="s">
        <v>454</v>
      </c>
      <c r="K57" s="1" t="s">
        <v>455</v>
      </c>
      <c r="L57" s="1" t="s">
        <v>568</v>
      </c>
      <c r="M57" s="1" t="s">
        <v>569</v>
      </c>
      <c r="N57" s="1" t="s">
        <v>139</v>
      </c>
      <c r="O57" s="1" t="s">
        <v>285</v>
      </c>
      <c r="Q57" s="1" t="s">
        <v>570</v>
      </c>
      <c r="R57" s="1" t="s">
        <v>366</v>
      </c>
      <c r="S57" s="1" t="s">
        <v>273</v>
      </c>
      <c r="T57" s="1" t="s">
        <v>36</v>
      </c>
      <c r="U57" s="4" t="s">
        <v>576</v>
      </c>
      <c r="V57" s="4" t="str">
        <f>IFERROR(__xludf.DUMMYFUNCTION("SPLIT(F57, "" "")"),"случаю")</f>
        <v>случаю</v>
      </c>
      <c r="W57" s="1" t="str">
        <f>IFERROR(__xludf.DUMMYFUNCTION("""COMPUTED_VALUE"""),"хоть")</f>
        <v>хоть</v>
      </c>
      <c r="X57" s="1" t="str">
        <f>IFERROR(__xludf.DUMMYFUNCTION("""COMPUTED_VALUE"""),"что-то")</f>
        <v>что-то</v>
      </c>
      <c r="Y57" s="1" t="str">
        <f>IFERROR(__xludf.DUMMYFUNCTION("""COMPUTED_VALUE"""),"сделать")</f>
        <v>сделать</v>
      </c>
      <c r="Z57" s="1" t="str">
        <f>IFERROR(__xludf.DUMMYFUNCTION("""COMPUTED_VALUE"""),"для")</f>
        <v>для</v>
      </c>
      <c r="AA57" s="1" t="str">
        <f>IFERROR(__xludf.DUMMYFUNCTION("""COMPUTED_VALUE"""),"сына.")</f>
        <v>сына.</v>
      </c>
    </row>
    <row r="58" ht="14.25" customHeight="1">
      <c r="A58" s="1" t="s">
        <v>577</v>
      </c>
      <c r="B58" s="1" t="s">
        <v>326</v>
      </c>
      <c r="C58" s="2" t="s">
        <v>578</v>
      </c>
      <c r="D58" s="7" t="s">
        <v>328</v>
      </c>
      <c r="E58" s="1" t="s">
        <v>25</v>
      </c>
      <c r="F58" s="4" t="s">
        <v>579</v>
      </c>
      <c r="G58" s="7" t="s">
        <v>328</v>
      </c>
      <c r="H58" s="7" t="s">
        <v>407</v>
      </c>
      <c r="I58" s="4" t="s">
        <v>580</v>
      </c>
      <c r="J58" s="1" t="s">
        <v>581</v>
      </c>
      <c r="K58" s="1" t="s">
        <v>582</v>
      </c>
      <c r="L58" s="1" t="s">
        <v>583</v>
      </c>
      <c r="M58" s="1" t="s">
        <v>584</v>
      </c>
      <c r="N58" s="1" t="s">
        <v>139</v>
      </c>
      <c r="O58" s="1" t="s">
        <v>458</v>
      </c>
      <c r="Q58" s="1" t="s">
        <v>585</v>
      </c>
      <c r="R58" s="1" t="s">
        <v>518</v>
      </c>
      <c r="S58" s="1" t="s">
        <v>273</v>
      </c>
      <c r="T58" s="1" t="s">
        <v>36</v>
      </c>
      <c r="U58" s="4" t="s">
        <v>586</v>
      </c>
      <c r="V58" s="4" t="str">
        <f>IFERROR(__xludf.DUMMYFUNCTION("SPLIT(F58, "" "")"),"узнаванию")</f>
        <v>узнаванию</v>
      </c>
      <c r="W58" s="1" t="str">
        <f>IFERROR(__xludf.DUMMYFUNCTION("""COMPUTED_VALUE"""),"этих")</f>
        <v>этих</v>
      </c>
      <c r="X58" s="1" t="str">
        <f>IFERROR(__xludf.DUMMYFUNCTION("""COMPUTED_VALUE"""),"звуков,")</f>
        <v>звуков,</v>
      </c>
      <c r="Y58" s="1" t="str">
        <f>IFERROR(__xludf.DUMMYFUNCTION("""COMPUTED_VALUE"""),"как")</f>
        <v>как</v>
      </c>
      <c r="Z58" s="1" t="str">
        <f>IFERROR(__xludf.DUMMYFUNCTION("""COMPUTED_VALUE"""),"тогда")</f>
        <v>тогда</v>
      </c>
      <c r="AA58" s="1" t="str">
        <f>IFERROR(__xludf.DUMMYFUNCTION("""COMPUTED_VALUE"""),"узнаванию")</f>
        <v>узнаванию</v>
      </c>
    </row>
    <row r="59" ht="14.25" customHeight="1">
      <c r="A59" s="1" t="s">
        <v>587</v>
      </c>
      <c r="B59" s="1" t="s">
        <v>588</v>
      </c>
      <c r="C59" s="2" t="s">
        <v>589</v>
      </c>
      <c r="D59" s="7" t="s">
        <v>590</v>
      </c>
      <c r="E59" s="1" t="s">
        <v>25</v>
      </c>
      <c r="F59" s="4" t="s">
        <v>591</v>
      </c>
      <c r="G59" s="7" t="s">
        <v>590</v>
      </c>
      <c r="H59" s="7" t="s">
        <v>592</v>
      </c>
      <c r="I59" s="4" t="s">
        <v>593</v>
      </c>
      <c r="J59" s="1" t="s">
        <v>581</v>
      </c>
      <c r="K59" s="1" t="s">
        <v>582</v>
      </c>
      <c r="L59" s="1" t="s">
        <v>594</v>
      </c>
      <c r="M59" s="1" t="s">
        <v>595</v>
      </c>
      <c r="N59" s="1" t="s">
        <v>139</v>
      </c>
      <c r="O59" s="1" t="s">
        <v>458</v>
      </c>
      <c r="Q59" s="1" t="s">
        <v>596</v>
      </c>
      <c r="R59" s="1" t="s">
        <v>597</v>
      </c>
      <c r="S59" s="1" t="s">
        <v>273</v>
      </c>
      <c r="T59" s="1" t="s">
        <v>36</v>
      </c>
      <c r="U59" s="4" t="s">
        <v>598</v>
      </c>
      <c r="V59" s="4" t="str">
        <f>IFERROR(__xludf.DUMMYFUNCTION("SPLIT(F59, "" "")"),"освобождению")</f>
        <v>освобождению</v>
      </c>
      <c r="W59" s="1" t="str">
        <f>IFERROR(__xludf.DUMMYFUNCTION("""COMPUTED_VALUE"""),"от")</f>
        <v>от</v>
      </c>
      <c r="X59" s="1" t="str">
        <f>IFERROR(__xludf.DUMMYFUNCTION("""COMPUTED_VALUE"""),"этой")</f>
        <v>этой</v>
      </c>
      <c r="Y59" s="1" t="str">
        <f>IFERROR(__xludf.DUMMYFUNCTION("""COMPUTED_VALUE"""),"тяжести,")</f>
        <v>тяжести,</v>
      </c>
      <c r="Z59" s="1" t="str">
        <f>IFERROR(__xludf.DUMMYFUNCTION("""COMPUTED_VALUE"""),"мальчик,")</f>
        <v>мальчик,</v>
      </c>
      <c r="AA59" s="1" t="str">
        <f>IFERROR(__xludf.DUMMYFUNCTION("""COMPUTED_VALUE"""),"вернувшийся")</f>
        <v>вернувшийся</v>
      </c>
    </row>
    <row r="60" ht="14.25" customHeight="1">
      <c r="A60" s="1" t="s">
        <v>599</v>
      </c>
      <c r="B60" s="1" t="s">
        <v>239</v>
      </c>
      <c r="C60" s="2" t="s">
        <v>600</v>
      </c>
      <c r="D60" s="7" t="s">
        <v>241</v>
      </c>
      <c r="E60" s="1" t="s">
        <v>25</v>
      </c>
      <c r="F60" s="4" t="s">
        <v>601</v>
      </c>
      <c r="G60" s="7" t="s">
        <v>241</v>
      </c>
      <c r="H60" s="7" t="s">
        <v>602</v>
      </c>
      <c r="I60" s="4" t="s">
        <v>603</v>
      </c>
      <c r="J60" s="1" t="s">
        <v>604</v>
      </c>
      <c r="K60" s="1" t="s">
        <v>320</v>
      </c>
      <c r="L60" s="1" t="s">
        <v>605</v>
      </c>
      <c r="M60" s="1" t="s">
        <v>606</v>
      </c>
      <c r="N60" s="1" t="s">
        <v>139</v>
      </c>
      <c r="O60" s="1" t="s">
        <v>367</v>
      </c>
      <c r="Q60" s="1" t="s">
        <v>607</v>
      </c>
      <c r="R60" s="1" t="s">
        <v>518</v>
      </c>
      <c r="S60" s="1" t="s">
        <v>273</v>
      </c>
      <c r="T60" s="1" t="s">
        <v>36</v>
      </c>
      <c r="U60" s="4" t="s">
        <v>608</v>
      </c>
      <c r="V60" s="4" t="str">
        <f>IFERROR(__xludf.DUMMYFUNCTION("SPLIT(F60, "" "")"),"оплошке")</f>
        <v>оплошке</v>
      </c>
      <c r="W60" s="1" t="str">
        <f>IFERROR(__xludf.DUMMYFUNCTION("""COMPUTED_VALUE"""),"органов.")</f>
        <v>органов.</v>
      </c>
    </row>
    <row r="61" ht="14.25" customHeight="1">
      <c r="A61" s="1" t="s">
        <v>609</v>
      </c>
      <c r="B61" s="1" t="s">
        <v>610</v>
      </c>
      <c r="C61" s="2" t="s">
        <v>611</v>
      </c>
      <c r="D61" s="7" t="s">
        <v>612</v>
      </c>
      <c r="E61" s="1" t="s">
        <v>613</v>
      </c>
      <c r="F61" s="4" t="s">
        <v>614</v>
      </c>
      <c r="G61" s="7" t="s">
        <v>612</v>
      </c>
      <c r="H61" s="7" t="s">
        <v>615</v>
      </c>
      <c r="I61" s="4" t="s">
        <v>616</v>
      </c>
      <c r="J61" s="1" t="s">
        <v>617</v>
      </c>
      <c r="K61" s="1" t="s">
        <v>618</v>
      </c>
      <c r="L61" s="1" t="s">
        <v>619</v>
      </c>
      <c r="M61" s="1" t="s">
        <v>620</v>
      </c>
      <c r="N61" s="1" t="s">
        <v>139</v>
      </c>
      <c r="O61" s="1" t="s">
        <v>285</v>
      </c>
      <c r="Q61" s="1" t="s">
        <v>621</v>
      </c>
      <c r="R61" s="1" t="s">
        <v>584</v>
      </c>
      <c r="S61" s="1" t="s">
        <v>273</v>
      </c>
      <c r="T61" s="1" t="s">
        <v>36</v>
      </c>
      <c r="U61" s="4" t="s">
        <v>622</v>
      </c>
      <c r="V61" s="4" t="str">
        <f>IFERROR(__xludf.DUMMYFUNCTION("SPLIT(F61, "" "")"),"больным")</f>
        <v>больным</v>
      </c>
      <c r="W61" s="1" t="str">
        <f>IFERROR(__xludf.DUMMYFUNCTION("""COMPUTED_VALUE"""),"―")</f>
        <v>―</v>
      </c>
      <c r="X61" s="1" t="str">
        <f>IFERROR(__xludf.DUMMYFUNCTION("""COMPUTED_VALUE"""),"всё,")</f>
        <v>всё,</v>
      </c>
      <c r="Y61" s="1" t="str">
        <f>IFERROR(__xludf.DUMMYFUNCTION("""COMPUTED_VALUE"""),"ему")</f>
        <v>ему</v>
      </c>
      <c r="Z61" s="1" t="str">
        <f>IFERROR(__xludf.DUMMYFUNCTION("""COMPUTED_VALUE"""),"―")</f>
        <v>―</v>
      </c>
      <c r="AA61" s="1" t="str">
        <f>IFERROR(__xludf.DUMMYFUNCTION("""COMPUTED_VALUE"""),"ничего.")</f>
        <v>ничего.</v>
      </c>
    </row>
    <row r="62" ht="14.25" customHeight="1">
      <c r="A62" s="1" t="s">
        <v>623</v>
      </c>
      <c r="B62" s="1" t="s">
        <v>624</v>
      </c>
      <c r="C62" s="2" t="s">
        <v>625</v>
      </c>
      <c r="D62" s="7" t="s">
        <v>626</v>
      </c>
      <c r="E62" s="1" t="s">
        <v>627</v>
      </c>
      <c r="F62" s="4" t="s">
        <v>628</v>
      </c>
      <c r="G62" s="7" t="s">
        <v>626</v>
      </c>
      <c r="H62" s="7" t="s">
        <v>629</v>
      </c>
      <c r="I62" s="4" t="s">
        <v>616</v>
      </c>
      <c r="J62" s="1" t="s">
        <v>617</v>
      </c>
      <c r="K62" s="1" t="s">
        <v>618</v>
      </c>
      <c r="L62" s="1" t="s">
        <v>619</v>
      </c>
      <c r="M62" s="1" t="s">
        <v>620</v>
      </c>
      <c r="N62" s="1" t="s">
        <v>139</v>
      </c>
      <c r="O62" s="1" t="s">
        <v>285</v>
      </c>
      <c r="Q62" s="1" t="s">
        <v>621</v>
      </c>
      <c r="R62" s="1" t="s">
        <v>584</v>
      </c>
      <c r="S62" s="1" t="s">
        <v>273</v>
      </c>
      <c r="T62" s="1" t="s">
        <v>36</v>
      </c>
      <c r="U62" s="4" t="s">
        <v>630</v>
      </c>
      <c r="V62" s="4" t="str">
        <f>IFERROR(__xludf.DUMMYFUNCTION("SPLIT(F62, "" "")"),"психиатру.")</f>
        <v>психиатру.</v>
      </c>
    </row>
    <row r="63" ht="14.25" customHeight="1">
      <c r="A63" s="1" t="s">
        <v>631</v>
      </c>
      <c r="B63" s="1" t="s">
        <v>632</v>
      </c>
      <c r="C63" s="2" t="s">
        <v>633</v>
      </c>
      <c r="D63" s="7" t="s">
        <v>634</v>
      </c>
      <c r="E63" s="1" t="s">
        <v>25</v>
      </c>
      <c r="F63" s="4" t="s">
        <v>635</v>
      </c>
      <c r="G63" s="7" t="s">
        <v>634</v>
      </c>
      <c r="H63" s="7" t="s">
        <v>636</v>
      </c>
      <c r="I63" s="4" t="s">
        <v>616</v>
      </c>
      <c r="J63" s="1" t="s">
        <v>617</v>
      </c>
      <c r="K63" s="1" t="s">
        <v>618</v>
      </c>
      <c r="L63" s="1" t="s">
        <v>619</v>
      </c>
      <c r="M63" s="1" t="s">
        <v>620</v>
      </c>
      <c r="N63" s="1" t="s">
        <v>139</v>
      </c>
      <c r="O63" s="1" t="s">
        <v>285</v>
      </c>
      <c r="Q63" s="1" t="s">
        <v>621</v>
      </c>
      <c r="R63" s="1" t="s">
        <v>584</v>
      </c>
      <c r="S63" s="1" t="s">
        <v>273</v>
      </c>
      <c r="T63" s="1" t="s">
        <v>36</v>
      </c>
      <c r="U63" s="4" t="s">
        <v>637</v>
      </c>
      <c r="V63" s="4" t="str">
        <f>IFERROR(__xludf.DUMMYFUNCTION("SPLIT(F63, "" "")"),"супругам,")</f>
        <v>супругам,</v>
      </c>
      <c r="W63" s="1" t="str">
        <f>IFERROR(__xludf.DUMMYFUNCTION("""COMPUTED_VALUE"""),"давно")</f>
        <v>давно</v>
      </c>
      <c r="X63" s="1" t="str">
        <f>IFERROR(__xludf.DUMMYFUNCTION("""COMPUTED_VALUE"""),"пора")</f>
        <v>пора</v>
      </c>
      <c r="Y63" s="1" t="str">
        <f>IFERROR(__xludf.DUMMYFUNCTION("""COMPUTED_VALUE"""),"перейти")</f>
        <v>перейти</v>
      </c>
      <c r="Z63" s="1" t="str">
        <f>IFERROR(__xludf.DUMMYFUNCTION("""COMPUTED_VALUE"""),"на")</f>
        <v>на</v>
      </c>
      <c r="AA63" s="1" t="str">
        <f>IFERROR(__xludf.DUMMYFUNCTION("""COMPUTED_VALUE"""),"""ты"".")</f>
        <v>"ты".</v>
      </c>
    </row>
    <row r="64" ht="14.25" customHeight="1">
      <c r="A64" s="1" t="s">
        <v>638</v>
      </c>
      <c r="B64" s="1" t="s">
        <v>639</v>
      </c>
      <c r="C64" s="2" t="s">
        <v>640</v>
      </c>
      <c r="D64" s="7" t="s">
        <v>641</v>
      </c>
      <c r="E64" s="1" t="s">
        <v>25</v>
      </c>
      <c r="F64" s="4" t="s">
        <v>642</v>
      </c>
      <c r="G64" s="7" t="s">
        <v>641</v>
      </c>
      <c r="H64" s="7" t="s">
        <v>440</v>
      </c>
      <c r="I64" s="4" t="s">
        <v>643</v>
      </c>
      <c r="J64" s="1" t="s">
        <v>644</v>
      </c>
      <c r="K64" s="1" t="s">
        <v>645</v>
      </c>
      <c r="L64" s="1" t="s">
        <v>646</v>
      </c>
      <c r="M64" s="1" t="s">
        <v>620</v>
      </c>
      <c r="N64" s="1" t="s">
        <v>139</v>
      </c>
      <c r="O64" s="1" t="s">
        <v>285</v>
      </c>
      <c r="Q64" s="1" t="s">
        <v>647</v>
      </c>
      <c r="R64" s="1" t="s">
        <v>620</v>
      </c>
      <c r="S64" s="1" t="s">
        <v>273</v>
      </c>
      <c r="T64" s="1" t="s">
        <v>36</v>
      </c>
      <c r="U64" s="4" t="s">
        <v>648</v>
      </c>
      <c r="V64" s="4" t="str">
        <f>IFERROR(__xludf.DUMMYFUNCTION("SPLIT(F64, "" "")"),"состоянию")</f>
        <v>состоянию</v>
      </c>
      <c r="W64" s="1" t="str">
        <f>IFERROR(__xludf.DUMMYFUNCTION("""COMPUTED_VALUE"""),"земной")</f>
        <v>земной</v>
      </c>
      <c r="X64" s="1" t="str">
        <f>IFERROR(__xludf.DUMMYFUNCTION("""COMPUTED_VALUE"""),"поверхности")</f>
        <v>поверхности</v>
      </c>
      <c r="Y64" s="1" t="str">
        <f>IFERROR(__xludf.DUMMYFUNCTION("""COMPUTED_VALUE"""),"отечества")</f>
        <v>отечества</v>
      </c>
      <c r="Z64" s="1" t="str">
        <f>IFERROR(__xludf.DUMMYFUNCTION("""COMPUTED_VALUE"""),"нашего.")</f>
        <v>нашего.</v>
      </c>
    </row>
    <row r="65" ht="14.25" customHeight="1">
      <c r="A65" s="1" t="s">
        <v>649</v>
      </c>
      <c r="B65" s="1" t="s">
        <v>494</v>
      </c>
      <c r="C65" s="2" t="s">
        <v>650</v>
      </c>
      <c r="D65" s="7" t="s">
        <v>496</v>
      </c>
      <c r="E65" s="1" t="s">
        <v>25</v>
      </c>
      <c r="F65" s="4" t="s">
        <v>651</v>
      </c>
      <c r="G65" s="7" t="s">
        <v>496</v>
      </c>
      <c r="H65" s="7" t="s">
        <v>652</v>
      </c>
      <c r="I65" s="4" t="s">
        <v>643</v>
      </c>
      <c r="J65" s="1" t="s">
        <v>644</v>
      </c>
      <c r="K65" s="1" t="s">
        <v>645</v>
      </c>
      <c r="L65" s="1" t="s">
        <v>646</v>
      </c>
      <c r="M65" s="1" t="s">
        <v>620</v>
      </c>
      <c r="N65" s="1" t="s">
        <v>139</v>
      </c>
      <c r="O65" s="1" t="s">
        <v>285</v>
      </c>
      <c r="Q65" s="1" t="s">
        <v>647</v>
      </c>
      <c r="R65" s="1" t="s">
        <v>620</v>
      </c>
      <c r="S65" s="1" t="s">
        <v>273</v>
      </c>
      <c r="T65" s="1" t="s">
        <v>36</v>
      </c>
      <c r="U65" s="4" t="s">
        <v>653</v>
      </c>
      <c r="V65" s="4" t="str">
        <f>IFERROR(__xludf.DUMMYFUNCTION("SPLIT(F65, "" "")"),"чудесам")</f>
        <v>чудесам</v>
      </c>
      <c r="W65" s="1" t="str">
        <f>IFERROR(__xludf.DUMMYFUNCTION("""COMPUTED_VALUE"""),"европейской")</f>
        <v>европейской</v>
      </c>
      <c r="X65" s="1" t="str">
        <f>IFERROR(__xludf.DUMMYFUNCTION("""COMPUTED_VALUE"""),"техники,")</f>
        <v>техники,</v>
      </c>
      <c r="Y65" s="1" t="str">
        <f>IFERROR(__xludf.DUMMYFUNCTION("""COMPUTED_VALUE"""),"заволновался,")</f>
        <v>заволновался,</v>
      </c>
      <c r="Z65" s="1" t="str">
        <f>IFERROR(__xludf.DUMMYFUNCTION("""COMPUTED_VALUE"""),"потребовал")</f>
        <v>потребовал</v>
      </c>
      <c r="AA65" s="1" t="str">
        <f>IFERROR(__xludf.DUMMYFUNCTION("""COMPUTED_VALUE"""),"принести")</f>
        <v>принести</v>
      </c>
    </row>
    <row r="66" ht="14.25" customHeight="1">
      <c r="A66" s="1" t="s">
        <v>654</v>
      </c>
      <c r="B66" s="1" t="s">
        <v>655</v>
      </c>
      <c r="C66" s="2" t="s">
        <v>656</v>
      </c>
      <c r="D66" s="7" t="s">
        <v>657</v>
      </c>
      <c r="E66" s="1" t="s">
        <v>25</v>
      </c>
      <c r="F66" s="4" t="s">
        <v>658</v>
      </c>
      <c r="G66" s="7" t="s">
        <v>657</v>
      </c>
      <c r="H66" s="7" t="s">
        <v>659</v>
      </c>
      <c r="I66" s="4" t="s">
        <v>643</v>
      </c>
      <c r="J66" s="1" t="s">
        <v>644</v>
      </c>
      <c r="K66" s="1" t="s">
        <v>645</v>
      </c>
      <c r="L66" s="1" t="s">
        <v>646</v>
      </c>
      <c r="M66" s="1" t="s">
        <v>620</v>
      </c>
      <c r="N66" s="1" t="s">
        <v>139</v>
      </c>
      <c r="O66" s="1" t="s">
        <v>285</v>
      </c>
      <c r="Q66" s="1" t="s">
        <v>647</v>
      </c>
      <c r="R66" s="1" t="s">
        <v>620</v>
      </c>
      <c r="S66" s="1" t="s">
        <v>273</v>
      </c>
      <c r="T66" s="1" t="s">
        <v>36</v>
      </c>
      <c r="U66" s="4" t="s">
        <v>660</v>
      </c>
      <c r="V66" s="4" t="str">
        <f>IFERROR(__xludf.DUMMYFUNCTION("SPLIT(F66, "" "")"),"окружающим,")</f>
        <v>окружающим,</v>
      </c>
      <c r="W66" s="1" t="str">
        <f>IFERROR(__xludf.DUMMYFUNCTION("""COMPUTED_VALUE"""),"ужасалось,")</f>
        <v>ужасалось,</v>
      </c>
      <c r="X66" s="1" t="str">
        <f>IFERROR(__xludf.DUMMYFUNCTION("""COMPUTED_VALUE"""),"отзывалось")</f>
        <v>отзывалось</v>
      </c>
      <c r="Y66" s="1" t="str">
        <f>IFERROR(__xludf.DUMMYFUNCTION("""COMPUTED_VALUE"""),"на")</f>
        <v>на</v>
      </c>
      <c r="Z66" s="1" t="str">
        <f>IFERROR(__xludf.DUMMYFUNCTION("""COMPUTED_VALUE"""),"рыдания")</f>
        <v>рыдания</v>
      </c>
      <c r="AA66" s="1" t="str">
        <f>IFERROR(__xludf.DUMMYFUNCTION("""COMPUTED_VALUE"""),"и")</f>
        <v>и</v>
      </c>
    </row>
    <row r="67" ht="14.25" customHeight="1">
      <c r="A67" s="1" t="s">
        <v>661</v>
      </c>
      <c r="B67" s="1" t="s">
        <v>662</v>
      </c>
      <c r="C67" s="2" t="s">
        <v>663</v>
      </c>
      <c r="D67" s="7" t="s">
        <v>664</v>
      </c>
      <c r="E67" s="1" t="s">
        <v>25</v>
      </c>
      <c r="F67" s="4" t="s">
        <v>665</v>
      </c>
      <c r="G67" s="7" t="s">
        <v>664</v>
      </c>
      <c r="H67" s="7" t="s">
        <v>666</v>
      </c>
      <c r="I67" s="4" t="s">
        <v>643</v>
      </c>
      <c r="J67" s="1" t="s">
        <v>644</v>
      </c>
      <c r="K67" s="1" t="s">
        <v>645</v>
      </c>
      <c r="L67" s="1" t="s">
        <v>646</v>
      </c>
      <c r="M67" s="1" t="s">
        <v>620</v>
      </c>
      <c r="N67" s="1" t="s">
        <v>139</v>
      </c>
      <c r="O67" s="1" t="s">
        <v>285</v>
      </c>
      <c r="Q67" s="1" t="s">
        <v>647</v>
      </c>
      <c r="R67" s="1" t="s">
        <v>620</v>
      </c>
      <c r="S67" s="1" t="s">
        <v>273</v>
      </c>
      <c r="T67" s="1" t="s">
        <v>36</v>
      </c>
      <c r="U67" s="4" t="s">
        <v>667</v>
      </c>
      <c r="V67" s="4" t="str">
        <f>IFERROR(__xludf.DUMMYFUNCTION("SPLIT(F67, "" "")"),"возмездию.")</f>
        <v>возмездию.</v>
      </c>
    </row>
    <row r="68" ht="14.25" customHeight="1">
      <c r="A68" s="1" t="s">
        <v>668</v>
      </c>
      <c r="B68" s="1" t="s">
        <v>181</v>
      </c>
      <c r="C68" s="2" t="s">
        <v>669</v>
      </c>
      <c r="D68" s="7" t="s">
        <v>183</v>
      </c>
      <c r="E68" s="1" t="s">
        <v>25</v>
      </c>
      <c r="F68" s="4" t="s">
        <v>670</v>
      </c>
      <c r="G68" s="7" t="s">
        <v>183</v>
      </c>
      <c r="H68" s="7" t="s">
        <v>671</v>
      </c>
      <c r="I68" s="4" t="s">
        <v>672</v>
      </c>
      <c r="J68" s="1" t="s">
        <v>673</v>
      </c>
      <c r="K68" s="1" t="s">
        <v>410</v>
      </c>
      <c r="L68" s="1" t="s">
        <v>674</v>
      </c>
      <c r="M68" s="1" t="s">
        <v>620</v>
      </c>
      <c r="N68" s="1" t="s">
        <v>139</v>
      </c>
      <c r="O68" s="1" t="s">
        <v>367</v>
      </c>
      <c r="Q68" s="1" t="s">
        <v>675</v>
      </c>
      <c r="R68" s="1" t="s">
        <v>503</v>
      </c>
      <c r="S68" s="1" t="s">
        <v>273</v>
      </c>
      <c r="T68" s="1" t="s">
        <v>36</v>
      </c>
      <c r="U68" s="4" t="s">
        <v>676</v>
      </c>
      <c r="V68" s="4" t="str">
        <f>IFERROR(__xludf.DUMMYFUNCTION("SPLIT(F68, "" "")"),"крепости")</f>
        <v>крепости</v>
      </c>
      <c r="W68" s="1" t="str">
        <f>IFERROR(__xludf.DUMMYFUNCTION("""COMPUTED_VALUE"""),"его")</f>
        <v>его</v>
      </c>
      <c r="X68" s="1" t="str">
        <f>IFERROR(__xludf.DUMMYFUNCTION("""COMPUTED_VALUE"""),"зубов.")</f>
        <v>зубов.</v>
      </c>
    </row>
    <row r="69" ht="14.25" customHeight="1">
      <c r="A69" s="1" t="s">
        <v>677</v>
      </c>
      <c r="B69" s="1" t="s">
        <v>678</v>
      </c>
      <c r="C69" s="2" t="s">
        <v>679</v>
      </c>
      <c r="D69" s="7" t="s">
        <v>680</v>
      </c>
      <c r="E69" s="1" t="s">
        <v>25</v>
      </c>
      <c r="F69" s="4" t="s">
        <v>681</v>
      </c>
      <c r="G69" s="7" t="s">
        <v>680</v>
      </c>
      <c r="H69" s="7" t="s">
        <v>682</v>
      </c>
      <c r="I69" s="4" t="s">
        <v>672</v>
      </c>
      <c r="J69" s="1" t="s">
        <v>673</v>
      </c>
      <c r="K69" s="1" t="s">
        <v>410</v>
      </c>
      <c r="L69" s="1" t="s">
        <v>674</v>
      </c>
      <c r="M69" s="1" t="s">
        <v>620</v>
      </c>
      <c r="N69" s="1" t="s">
        <v>139</v>
      </c>
      <c r="O69" s="1" t="s">
        <v>367</v>
      </c>
      <c r="Q69" s="1" t="s">
        <v>675</v>
      </c>
      <c r="R69" s="1" t="s">
        <v>503</v>
      </c>
      <c r="S69" s="1" t="s">
        <v>273</v>
      </c>
      <c r="T69" s="1" t="s">
        <v>36</v>
      </c>
      <c r="U69" s="4" t="s">
        <v>683</v>
      </c>
      <c r="V69" s="4" t="str">
        <f>IFERROR(__xludf.DUMMYFUNCTION("SPLIT(F69, "" "")"),"жителям")</f>
        <v>жителям</v>
      </c>
      <c r="W69" s="1" t="str">
        <f>IFERROR(__xludf.DUMMYFUNCTION("""COMPUTED_VALUE"""),"Союза")</f>
        <v>Союза</v>
      </c>
      <c r="X69" s="1" t="str">
        <f>IFERROR(__xludf.DUMMYFUNCTION("""COMPUTED_VALUE"""),"Советских")</f>
        <v>Советских</v>
      </c>
      <c r="Y69" s="1" t="str">
        <f>IFERROR(__xludf.DUMMYFUNCTION("""COMPUTED_VALUE"""),"и")</f>
        <v>и</v>
      </c>
      <c r="Z69" s="1" t="str">
        <f>IFERROR(__xludf.DUMMYFUNCTION("""COMPUTED_VALUE"""),"одинаково")</f>
        <v>одинаково</v>
      </c>
      <c r="AA69" s="1" t="str">
        <f>IFERROR(__xludf.DUMMYFUNCTION("""COMPUTED_VALUE"""),"принять")</f>
        <v>принять</v>
      </c>
    </row>
    <row r="70" ht="14.25" customHeight="1">
      <c r="A70" s="1" t="s">
        <v>684</v>
      </c>
      <c r="B70" s="1" t="s">
        <v>685</v>
      </c>
      <c r="C70" s="2" t="s">
        <v>686</v>
      </c>
      <c r="D70" s="7" t="s">
        <v>687</v>
      </c>
      <c r="E70" s="1" t="s">
        <v>25</v>
      </c>
      <c r="F70" s="4" t="s">
        <v>688</v>
      </c>
      <c r="G70" s="7" t="s">
        <v>687</v>
      </c>
      <c r="H70" s="7" t="s">
        <v>689</v>
      </c>
      <c r="I70" s="4" t="s">
        <v>690</v>
      </c>
      <c r="J70" s="1" t="s">
        <v>691</v>
      </c>
      <c r="K70" s="1" t="s">
        <v>692</v>
      </c>
      <c r="L70" s="1" t="s">
        <v>693</v>
      </c>
      <c r="M70" s="1" t="s">
        <v>694</v>
      </c>
      <c r="N70" s="1" t="s">
        <v>139</v>
      </c>
      <c r="O70" s="1" t="s">
        <v>285</v>
      </c>
      <c r="Q70" s="1" t="s">
        <v>695</v>
      </c>
      <c r="R70" s="1" t="s">
        <v>696</v>
      </c>
      <c r="S70" s="1" t="s">
        <v>273</v>
      </c>
      <c r="T70" s="1" t="s">
        <v>36</v>
      </c>
      <c r="U70" s="4" t="s">
        <v>697</v>
      </c>
      <c r="V70" s="4" t="str">
        <f>IFERROR(__xludf.DUMMYFUNCTION("SPLIT(F70, "" "")"),"отпору.")</f>
        <v>отпору.</v>
      </c>
    </row>
    <row r="71" ht="14.25" customHeight="1">
      <c r="A71" s="1" t="s">
        <v>698</v>
      </c>
      <c r="B71" s="1" t="s">
        <v>699</v>
      </c>
      <c r="C71" s="2" t="s">
        <v>700</v>
      </c>
      <c r="D71" s="7" t="s">
        <v>701</v>
      </c>
      <c r="E71" s="1" t="s">
        <v>25</v>
      </c>
      <c r="F71" s="4" t="s">
        <v>702</v>
      </c>
      <c r="G71" s="7" t="s">
        <v>701</v>
      </c>
      <c r="H71" s="7" t="s">
        <v>703</v>
      </c>
      <c r="I71" s="4" t="s">
        <v>690</v>
      </c>
      <c r="J71" s="1" t="s">
        <v>691</v>
      </c>
      <c r="K71" s="1" t="s">
        <v>692</v>
      </c>
      <c r="L71" s="1" t="s">
        <v>693</v>
      </c>
      <c r="M71" s="1" t="s">
        <v>694</v>
      </c>
      <c r="N71" s="1" t="s">
        <v>139</v>
      </c>
      <c r="O71" s="1" t="s">
        <v>285</v>
      </c>
      <c r="Q71" s="1" t="s">
        <v>695</v>
      </c>
      <c r="R71" s="1" t="s">
        <v>696</v>
      </c>
      <c r="S71" s="1" t="s">
        <v>273</v>
      </c>
      <c r="T71" s="1" t="s">
        <v>36</v>
      </c>
      <c r="U71" s="4" t="s">
        <v>704</v>
      </c>
      <c r="V71" s="4" t="str">
        <f>IFERROR(__xludf.DUMMYFUNCTION("SPLIT(F71, "" "")"),"движению")</f>
        <v>движению</v>
      </c>
      <c r="W71" s="1" t="str">
        <f>IFERROR(__xludf.DUMMYFUNCTION("""COMPUTED_VALUE"""),"жизни")</f>
        <v>жизни</v>
      </c>
      <c r="X71" s="1" t="str">
        <f>IFERROR(__xludf.DUMMYFUNCTION("""COMPUTED_VALUE"""),"в")</f>
        <v>в</v>
      </c>
      <c r="Y71" s="1" t="str">
        <f>IFERROR(__xludf.DUMMYFUNCTION("""COMPUTED_VALUE"""),"целом.")</f>
        <v>целом.</v>
      </c>
    </row>
    <row r="72" ht="14.25" customHeight="1">
      <c r="A72" s="1" t="s">
        <v>705</v>
      </c>
      <c r="B72" s="1" t="s">
        <v>706</v>
      </c>
      <c r="C72" s="2" t="s">
        <v>707</v>
      </c>
      <c r="D72" s="7" t="s">
        <v>708</v>
      </c>
      <c r="E72" s="1" t="s">
        <v>709</v>
      </c>
      <c r="F72" s="4" t="s">
        <v>710</v>
      </c>
      <c r="G72" s="7" t="s">
        <v>708</v>
      </c>
      <c r="H72" s="7" t="s">
        <v>711</v>
      </c>
      <c r="I72" s="4" t="s">
        <v>712</v>
      </c>
      <c r="J72" s="1" t="s">
        <v>713</v>
      </c>
      <c r="K72" s="1" t="s">
        <v>714</v>
      </c>
      <c r="L72" s="1" t="s">
        <v>715</v>
      </c>
      <c r="M72" s="1" t="s">
        <v>716</v>
      </c>
      <c r="N72" s="1" t="s">
        <v>139</v>
      </c>
      <c r="O72" s="1" t="s">
        <v>285</v>
      </c>
      <c r="Q72" s="1" t="s">
        <v>717</v>
      </c>
      <c r="R72" s="1" t="s">
        <v>537</v>
      </c>
      <c r="S72" s="1" t="s">
        <v>70</v>
      </c>
      <c r="T72" s="1" t="s">
        <v>36</v>
      </c>
      <c r="U72" s="4" t="s">
        <v>718</v>
      </c>
      <c r="V72" s="4" t="str">
        <f>IFERROR(__xludf.DUMMYFUNCTION("SPLIT(F72, "" "")"),"пробуждению")</f>
        <v>пробуждению</v>
      </c>
      <c r="W72" s="1" t="str">
        <f>IFERROR(__xludf.DUMMYFUNCTION("""COMPUTED_VALUE"""),"сознательного")</f>
        <v>сознательного</v>
      </c>
      <c r="X72" s="1" t="str">
        <f>IFERROR(__xludf.DUMMYFUNCTION("""COMPUTED_VALUE"""),"народного")</f>
        <v>народного</v>
      </c>
      <c r="Y72" s="1" t="str">
        <f>IFERROR(__xludf.DUMMYFUNCTION("""COMPUTED_VALUE"""),"гнева"",")</f>
        <v>гнева",</v>
      </c>
      <c r="Z72" s="1" t="str">
        <f>IFERROR(__xludf.DUMMYFUNCTION("""COMPUTED_VALUE"""),"ощутили")</f>
        <v>ощутили</v>
      </c>
      <c r="AA72" s="1" t="str">
        <f>IFERROR(__xludf.DUMMYFUNCTION("""COMPUTED_VALUE"""),"этот")</f>
        <v>этот</v>
      </c>
    </row>
    <row r="73" ht="14.25" customHeight="1">
      <c r="A73" s="1" t="s">
        <v>719</v>
      </c>
      <c r="B73" s="1" t="s">
        <v>720</v>
      </c>
      <c r="C73" s="2" t="s">
        <v>721</v>
      </c>
      <c r="D73" s="7" t="s">
        <v>722</v>
      </c>
      <c r="E73" s="1" t="s">
        <v>25</v>
      </c>
      <c r="F73" s="4" t="s">
        <v>723</v>
      </c>
      <c r="G73" s="7" t="s">
        <v>722</v>
      </c>
      <c r="H73" s="7" t="s">
        <v>724</v>
      </c>
      <c r="I73" s="4" t="s">
        <v>712</v>
      </c>
      <c r="J73" s="1" t="s">
        <v>713</v>
      </c>
      <c r="K73" s="1" t="s">
        <v>714</v>
      </c>
      <c r="L73" s="1" t="s">
        <v>715</v>
      </c>
      <c r="M73" s="1" t="s">
        <v>716</v>
      </c>
      <c r="N73" s="1" t="s">
        <v>139</v>
      </c>
      <c r="O73" s="1" t="s">
        <v>285</v>
      </c>
      <c r="Q73" s="1" t="s">
        <v>717</v>
      </c>
      <c r="R73" s="1" t="s">
        <v>537</v>
      </c>
      <c r="S73" s="1" t="s">
        <v>70</v>
      </c>
      <c r="T73" s="1" t="s">
        <v>36</v>
      </c>
      <c r="U73" s="4" t="s">
        <v>725</v>
      </c>
      <c r="V73" s="4" t="str">
        <f>IFERROR(__xludf.DUMMYFUNCTION("SPLIT(F73, "" "")"),"Аркадию")</f>
        <v>Аркадию</v>
      </c>
      <c r="W73" s="1" t="str">
        <f>IFERROR(__xludf.DUMMYFUNCTION("""COMPUTED_VALUE"""),"Лукьяновичу")</f>
        <v>Лукьяновичу</v>
      </c>
      <c r="X73" s="1" t="str">
        <f>IFERROR(__xludf.DUMMYFUNCTION("""COMPUTED_VALUE"""),"кричать,")</f>
        <v>кричать,</v>
      </c>
      <c r="Y73" s="1" t="str">
        <f>IFERROR(__xludf.DUMMYFUNCTION("""COMPUTED_VALUE"""),"точно")</f>
        <v>точно</v>
      </c>
      <c r="Z73" s="1" t="str">
        <f>IFERROR(__xludf.DUMMYFUNCTION("""COMPUTED_VALUE"""),"опять")</f>
        <v>опять</v>
      </c>
      <c r="AA73" s="1" t="str">
        <f>IFERROR(__xludf.DUMMYFUNCTION("""COMPUTED_VALUE"""),"в")</f>
        <v>в</v>
      </c>
    </row>
    <row r="74" ht="14.25" customHeight="1">
      <c r="A74" s="1" t="s">
        <v>726</v>
      </c>
      <c r="B74" s="1" t="s">
        <v>398</v>
      </c>
      <c r="C74" s="2" t="s">
        <v>727</v>
      </c>
      <c r="D74" s="7" t="s">
        <v>400</v>
      </c>
      <c r="E74" s="1" t="s">
        <v>25</v>
      </c>
      <c r="F74" s="4" t="s">
        <v>728</v>
      </c>
      <c r="G74" s="7" t="s">
        <v>400</v>
      </c>
      <c r="H74" s="7" t="s">
        <v>729</v>
      </c>
      <c r="I74" s="4" t="s">
        <v>730</v>
      </c>
      <c r="J74" s="1" t="s">
        <v>731</v>
      </c>
      <c r="K74" s="1" t="s">
        <v>320</v>
      </c>
      <c r="L74" s="1" t="s">
        <v>732</v>
      </c>
      <c r="M74" s="1" t="s">
        <v>733</v>
      </c>
      <c r="N74" s="1" t="s">
        <v>139</v>
      </c>
      <c r="O74" s="1" t="s">
        <v>285</v>
      </c>
      <c r="Q74" s="1" t="s">
        <v>734</v>
      </c>
      <c r="R74" s="1" t="s">
        <v>735</v>
      </c>
      <c r="S74" s="1" t="s">
        <v>273</v>
      </c>
      <c r="T74" s="1" t="s">
        <v>36</v>
      </c>
      <c r="U74" s="4" t="s">
        <v>736</v>
      </c>
      <c r="V74" s="4" t="str">
        <f>IFERROR(__xludf.DUMMYFUNCTION("SPLIT(F74, "" "")"),"признакам")</f>
        <v>признакам</v>
      </c>
      <c r="W74" s="1" t="str">
        <f>IFERROR(__xludf.DUMMYFUNCTION("""COMPUTED_VALUE"""),"выздоровления.")</f>
        <v>выздоровления.</v>
      </c>
    </row>
    <row r="75" ht="14.25" customHeight="1">
      <c r="A75" s="1" t="s">
        <v>25</v>
      </c>
      <c r="B75" s="1" t="s">
        <v>737</v>
      </c>
      <c r="C75" s="2"/>
      <c r="D75" s="7" t="s">
        <v>738</v>
      </c>
      <c r="E75" s="1" t="s">
        <v>25</v>
      </c>
      <c r="F75" s="4" t="s">
        <v>739</v>
      </c>
      <c r="G75" s="7" t="s">
        <v>738</v>
      </c>
      <c r="H75" s="7" t="s">
        <v>740</v>
      </c>
      <c r="I75" s="4" t="s">
        <v>741</v>
      </c>
      <c r="J75" s="1" t="s">
        <v>742</v>
      </c>
      <c r="K75" s="1" t="s">
        <v>743</v>
      </c>
      <c r="L75" s="1" t="s">
        <v>744</v>
      </c>
      <c r="M75" s="1" t="s">
        <v>745</v>
      </c>
      <c r="N75" s="1" t="s">
        <v>139</v>
      </c>
      <c r="O75" s="1" t="s">
        <v>367</v>
      </c>
      <c r="Q75" s="1" t="s">
        <v>746</v>
      </c>
      <c r="R75" s="1" t="s">
        <v>747</v>
      </c>
      <c r="S75" s="1" t="s">
        <v>273</v>
      </c>
      <c r="T75" s="1" t="s">
        <v>36</v>
      </c>
      <c r="U75" s="4" t="s">
        <v>748</v>
      </c>
      <c r="V75" s="4" t="str">
        <f>IFERROR(__xludf.DUMMYFUNCTION("SPLIT(F75, "" "")"),"убийцам")</f>
        <v>убийцам</v>
      </c>
      <c r="W75" s="1" t="str">
        <f>IFERROR(__xludf.DUMMYFUNCTION("""COMPUTED_VALUE"""),"Сергея")</f>
        <v>Сергея</v>
      </c>
      <c r="X75" s="1" t="str">
        <f>IFERROR(__xludf.DUMMYFUNCTION("""COMPUTED_VALUE"""),"Мироновича")</f>
        <v>Мироновича</v>
      </c>
      <c r="Y75" s="1" t="str">
        <f>IFERROR(__xludf.DUMMYFUNCTION("""COMPUTED_VALUE"""),"Кирова.")</f>
        <v>Кирова.</v>
      </c>
    </row>
    <row r="76" ht="14.25" customHeight="1">
      <c r="A76" s="1" t="s">
        <v>25</v>
      </c>
      <c r="B76" s="1" t="s">
        <v>749</v>
      </c>
      <c r="C76" s="2"/>
      <c r="D76" s="7" t="s">
        <v>750</v>
      </c>
      <c r="E76" s="1" t="s">
        <v>25</v>
      </c>
      <c r="F76" s="4" t="s">
        <v>751</v>
      </c>
      <c r="G76" s="7" t="s">
        <v>750</v>
      </c>
      <c r="H76" s="7" t="s">
        <v>752</v>
      </c>
      <c r="I76" s="4" t="s">
        <v>753</v>
      </c>
      <c r="J76" s="1" t="s">
        <v>742</v>
      </c>
      <c r="K76" s="1" t="s">
        <v>743</v>
      </c>
      <c r="L76" s="1" t="s">
        <v>754</v>
      </c>
      <c r="M76" s="1" t="s">
        <v>745</v>
      </c>
      <c r="N76" s="1" t="s">
        <v>139</v>
      </c>
      <c r="O76" s="1" t="s">
        <v>367</v>
      </c>
      <c r="Q76" s="1" t="s">
        <v>746</v>
      </c>
      <c r="R76" s="1" t="s">
        <v>747</v>
      </c>
      <c r="S76" s="1" t="s">
        <v>273</v>
      </c>
      <c r="T76" s="1" t="s">
        <v>36</v>
      </c>
      <c r="U76" s="4" t="s">
        <v>755</v>
      </c>
      <c r="V76" s="4" t="str">
        <f>IFERROR(__xludf.DUMMYFUNCTION("SPLIT(F76, "" "")"),"приказу")</f>
        <v>приказу</v>
      </c>
      <c r="W76" s="1" t="str">
        <f>IFERROR(__xludf.DUMMYFUNCTION("""COMPUTED_VALUE"""),"наркома")</f>
        <v>наркома</v>
      </c>
      <c r="X76" s="1" t="str">
        <f>IFERROR(__xludf.DUMMYFUNCTION("""COMPUTED_VALUE"""),"об")</f>
        <v>об</v>
      </c>
      <c r="Y76" s="1" t="str">
        <f>IFERROR(__xludf.DUMMYFUNCTION("""COMPUTED_VALUE"""),"активных")</f>
        <v>активных</v>
      </c>
      <c r="Z76" s="1" t="str">
        <f>IFERROR(__xludf.DUMMYFUNCTION("""COMPUTED_VALUE"""),"методах")</f>
        <v>методах</v>
      </c>
      <c r="AA76" s="1" t="str">
        <f>IFERROR(__xludf.DUMMYFUNCTION("""COMPUTED_VALUE"""),"допроса.")</f>
        <v>допроса.</v>
      </c>
    </row>
    <row r="77" ht="14.25" customHeight="1">
      <c r="A77" s="1" t="s">
        <v>756</v>
      </c>
      <c r="B77" s="1" t="s">
        <v>757</v>
      </c>
      <c r="C77" s="2" t="s">
        <v>758</v>
      </c>
      <c r="D77" s="7" t="s">
        <v>759</v>
      </c>
      <c r="E77" s="1" t="s">
        <v>25</v>
      </c>
      <c r="F77" s="4" t="s">
        <v>760</v>
      </c>
      <c r="G77" s="7" t="s">
        <v>759</v>
      </c>
      <c r="H77" s="7" t="s">
        <v>761</v>
      </c>
      <c r="I77" s="4" t="s">
        <v>762</v>
      </c>
      <c r="J77" s="1" t="s">
        <v>763</v>
      </c>
      <c r="K77" s="1" t="s">
        <v>764</v>
      </c>
      <c r="L77" s="1" t="s">
        <v>765</v>
      </c>
      <c r="M77" s="1" t="s">
        <v>766</v>
      </c>
      <c r="N77" s="1" t="s">
        <v>139</v>
      </c>
      <c r="O77" s="1" t="s">
        <v>367</v>
      </c>
      <c r="Q77" s="1" t="s">
        <v>767</v>
      </c>
      <c r="R77" s="1" t="s">
        <v>716</v>
      </c>
      <c r="S77" s="1" t="s">
        <v>273</v>
      </c>
      <c r="T77" s="1" t="s">
        <v>36</v>
      </c>
      <c r="U77" s="4" t="s">
        <v>768</v>
      </c>
      <c r="V77" s="4" t="str">
        <f>IFERROR(__xludf.DUMMYFUNCTION("SPLIT(F77, "" "")"),"папе,")</f>
        <v>папе,</v>
      </c>
      <c r="W77" s="1" t="str">
        <f>IFERROR(__xludf.DUMMYFUNCTION("""COMPUTED_VALUE"""),"все")</f>
        <v>все</v>
      </c>
      <c r="X77" s="1" t="str">
        <f>IFERROR(__xludf.DUMMYFUNCTION("""COMPUTED_VALUE"""),"хотели")</f>
        <v>хотели</v>
      </c>
      <c r="Y77" s="1" t="str">
        <f>IFERROR(__xludf.DUMMYFUNCTION("""COMPUTED_VALUE"""),"помочь,")</f>
        <v>помочь,</v>
      </c>
      <c r="Z77" s="1" t="str">
        <f>IFERROR(__xludf.DUMMYFUNCTION("""COMPUTED_VALUE"""),"и")</f>
        <v>и</v>
      </c>
      <c r="AA77" s="1" t="str">
        <f>IFERROR(__xludf.DUMMYFUNCTION("""COMPUTED_VALUE"""),"речь")</f>
        <v>речь</v>
      </c>
    </row>
    <row r="78" ht="14.25" customHeight="1">
      <c r="A78" s="1" t="s">
        <v>769</v>
      </c>
      <c r="B78" s="1" t="s">
        <v>770</v>
      </c>
      <c r="C78" s="2" t="s">
        <v>771</v>
      </c>
      <c r="D78" s="7" t="s">
        <v>772</v>
      </c>
      <c r="E78" s="1" t="s">
        <v>25</v>
      </c>
      <c r="F78" s="4" t="s">
        <v>773</v>
      </c>
      <c r="G78" s="7" t="s">
        <v>772</v>
      </c>
      <c r="H78" s="7" t="s">
        <v>774</v>
      </c>
      <c r="I78" s="4" t="s">
        <v>762</v>
      </c>
      <c r="J78" s="1" t="s">
        <v>763</v>
      </c>
      <c r="K78" s="1" t="s">
        <v>764</v>
      </c>
      <c r="L78" s="1" t="s">
        <v>765</v>
      </c>
      <c r="M78" s="1" t="s">
        <v>766</v>
      </c>
      <c r="N78" s="1" t="s">
        <v>139</v>
      </c>
      <c r="O78" s="1" t="s">
        <v>367</v>
      </c>
      <c r="Q78" s="1" t="s">
        <v>767</v>
      </c>
      <c r="R78" s="1" t="s">
        <v>716</v>
      </c>
      <c r="S78" s="1" t="s">
        <v>273</v>
      </c>
      <c r="T78" s="1" t="s">
        <v>36</v>
      </c>
      <c r="U78" s="4" t="s">
        <v>775</v>
      </c>
      <c r="V78" s="4" t="str">
        <f>IFERROR(__xludf.DUMMYFUNCTION("SPLIT(F78, "" "")"),"партизанам,")</f>
        <v>партизанам,</v>
      </c>
      <c r="W78" s="1" t="str">
        <f>IFERROR(__xludf.DUMMYFUNCTION("""COMPUTED_VALUE"""),"ненавидела")</f>
        <v>ненавидела</v>
      </c>
      <c r="X78" s="1" t="str">
        <f>IFERROR(__xludf.DUMMYFUNCTION("""COMPUTED_VALUE"""),"немцев,")</f>
        <v>немцев,</v>
      </c>
      <c r="Y78" s="1" t="str">
        <f>IFERROR(__xludf.DUMMYFUNCTION("""COMPUTED_VALUE"""),"но")</f>
        <v>но</v>
      </c>
      <c r="Z78" s="1" t="str">
        <f>IFERROR(__xludf.DUMMYFUNCTION("""COMPUTED_VALUE"""),"считала")</f>
        <v>считала</v>
      </c>
      <c r="AA78" s="1" t="str">
        <f>IFERROR(__xludf.DUMMYFUNCTION("""COMPUTED_VALUE"""),"нашего")</f>
        <v>нашего</v>
      </c>
    </row>
    <row r="79" ht="14.25" customHeight="1">
      <c r="A79" s="1" t="s">
        <v>776</v>
      </c>
      <c r="B79" s="1" t="s">
        <v>777</v>
      </c>
      <c r="C79" s="2" t="s">
        <v>778</v>
      </c>
      <c r="D79" s="7" t="s">
        <v>779</v>
      </c>
      <c r="E79" s="1" t="s">
        <v>25</v>
      </c>
      <c r="F79" s="4" t="s">
        <v>780</v>
      </c>
      <c r="G79" s="7" t="s">
        <v>779</v>
      </c>
      <c r="H79" s="7" t="s">
        <v>781</v>
      </c>
      <c r="I79" s="4" t="s">
        <v>782</v>
      </c>
      <c r="J79" s="1" t="s">
        <v>783</v>
      </c>
      <c r="K79" s="1" t="s">
        <v>784</v>
      </c>
      <c r="L79" s="1" t="s">
        <v>785</v>
      </c>
      <c r="M79" s="1" t="s">
        <v>766</v>
      </c>
      <c r="N79" s="1" t="s">
        <v>139</v>
      </c>
      <c r="O79" s="1" t="s">
        <v>367</v>
      </c>
      <c r="Q79" s="1" t="s">
        <v>786</v>
      </c>
      <c r="R79" s="1" t="s">
        <v>518</v>
      </c>
      <c r="S79" s="1" t="s">
        <v>273</v>
      </c>
      <c r="T79" s="1" t="s">
        <v>36</v>
      </c>
      <c r="U79" s="4" t="s">
        <v>787</v>
      </c>
      <c r="V79" s="4" t="str">
        <f>IFERROR(__xludf.DUMMYFUNCTION("SPLIT(F79, "" "")"),"слонёнку.")</f>
        <v>слонёнку.</v>
      </c>
    </row>
    <row r="80" ht="14.25" customHeight="1">
      <c r="A80" s="1" t="s">
        <v>788</v>
      </c>
      <c r="B80" s="1" t="s">
        <v>94</v>
      </c>
      <c r="C80" s="2" t="s">
        <v>789</v>
      </c>
      <c r="D80" s="7" t="s">
        <v>96</v>
      </c>
      <c r="E80" s="1" t="s">
        <v>197</v>
      </c>
      <c r="F80" s="4" t="s">
        <v>790</v>
      </c>
      <c r="G80" s="7" t="s">
        <v>96</v>
      </c>
      <c r="H80" s="7" t="s">
        <v>791</v>
      </c>
      <c r="I80" s="4" t="s">
        <v>792</v>
      </c>
      <c r="J80" s="1" t="s">
        <v>793</v>
      </c>
      <c r="K80" s="1" t="s">
        <v>535</v>
      </c>
      <c r="L80" s="1" t="s">
        <v>794</v>
      </c>
      <c r="M80" s="1" t="s">
        <v>795</v>
      </c>
      <c r="N80" s="1" t="s">
        <v>139</v>
      </c>
      <c r="O80" s="1" t="s">
        <v>285</v>
      </c>
      <c r="Q80" s="1" t="s">
        <v>796</v>
      </c>
      <c r="R80" s="1" t="s">
        <v>797</v>
      </c>
      <c r="S80" s="1" t="s">
        <v>273</v>
      </c>
      <c r="T80" s="1" t="s">
        <v>36</v>
      </c>
      <c r="U80" s="4" t="s">
        <v>798</v>
      </c>
      <c r="V80" s="4" t="str">
        <f>IFERROR(__xludf.DUMMYFUNCTION("SPLIT(F80, "" "")"),"подлецам,")</f>
        <v>подлецам,</v>
      </c>
      <c r="W80" s="1" t="str">
        <f>IFERROR(__xludf.DUMMYFUNCTION("""COMPUTED_VALUE"""),"выглянуть")</f>
        <v>выглянуть</v>
      </c>
      <c r="X80" s="1" t="str">
        <f>IFERROR(__xludf.DUMMYFUNCTION("""COMPUTED_VALUE"""),"хоть")</f>
        <v>хоть</v>
      </c>
      <c r="Y80" s="1" t="str">
        <f>IFERROR(__xludf.DUMMYFUNCTION("""COMPUTED_VALUE"""),"на")</f>
        <v>на</v>
      </c>
      <c r="Z80" s="1" t="str">
        <f>IFERROR(__xludf.DUMMYFUNCTION("""COMPUTED_VALUE"""),"секунду?")</f>
        <v>секунду?</v>
      </c>
    </row>
    <row r="81" ht="14.25" customHeight="1">
      <c r="A81" s="1" t="s">
        <v>799</v>
      </c>
      <c r="B81" s="1" t="s">
        <v>370</v>
      </c>
      <c r="C81" s="2" t="s">
        <v>800</v>
      </c>
      <c r="D81" s="7" t="s">
        <v>372</v>
      </c>
      <c r="E81" s="1" t="s">
        <v>25</v>
      </c>
      <c r="F81" s="4" t="s">
        <v>801</v>
      </c>
      <c r="G81" s="7" t="s">
        <v>372</v>
      </c>
      <c r="H81" s="7" t="s">
        <v>802</v>
      </c>
      <c r="I81" s="4" t="s">
        <v>792</v>
      </c>
      <c r="J81" s="1" t="s">
        <v>793</v>
      </c>
      <c r="K81" s="1" t="s">
        <v>535</v>
      </c>
      <c r="L81" s="1" t="s">
        <v>794</v>
      </c>
      <c r="M81" s="1" t="s">
        <v>795</v>
      </c>
      <c r="N81" s="1" t="s">
        <v>139</v>
      </c>
      <c r="O81" s="1" t="s">
        <v>285</v>
      </c>
      <c r="Q81" s="1" t="s">
        <v>796</v>
      </c>
      <c r="R81" s="1" t="s">
        <v>797</v>
      </c>
      <c r="S81" s="1" t="s">
        <v>273</v>
      </c>
      <c r="T81" s="1" t="s">
        <v>36</v>
      </c>
      <c r="U81" s="4" t="s">
        <v>803</v>
      </c>
      <c r="V81" s="4" t="str">
        <f>IFERROR(__xludf.DUMMYFUNCTION("SPLIT(F81, "" "")"),"девчонке")</f>
        <v>девчонке</v>
      </c>
      <c r="W81" s="1" t="str">
        <f>IFERROR(__xludf.DUMMYFUNCTION("""COMPUTED_VALUE"""),"под")</f>
        <v>под</v>
      </c>
      <c r="X81" s="1" t="str">
        <f>IFERROR(__xludf.DUMMYFUNCTION("""COMPUTED_VALUE"""),"одеяло")</f>
        <v>одеяло</v>
      </c>
      <c r="Y81" s="1" t="str">
        <f>IFERROR(__xludf.DUMMYFUNCTION("""COMPUTED_VALUE"""),"во")</f>
        <v>во</v>
      </c>
      <c r="Z81" s="1" t="str">
        <f>IFERROR(__xludf.DUMMYFUNCTION("""COMPUTED_VALUE"""),"время")</f>
        <v>время</v>
      </c>
      <c r="AA81" s="1" t="str">
        <f>IFERROR(__xludf.DUMMYFUNCTION("""COMPUTED_VALUE"""),"грозы")</f>
        <v>грозы</v>
      </c>
    </row>
    <row r="82" ht="14.25" customHeight="1">
      <c r="A82" s="1" t="s">
        <v>804</v>
      </c>
      <c r="B82" s="1" t="s">
        <v>557</v>
      </c>
      <c r="C82" s="2" t="s">
        <v>805</v>
      </c>
      <c r="D82" s="7" t="s">
        <v>559</v>
      </c>
      <c r="E82" s="1" t="s">
        <v>25</v>
      </c>
      <c r="F82" s="4" t="s">
        <v>806</v>
      </c>
      <c r="G82" s="7" t="s">
        <v>559</v>
      </c>
      <c r="H82" s="7" t="s">
        <v>807</v>
      </c>
      <c r="I82" s="4" t="s">
        <v>808</v>
      </c>
      <c r="J82" s="1" t="s">
        <v>809</v>
      </c>
      <c r="K82" s="1" t="s">
        <v>582</v>
      </c>
      <c r="L82" s="1" t="s">
        <v>810</v>
      </c>
      <c r="M82" s="1" t="s">
        <v>811</v>
      </c>
      <c r="N82" s="1" t="s">
        <v>139</v>
      </c>
      <c r="O82" s="1" t="s">
        <v>812</v>
      </c>
      <c r="Q82" s="1" t="s">
        <v>813</v>
      </c>
      <c r="R82" s="1" t="s">
        <v>113</v>
      </c>
      <c r="S82" s="1" t="s">
        <v>273</v>
      </c>
      <c r="T82" s="1" t="s">
        <v>36</v>
      </c>
      <c r="U82" s="4" t="s">
        <v>814</v>
      </c>
      <c r="V82" s="4" t="str">
        <f>IFERROR(__xludf.DUMMYFUNCTION("SPLIT(F82, "" "")"),"Егору")</f>
        <v>Егору</v>
      </c>
      <c r="W82" s="1" t="str">
        <f>IFERROR(__xludf.DUMMYFUNCTION("""COMPUTED_VALUE"""),"скуластенькая")</f>
        <v>скуластенькая</v>
      </c>
      <c r="X82" s="1" t="str">
        <f>IFERROR(__xludf.DUMMYFUNCTION("""COMPUTED_VALUE"""),"женщина")</f>
        <v>женщина</v>
      </c>
      <c r="Y82" s="1" t="str">
        <f>IFERROR(__xludf.DUMMYFUNCTION("""COMPUTED_VALUE"""),"с")</f>
        <v>с</v>
      </c>
      <c r="Z82" s="1" t="str">
        <f>IFERROR(__xludf.DUMMYFUNCTION("""COMPUTED_VALUE"""),"гитарой.")</f>
        <v>гитарой.</v>
      </c>
    </row>
    <row r="83" ht="14.25" customHeight="1">
      <c r="A83" s="1" t="s">
        <v>815</v>
      </c>
      <c r="B83" s="1" t="s">
        <v>816</v>
      </c>
      <c r="C83" s="2" t="s">
        <v>817</v>
      </c>
      <c r="D83" s="7" t="s">
        <v>818</v>
      </c>
      <c r="E83" s="1" t="s">
        <v>25</v>
      </c>
      <c r="F83" s="4" t="s">
        <v>819</v>
      </c>
      <c r="G83" s="7" t="s">
        <v>818</v>
      </c>
      <c r="H83" s="7" t="s">
        <v>820</v>
      </c>
      <c r="I83" s="4" t="s">
        <v>821</v>
      </c>
      <c r="J83" s="1" t="s">
        <v>581</v>
      </c>
      <c r="K83" s="1" t="s">
        <v>582</v>
      </c>
      <c r="L83" s="1" t="s">
        <v>822</v>
      </c>
      <c r="M83" s="1" t="s">
        <v>811</v>
      </c>
      <c r="N83" s="1" t="s">
        <v>139</v>
      </c>
      <c r="O83" s="1" t="s">
        <v>458</v>
      </c>
      <c r="Q83" s="1" t="s">
        <v>596</v>
      </c>
      <c r="R83" s="1" t="s">
        <v>597</v>
      </c>
      <c r="S83" s="1" t="s">
        <v>273</v>
      </c>
      <c r="T83" s="1" t="s">
        <v>36</v>
      </c>
      <c r="U83" s="4" t="s">
        <v>823</v>
      </c>
      <c r="V83" s="4" t="str">
        <f>IFERROR(__xludf.DUMMYFUNCTION("SPLIT(F83, "" "")"),"домохозяйкам")</f>
        <v>домохозяйкам</v>
      </c>
      <c r="W83" s="1" t="str">
        <f>IFERROR(__xludf.DUMMYFUNCTION("""COMPUTED_VALUE"""),"на")</f>
        <v>на</v>
      </c>
      <c r="X83" s="1" t="str">
        <f>IFERROR(__xludf.DUMMYFUNCTION("""COMPUTED_VALUE"""),"их")</f>
        <v>их</v>
      </c>
      <c r="Y83" s="1" t="str">
        <f>IFERROR(__xludf.DUMMYFUNCTION("""COMPUTED_VALUE"""),"бельё")</f>
        <v>бельё</v>
      </c>
      <c r="Z83" s="1" t="str">
        <f>IFERROR(__xludf.DUMMYFUNCTION("""COMPUTED_VALUE"""),"и")</f>
        <v>и</v>
      </c>
      <c r="AA83" s="1" t="str">
        <f>IFERROR(__xludf.DUMMYFUNCTION("""COMPUTED_VALUE"""),"сам")</f>
        <v>сам</v>
      </c>
    </row>
    <row r="84" ht="14.25" customHeight="1">
      <c r="A84" s="1" t="s">
        <v>824</v>
      </c>
      <c r="B84" s="1" t="s">
        <v>326</v>
      </c>
      <c r="C84" s="2" t="s">
        <v>825</v>
      </c>
      <c r="D84" s="7" t="s">
        <v>328</v>
      </c>
      <c r="E84" s="1" t="s">
        <v>25</v>
      </c>
      <c r="F84" s="4" t="s">
        <v>826</v>
      </c>
      <c r="G84" s="7" t="s">
        <v>328</v>
      </c>
      <c r="H84" s="7" t="s">
        <v>827</v>
      </c>
      <c r="I84" s="4" t="s">
        <v>828</v>
      </c>
      <c r="J84" s="1" t="s">
        <v>829</v>
      </c>
      <c r="K84" s="1" t="s">
        <v>481</v>
      </c>
      <c r="L84" s="1" t="s">
        <v>830</v>
      </c>
      <c r="M84" s="1" t="s">
        <v>831</v>
      </c>
      <c r="N84" s="1" t="s">
        <v>139</v>
      </c>
      <c r="O84" s="1" t="s">
        <v>458</v>
      </c>
      <c r="Q84" s="1" t="s">
        <v>832</v>
      </c>
      <c r="R84" s="1" t="s">
        <v>233</v>
      </c>
      <c r="S84" s="1" t="s">
        <v>273</v>
      </c>
      <c r="T84" s="1" t="s">
        <v>36</v>
      </c>
      <c r="U84" s="4" t="s">
        <v>833</v>
      </c>
      <c r="V84" s="4" t="str">
        <f>IFERROR(__xludf.DUMMYFUNCTION("SPLIT(F84, "" "")"),"встрече,")</f>
        <v>встрече,</v>
      </c>
      <c r="W84" s="1" t="str">
        <f>IFERROR(__xludf.DUMMYFUNCTION("""COMPUTED_VALUE"""),"как")</f>
        <v>как</v>
      </c>
      <c r="X84" s="1" t="str">
        <f>IFERROR(__xludf.DUMMYFUNCTION("""COMPUTED_VALUE"""),"будто")</f>
        <v>будто</v>
      </c>
      <c r="Y84" s="1" t="str">
        <f>IFERROR(__xludf.DUMMYFUNCTION("""COMPUTED_VALUE"""),"мы")</f>
        <v>мы</v>
      </c>
      <c r="Z84" s="1" t="str">
        <f>IFERROR(__xludf.DUMMYFUNCTION("""COMPUTED_VALUE"""),"и")</f>
        <v>и</v>
      </c>
      <c r="AA84" s="1" t="str">
        <f>IFERROR(__xludf.DUMMYFUNCTION("""COMPUTED_VALUE"""),"прежде")</f>
        <v>прежде</v>
      </c>
    </row>
    <row r="85" ht="14.25" customHeight="1">
      <c r="A85" s="1" t="s">
        <v>834</v>
      </c>
      <c r="B85" s="1" t="s">
        <v>414</v>
      </c>
      <c r="C85" s="2" t="s">
        <v>835</v>
      </c>
      <c r="D85" s="7" t="s">
        <v>416</v>
      </c>
      <c r="E85" s="1" t="s">
        <v>25</v>
      </c>
      <c r="F85" s="4" t="s">
        <v>836</v>
      </c>
      <c r="G85" s="7" t="s">
        <v>416</v>
      </c>
      <c r="H85" s="7" t="s">
        <v>837</v>
      </c>
      <c r="I85" s="4" t="s">
        <v>838</v>
      </c>
      <c r="J85" s="1" t="s">
        <v>809</v>
      </c>
      <c r="K85" s="1" t="s">
        <v>582</v>
      </c>
      <c r="L85" s="1" t="s">
        <v>839</v>
      </c>
      <c r="M85" s="1" t="s">
        <v>840</v>
      </c>
      <c r="N85" s="1" t="s">
        <v>139</v>
      </c>
      <c r="O85" s="1" t="s">
        <v>812</v>
      </c>
      <c r="Q85" s="1" t="s">
        <v>813</v>
      </c>
      <c r="R85" s="1" t="s">
        <v>113</v>
      </c>
      <c r="S85" s="1" t="s">
        <v>273</v>
      </c>
      <c r="T85" s="1" t="s">
        <v>36</v>
      </c>
      <c r="U85" s="4" t="s">
        <v>841</v>
      </c>
      <c r="V85" s="4" t="str">
        <f>IFERROR(__xludf.DUMMYFUNCTION("SPLIT(F85, "" "")"),"воле.")</f>
        <v>воле.</v>
      </c>
    </row>
    <row r="86" ht="14.25" customHeight="1">
      <c r="A86" s="1" t="s">
        <v>842</v>
      </c>
      <c r="B86" s="1" t="s">
        <v>843</v>
      </c>
      <c r="C86" s="2" t="s">
        <v>844</v>
      </c>
      <c r="D86" s="7" t="s">
        <v>845</v>
      </c>
      <c r="E86" s="1" t="s">
        <v>25</v>
      </c>
      <c r="F86" s="4" t="s">
        <v>846</v>
      </c>
      <c r="G86" s="7" t="s">
        <v>845</v>
      </c>
      <c r="H86" s="7" t="s">
        <v>847</v>
      </c>
      <c r="I86" s="4" t="s">
        <v>848</v>
      </c>
      <c r="J86" s="1" t="s">
        <v>581</v>
      </c>
      <c r="K86" s="1" t="s">
        <v>582</v>
      </c>
      <c r="L86" s="1" t="s">
        <v>849</v>
      </c>
      <c r="M86" s="1" t="s">
        <v>850</v>
      </c>
      <c r="N86" s="1" t="s">
        <v>139</v>
      </c>
      <c r="O86" s="1" t="s">
        <v>458</v>
      </c>
      <c r="Q86" s="1" t="s">
        <v>585</v>
      </c>
      <c r="R86" s="1" t="s">
        <v>518</v>
      </c>
      <c r="S86" s="1" t="s">
        <v>273</v>
      </c>
      <c r="T86" s="1" t="s">
        <v>36</v>
      </c>
      <c r="U86" s="4" t="s">
        <v>851</v>
      </c>
      <c r="V86" s="4" t="str">
        <f>IFERROR(__xludf.DUMMYFUNCTION("SPLIT(F86, "" "")"),"злости,")</f>
        <v>злости,</v>
      </c>
      <c r="W86" s="1" t="str">
        <f>IFERROR(__xludf.DUMMYFUNCTION("""COMPUTED_VALUE"""),"непонятной")</f>
        <v>непонятной</v>
      </c>
      <c r="X86" s="1" t="str">
        <f>IFERROR(__xludf.DUMMYFUNCTION("""COMPUTED_VALUE"""),"жестокости.")</f>
        <v>жестокости.</v>
      </c>
    </row>
    <row r="87" ht="14.25" customHeight="1">
      <c r="A87" s="1" t="s">
        <v>852</v>
      </c>
      <c r="B87" s="1" t="s">
        <v>853</v>
      </c>
      <c r="C87" s="2" t="s">
        <v>854</v>
      </c>
      <c r="D87" s="7" t="s">
        <v>855</v>
      </c>
      <c r="E87" s="1" t="s">
        <v>197</v>
      </c>
      <c r="F87" s="4" t="s">
        <v>856</v>
      </c>
      <c r="G87" s="7" t="s">
        <v>855</v>
      </c>
      <c r="H87" s="7" t="s">
        <v>857</v>
      </c>
      <c r="I87" s="4" t="s">
        <v>858</v>
      </c>
      <c r="J87" s="1" t="s">
        <v>793</v>
      </c>
      <c r="K87" s="1" t="s">
        <v>535</v>
      </c>
      <c r="L87" s="1" t="s">
        <v>859</v>
      </c>
      <c r="M87" s="1" t="s">
        <v>850</v>
      </c>
      <c r="N87" s="1" t="s">
        <v>139</v>
      </c>
      <c r="O87" s="1" t="s">
        <v>285</v>
      </c>
      <c r="Q87" s="1" t="s">
        <v>860</v>
      </c>
      <c r="R87" s="1" t="s">
        <v>745</v>
      </c>
      <c r="S87" s="1" t="s">
        <v>273</v>
      </c>
      <c r="T87" s="1" t="s">
        <v>36</v>
      </c>
      <c r="U87" s="4" t="s">
        <v>861</v>
      </c>
      <c r="V87" s="4" t="str">
        <f>IFERROR(__xludf.DUMMYFUNCTION("SPLIT(F87, "" "")"),"Дмитриеву:")</f>
        <v>Дмитриеву:</v>
      </c>
      <c r="W87" s="1" t="str">
        <f>IFERROR(__xludf.DUMMYFUNCTION("""COMPUTED_VALUE"""),"""Сегодня")</f>
        <v>"Сегодня</v>
      </c>
      <c r="X87" s="1" t="str">
        <f>IFERROR(__xludf.DUMMYFUNCTION("""COMPUTED_VALUE"""),"приходил")</f>
        <v>приходил</v>
      </c>
      <c r="Y87" s="1" t="str">
        <f>IFERROR(__xludf.DUMMYFUNCTION("""COMPUTED_VALUE"""),"какой-то")</f>
        <v>какой-то</v>
      </c>
      <c r="Z87" s="1" t="str">
        <f>IFERROR(__xludf.DUMMYFUNCTION("""COMPUTED_VALUE"""),"рабочий")</f>
        <v>рабочий</v>
      </c>
      <c r="AA87" s="1" t="str">
        <f>IFERROR(__xludf.DUMMYFUNCTION("""COMPUTED_VALUE"""),"перетягивать")</f>
        <v>перетягивать</v>
      </c>
    </row>
    <row r="88" ht="14.25" customHeight="1">
      <c r="A88" s="1" t="s">
        <v>862</v>
      </c>
      <c r="B88" s="1" t="s">
        <v>414</v>
      </c>
      <c r="C88" s="2" t="s">
        <v>863</v>
      </c>
      <c r="D88" s="7" t="s">
        <v>416</v>
      </c>
      <c r="E88" s="1" t="s">
        <v>25</v>
      </c>
      <c r="F88" s="4" t="s">
        <v>864</v>
      </c>
      <c r="G88" s="7" t="s">
        <v>416</v>
      </c>
      <c r="H88" s="7" t="s">
        <v>865</v>
      </c>
      <c r="I88" s="4" t="s">
        <v>866</v>
      </c>
      <c r="J88" s="1" t="s">
        <v>867</v>
      </c>
      <c r="K88" s="1" t="s">
        <v>868</v>
      </c>
      <c r="L88" s="1" t="s">
        <v>869</v>
      </c>
      <c r="M88" s="1" t="s">
        <v>870</v>
      </c>
      <c r="N88" s="1" t="s">
        <v>51</v>
      </c>
      <c r="O88" s="1" t="s">
        <v>271</v>
      </c>
      <c r="P88" s="1" t="s">
        <v>53</v>
      </c>
      <c r="Q88" s="1" t="s">
        <v>871</v>
      </c>
      <c r="R88" s="1" t="s">
        <v>322</v>
      </c>
      <c r="S88" s="1" t="s">
        <v>273</v>
      </c>
      <c r="T88" s="1" t="s">
        <v>36</v>
      </c>
      <c r="U88" s="4" t="s">
        <v>872</v>
      </c>
      <c r="V88" s="4" t="str">
        <f>IFERROR(__xludf.DUMMYFUNCTION("SPLIT(F88, "" "")"),"солнцу")</f>
        <v>солнцу</v>
      </c>
      <c r="W88" s="1" t="str">
        <f>IFERROR(__xludf.DUMMYFUNCTION("""COMPUTED_VALUE"""),"и")</f>
        <v>и</v>
      </c>
      <c r="X88" s="1" t="str">
        <f>IFERROR(__xludf.DUMMYFUNCTION("""COMPUTED_VALUE"""),"ветру,")</f>
        <v>ветру,</v>
      </c>
      <c r="Y88" s="1" t="str">
        <f>IFERROR(__xludf.DUMMYFUNCTION("""COMPUTED_VALUE"""),"неожиданно")</f>
        <v>неожиданно</v>
      </c>
      <c r="Z88" s="1" t="str">
        <f>IFERROR(__xludf.DUMMYFUNCTION("""COMPUTED_VALUE"""),"для")</f>
        <v>для</v>
      </c>
      <c r="AA88" s="1" t="str">
        <f>IFERROR(__xludf.DUMMYFUNCTION("""COMPUTED_VALUE"""),"себя")</f>
        <v>себя</v>
      </c>
    </row>
    <row r="89" ht="14.25" customHeight="1">
      <c r="A89" s="1" t="s">
        <v>873</v>
      </c>
      <c r="B89" s="1" t="s">
        <v>720</v>
      </c>
      <c r="C89" s="2" t="s">
        <v>874</v>
      </c>
      <c r="D89" s="7" t="s">
        <v>722</v>
      </c>
      <c r="E89" s="1" t="s">
        <v>25</v>
      </c>
      <c r="F89" s="4" t="s">
        <v>875</v>
      </c>
      <c r="G89" s="7" t="s">
        <v>722</v>
      </c>
      <c r="H89" s="7" t="s">
        <v>876</v>
      </c>
      <c r="I89" s="4" t="s">
        <v>877</v>
      </c>
      <c r="J89" s="1" t="s">
        <v>878</v>
      </c>
      <c r="K89" s="1" t="s">
        <v>879</v>
      </c>
      <c r="L89" s="1" t="s">
        <v>880</v>
      </c>
      <c r="M89" s="1" t="s">
        <v>881</v>
      </c>
      <c r="N89" s="1" t="s">
        <v>139</v>
      </c>
      <c r="O89" s="1" t="s">
        <v>367</v>
      </c>
      <c r="Q89" s="1" t="s">
        <v>286</v>
      </c>
      <c r="R89" s="1" t="s">
        <v>584</v>
      </c>
      <c r="S89" s="1" t="s">
        <v>70</v>
      </c>
      <c r="T89" s="1" t="s">
        <v>36</v>
      </c>
      <c r="U89" s="4" t="s">
        <v>882</v>
      </c>
      <c r="V89" s="4" t="str">
        <f>IFERROR(__xludf.DUMMYFUNCTION("SPLIT(F89, "" "")"),"Осколупову.")</f>
        <v>Осколупову.</v>
      </c>
    </row>
    <row r="90" ht="14.25" customHeight="1">
      <c r="A90" s="1" t="s">
        <v>883</v>
      </c>
      <c r="B90" s="1" t="s">
        <v>289</v>
      </c>
      <c r="C90" s="2" t="s">
        <v>884</v>
      </c>
      <c r="D90" s="7" t="s">
        <v>291</v>
      </c>
      <c r="E90" s="1" t="s">
        <v>25</v>
      </c>
      <c r="F90" s="4" t="s">
        <v>885</v>
      </c>
      <c r="G90" s="7" t="s">
        <v>291</v>
      </c>
      <c r="H90" s="7" t="s">
        <v>886</v>
      </c>
      <c r="I90" s="4" t="s">
        <v>887</v>
      </c>
      <c r="J90" s="1" t="s">
        <v>888</v>
      </c>
      <c r="K90" s="1" t="s">
        <v>645</v>
      </c>
      <c r="L90" s="1" t="s">
        <v>889</v>
      </c>
      <c r="M90" s="1" t="s">
        <v>890</v>
      </c>
      <c r="N90" s="1" t="s">
        <v>51</v>
      </c>
      <c r="O90" s="1" t="s">
        <v>891</v>
      </c>
      <c r="P90" s="1" t="s">
        <v>892</v>
      </c>
      <c r="Q90" s="1" t="s">
        <v>893</v>
      </c>
      <c r="R90" s="1" t="s">
        <v>733</v>
      </c>
      <c r="S90" s="1" t="s">
        <v>273</v>
      </c>
      <c r="T90" s="1" t="s">
        <v>36</v>
      </c>
      <c r="U90" s="4" t="s">
        <v>894</v>
      </c>
      <c r="V90" s="4" t="str">
        <f>IFERROR(__xludf.DUMMYFUNCTION("SPLIT(F90, "" "")"),"одинаковости")</f>
        <v>одинаковости</v>
      </c>
      <c r="W90" s="1" t="str">
        <f>IFERROR(__xludf.DUMMYFUNCTION("""COMPUTED_VALUE"""),"каких-то")</f>
        <v>каких-то</v>
      </c>
      <c r="X90" s="1" t="str">
        <f>IFERROR(__xludf.DUMMYFUNCTION("""COMPUTED_VALUE"""),"сомнений.")</f>
        <v>сомнений.</v>
      </c>
    </row>
    <row r="91" ht="14.25" customHeight="1">
      <c r="A91" s="1" t="s">
        <v>895</v>
      </c>
      <c r="B91" s="1" t="s">
        <v>289</v>
      </c>
      <c r="C91" s="2" t="s">
        <v>896</v>
      </c>
      <c r="D91" s="7" t="s">
        <v>291</v>
      </c>
      <c r="E91" s="1" t="s">
        <v>25</v>
      </c>
      <c r="F91" s="4" t="s">
        <v>897</v>
      </c>
      <c r="G91" s="7" t="s">
        <v>291</v>
      </c>
      <c r="H91" s="7" t="s">
        <v>220</v>
      </c>
      <c r="I91" s="4" t="s">
        <v>887</v>
      </c>
      <c r="J91" s="1" t="s">
        <v>888</v>
      </c>
      <c r="K91" s="1" t="s">
        <v>645</v>
      </c>
      <c r="L91" s="1" t="s">
        <v>889</v>
      </c>
      <c r="M91" s="1" t="s">
        <v>890</v>
      </c>
      <c r="N91" s="1" t="s">
        <v>51</v>
      </c>
      <c r="O91" s="1" t="s">
        <v>891</v>
      </c>
      <c r="P91" s="1" t="s">
        <v>892</v>
      </c>
      <c r="Q91" s="1" t="s">
        <v>893</v>
      </c>
      <c r="R91" s="1" t="s">
        <v>733</v>
      </c>
      <c r="S91" s="1" t="s">
        <v>273</v>
      </c>
      <c r="T91" s="1" t="s">
        <v>36</v>
      </c>
      <c r="U91" s="4" t="s">
        <v>898</v>
      </c>
      <c r="V91" s="4" t="str">
        <f>IFERROR(__xludf.DUMMYFUNCTION("SPLIT(F91, "" "")"),"жизни")</f>
        <v>жизни</v>
      </c>
      <c r="W91" s="1" t="str">
        <f>IFERROR(__xludf.DUMMYFUNCTION("""COMPUTED_VALUE"""),"вместе")</f>
        <v>вместе</v>
      </c>
      <c r="X91" s="1" t="str">
        <f>IFERROR(__xludf.DUMMYFUNCTION("""COMPUTED_VALUE"""),"со")</f>
        <v>со</v>
      </c>
      <c r="Y91" s="1" t="str">
        <f>IFERROR(__xludf.DUMMYFUNCTION("""COMPUTED_VALUE"""),"всеми")</f>
        <v>всеми</v>
      </c>
      <c r="Z91" s="1" t="str">
        <f>IFERROR(__xludf.DUMMYFUNCTION("""COMPUTED_VALUE"""),"своими")</f>
        <v>своими</v>
      </c>
      <c r="AA91" s="1" t="str">
        <f>IFERROR(__xludf.DUMMYFUNCTION("""COMPUTED_VALUE"""),"кишками.")</f>
        <v>кишками.</v>
      </c>
    </row>
    <row r="92" ht="14.25" customHeight="1">
      <c r="A92" s="1" t="s">
        <v>899</v>
      </c>
      <c r="B92" s="1" t="s">
        <v>720</v>
      </c>
      <c r="C92" s="2" t="s">
        <v>900</v>
      </c>
      <c r="D92" s="7" t="s">
        <v>722</v>
      </c>
      <c r="E92" s="1" t="s">
        <v>25</v>
      </c>
      <c r="F92" s="4" t="s">
        <v>901</v>
      </c>
      <c r="G92" s="7" t="s">
        <v>722</v>
      </c>
      <c r="H92" s="7" t="s">
        <v>902</v>
      </c>
      <c r="I92" s="4" t="s">
        <v>903</v>
      </c>
      <c r="J92" s="1" t="s">
        <v>742</v>
      </c>
      <c r="K92" s="1" t="s">
        <v>743</v>
      </c>
      <c r="L92" s="1" t="s">
        <v>904</v>
      </c>
      <c r="M92" s="1" t="s">
        <v>905</v>
      </c>
      <c r="N92" s="1" t="s">
        <v>139</v>
      </c>
      <c r="O92" s="1" t="s">
        <v>367</v>
      </c>
      <c r="Q92" s="1" t="s">
        <v>906</v>
      </c>
      <c r="R92" s="1" t="s">
        <v>747</v>
      </c>
      <c r="S92" s="1" t="s">
        <v>273</v>
      </c>
      <c r="T92" s="1" t="s">
        <v>36</v>
      </c>
      <c r="U92" s="4" t="s">
        <v>907</v>
      </c>
      <c r="V92" s="4" t="str">
        <f>IFERROR(__xludf.DUMMYFUNCTION("SPLIT(F92, "" "")"),"прокурору")</f>
        <v>прокурору</v>
      </c>
      <c r="W92" s="1" t="str">
        <f>IFERROR(__xludf.DUMMYFUNCTION("""COMPUTED_VALUE"""),"хорошей,")</f>
        <v>хорошей,</v>
      </c>
      <c r="X92" s="1" t="str">
        <f>IFERROR(__xludf.DUMMYFUNCTION("""COMPUTED_VALUE"""),"быстрой,")</f>
        <v>быстрой,</v>
      </c>
      <c r="Y92" s="1" t="str">
        <f>IFERROR(__xludf.DUMMYFUNCTION("""COMPUTED_VALUE"""),"весёлой")</f>
        <v>весёлой</v>
      </c>
      <c r="Z92" s="1" t="str">
        <f>IFERROR(__xludf.DUMMYFUNCTION("""COMPUTED_VALUE"""),"войны.")</f>
        <v>войны.</v>
      </c>
    </row>
    <row r="93" ht="14.25" customHeight="1">
      <c r="A93" s="1" t="s">
        <v>908</v>
      </c>
      <c r="B93" s="1" t="s">
        <v>382</v>
      </c>
      <c r="C93" s="2" t="s">
        <v>431</v>
      </c>
      <c r="D93" s="7" t="s">
        <v>384</v>
      </c>
      <c r="E93" s="1" t="s">
        <v>25</v>
      </c>
      <c r="F93" s="4" t="s">
        <v>909</v>
      </c>
      <c r="G93" s="7" t="s">
        <v>384</v>
      </c>
      <c r="H93" s="7" t="s">
        <v>910</v>
      </c>
      <c r="I93" s="4" t="s">
        <v>911</v>
      </c>
      <c r="J93" s="1" t="s">
        <v>912</v>
      </c>
      <c r="K93" s="1" t="s">
        <v>913</v>
      </c>
      <c r="L93" s="1" t="s">
        <v>914</v>
      </c>
      <c r="M93" s="1" t="s">
        <v>915</v>
      </c>
      <c r="N93" s="1" t="s">
        <v>139</v>
      </c>
      <c r="O93" s="1" t="s">
        <v>285</v>
      </c>
      <c r="Q93" s="1" t="s">
        <v>717</v>
      </c>
      <c r="R93" s="1" t="s">
        <v>595</v>
      </c>
      <c r="S93" s="1" t="s">
        <v>70</v>
      </c>
      <c r="T93" s="1" t="s">
        <v>36</v>
      </c>
      <c r="U93" s="4" t="s">
        <v>916</v>
      </c>
      <c r="V93" s="4" t="str">
        <f>IFERROR(__xludf.DUMMYFUNCTION("SPLIT(F93, "" "")"),"чувству")</f>
        <v>чувству</v>
      </c>
      <c r="W93" s="1" t="str">
        <f>IFERROR(__xludf.DUMMYFUNCTION("""COMPUTED_VALUE"""),"покоя,")</f>
        <v>покоя,</v>
      </c>
      <c r="X93" s="1" t="str">
        <f>IFERROR(__xludf.DUMMYFUNCTION("""COMPUTED_VALUE"""),"когда")</f>
        <v>когда</v>
      </c>
      <c r="Y93" s="1" t="str">
        <f>IFERROR(__xludf.DUMMYFUNCTION("""COMPUTED_VALUE"""),"очутился")</f>
        <v>очутился</v>
      </c>
      <c r="Z93" s="1" t="str">
        <f>IFERROR(__xludf.DUMMYFUNCTION("""COMPUTED_VALUE"""),"в")</f>
        <v>в</v>
      </c>
      <c r="AA93" s="1" t="str">
        <f>IFERROR(__xludf.DUMMYFUNCTION("""COMPUTED_VALUE"""),"холодном")</f>
        <v>холодном</v>
      </c>
    </row>
    <row r="94" ht="14.25" customHeight="1">
      <c r="A94" s="1" t="s">
        <v>917</v>
      </c>
      <c r="B94" s="1" t="s">
        <v>382</v>
      </c>
      <c r="C94" s="2" t="s">
        <v>918</v>
      </c>
      <c r="D94" s="7" t="s">
        <v>384</v>
      </c>
      <c r="E94" s="1" t="s">
        <v>25</v>
      </c>
      <c r="F94" s="4" t="s">
        <v>919</v>
      </c>
      <c r="G94" s="7" t="s">
        <v>384</v>
      </c>
      <c r="H94" s="7" t="s">
        <v>920</v>
      </c>
      <c r="I94" s="4" t="s">
        <v>911</v>
      </c>
      <c r="J94" s="1" t="s">
        <v>912</v>
      </c>
      <c r="K94" s="1" t="s">
        <v>913</v>
      </c>
      <c r="L94" s="1" t="s">
        <v>914</v>
      </c>
      <c r="M94" s="1" t="s">
        <v>915</v>
      </c>
      <c r="N94" s="1" t="s">
        <v>139</v>
      </c>
      <c r="O94" s="1" t="s">
        <v>285</v>
      </c>
      <c r="Q94" s="1" t="s">
        <v>717</v>
      </c>
      <c r="R94" s="1" t="s">
        <v>595</v>
      </c>
      <c r="S94" s="1" t="s">
        <v>70</v>
      </c>
      <c r="T94" s="1" t="s">
        <v>36</v>
      </c>
      <c r="U94" s="4" t="s">
        <v>921</v>
      </c>
      <c r="V94" s="4" t="str">
        <f>IFERROR(__xludf.DUMMYFUNCTION("SPLIT(F94, "" "")"),"покою")</f>
        <v>покою</v>
      </c>
      <c r="W94" s="1" t="str">
        <f>IFERROR(__xludf.DUMMYFUNCTION("""COMPUTED_VALUE"""),"и")</f>
        <v>и</v>
      </c>
      <c r="X94" s="1" t="str">
        <f>IFERROR(__xludf.DUMMYFUNCTION("""COMPUTED_VALUE"""),"лёгкости")</f>
        <v>лёгкости</v>
      </c>
      <c r="Y94" s="1" t="str">
        <f>IFERROR(__xludf.DUMMYFUNCTION("""COMPUTED_VALUE"""),"в")</f>
        <v>в</v>
      </c>
      <c r="Z94" s="1" t="str">
        <f>IFERROR(__xludf.DUMMYFUNCTION("""COMPUTED_VALUE"""),"вагоне")</f>
        <v>вагоне</v>
      </c>
      <c r="AA94" s="1" t="str">
        <f>IFERROR(__xludf.DUMMYFUNCTION("""COMPUTED_VALUE"""),"ночного")</f>
        <v>ночного</v>
      </c>
    </row>
    <row r="95" ht="14.25" customHeight="1">
      <c r="A95" s="1" t="s">
        <v>922</v>
      </c>
      <c r="B95" s="1" t="s">
        <v>923</v>
      </c>
      <c r="C95" s="2" t="s">
        <v>924</v>
      </c>
      <c r="D95" s="7" t="s">
        <v>925</v>
      </c>
      <c r="E95" s="1" t="s">
        <v>25</v>
      </c>
      <c r="F95" s="4" t="s">
        <v>926</v>
      </c>
      <c r="G95" s="7" t="s">
        <v>925</v>
      </c>
      <c r="H95" s="7" t="s">
        <v>927</v>
      </c>
      <c r="I95" s="4" t="s">
        <v>911</v>
      </c>
      <c r="J95" s="1" t="s">
        <v>912</v>
      </c>
      <c r="K95" s="1" t="s">
        <v>913</v>
      </c>
      <c r="L95" s="1" t="s">
        <v>914</v>
      </c>
      <c r="M95" s="1" t="s">
        <v>915</v>
      </c>
      <c r="N95" s="1" t="s">
        <v>139</v>
      </c>
      <c r="O95" s="1" t="s">
        <v>285</v>
      </c>
      <c r="Q95" s="1" t="s">
        <v>717</v>
      </c>
      <c r="R95" s="1" t="s">
        <v>595</v>
      </c>
      <c r="S95" s="1" t="s">
        <v>70</v>
      </c>
      <c r="T95" s="1" t="s">
        <v>36</v>
      </c>
      <c r="U95" s="4" t="s">
        <v>928</v>
      </c>
      <c r="V95" s="4" t="str">
        <f>IFERROR(__xludf.DUMMYFUNCTION("SPLIT(F95, "" "")"),"детям")</f>
        <v>детям</v>
      </c>
      <c r="W95" s="1" t="str">
        <f>IFERROR(__xludf.DUMMYFUNCTION("""COMPUTED_VALUE"""),"помочь.")</f>
        <v>помочь.</v>
      </c>
    </row>
    <row r="96" ht="14.25" customHeight="1">
      <c r="A96" s="1" t="s">
        <v>929</v>
      </c>
      <c r="B96" s="1" t="s">
        <v>94</v>
      </c>
      <c r="C96" s="2" t="s">
        <v>930</v>
      </c>
      <c r="D96" s="7" t="s">
        <v>96</v>
      </c>
      <c r="E96" s="1" t="s">
        <v>25</v>
      </c>
      <c r="F96" s="4" t="s">
        <v>931</v>
      </c>
      <c r="G96" s="7" t="s">
        <v>96</v>
      </c>
      <c r="H96" s="7" t="s">
        <v>932</v>
      </c>
      <c r="I96" s="4" t="s">
        <v>933</v>
      </c>
      <c r="J96" s="1" t="s">
        <v>878</v>
      </c>
      <c r="K96" s="1" t="s">
        <v>879</v>
      </c>
      <c r="L96" s="1" t="s">
        <v>934</v>
      </c>
      <c r="M96" s="1" t="s">
        <v>935</v>
      </c>
      <c r="N96" s="1" t="s">
        <v>139</v>
      </c>
      <c r="O96" s="1" t="s">
        <v>458</v>
      </c>
      <c r="Q96" s="1" t="s">
        <v>936</v>
      </c>
      <c r="R96" s="1" t="s">
        <v>366</v>
      </c>
      <c r="S96" s="1" t="s">
        <v>273</v>
      </c>
      <c r="T96" s="1" t="s">
        <v>36</v>
      </c>
      <c r="U96" s="4" t="s">
        <v>937</v>
      </c>
      <c r="V96" s="4" t="str">
        <f>IFERROR(__xludf.DUMMYFUNCTION("SPLIT(F96, "" "")"),"Шухову")</f>
        <v>Шухову</v>
      </c>
      <c r="W96" s="1" t="str">
        <f>IFERROR(__xludf.DUMMYFUNCTION("""COMPUTED_VALUE"""),"спросить")</f>
        <v>спросить</v>
      </c>
      <c r="X96" s="1" t="str">
        <f>IFERROR(__xludf.DUMMYFUNCTION("""COMPUTED_VALUE"""),"бригадира,")</f>
        <v>бригадира,</v>
      </c>
      <c r="Y96" s="1" t="str">
        <f>IFERROR(__xludf.DUMMYFUNCTION("""COMPUTED_VALUE"""),"там")</f>
        <v>там</v>
      </c>
      <c r="Z96" s="1" t="str">
        <f>IFERROR(__xludf.DUMMYFUNCTION("""COMPUTED_VALUE"""),"же")</f>
        <v>же</v>
      </c>
      <c r="AA96" s="1" t="str">
        <f>IFERROR(__xludf.DUMMYFUNCTION("""COMPUTED_VALUE"""),"ли")</f>
        <v>ли</v>
      </c>
    </row>
    <row r="97" ht="14.25" customHeight="1">
      <c r="A97" s="1" t="s">
        <v>938</v>
      </c>
      <c r="B97" s="1" t="s">
        <v>720</v>
      </c>
      <c r="C97" s="2" t="s">
        <v>939</v>
      </c>
      <c r="D97" s="7" t="s">
        <v>722</v>
      </c>
      <c r="E97" s="1" t="s">
        <v>25</v>
      </c>
      <c r="F97" s="4" t="s">
        <v>940</v>
      </c>
      <c r="G97" s="7" t="s">
        <v>722</v>
      </c>
      <c r="H97" s="7" t="s">
        <v>932</v>
      </c>
      <c r="I97" s="4" t="s">
        <v>933</v>
      </c>
      <c r="J97" s="1" t="s">
        <v>878</v>
      </c>
      <c r="K97" s="1" t="s">
        <v>879</v>
      </c>
      <c r="L97" s="1" t="s">
        <v>934</v>
      </c>
      <c r="M97" s="1" t="s">
        <v>935</v>
      </c>
      <c r="N97" s="1" t="s">
        <v>139</v>
      </c>
      <c r="O97" s="1" t="s">
        <v>458</v>
      </c>
      <c r="Q97" s="1" t="s">
        <v>936</v>
      </c>
      <c r="R97" s="1" t="s">
        <v>366</v>
      </c>
      <c r="S97" s="1" t="s">
        <v>273</v>
      </c>
      <c r="T97" s="1" t="s">
        <v>36</v>
      </c>
      <c r="U97" s="4" t="s">
        <v>941</v>
      </c>
      <c r="V97" s="4" t="str">
        <f>IFERROR(__xludf.DUMMYFUNCTION("SPLIT(F97, "" "")"),"Шухову")</f>
        <v>Шухову</v>
      </c>
      <c r="W97" s="1" t="str">
        <f>IFERROR(__xludf.DUMMYFUNCTION("""COMPUTED_VALUE"""),"горше")</f>
        <v>горше</v>
      </c>
      <c r="X97" s="1" t="str">
        <f>IFERROR(__xludf.DUMMYFUNCTION("""COMPUTED_VALUE"""),"смерти.")</f>
        <v>смерти.</v>
      </c>
    </row>
    <row r="98" ht="14.25" customHeight="1">
      <c r="A98" s="1" t="s">
        <v>942</v>
      </c>
      <c r="B98" s="1" t="s">
        <v>777</v>
      </c>
      <c r="C98" s="2" t="s">
        <v>943</v>
      </c>
      <c r="D98" s="7" t="s">
        <v>779</v>
      </c>
      <c r="E98" s="1" t="s">
        <v>25</v>
      </c>
      <c r="F98" s="4" t="s">
        <v>944</v>
      </c>
      <c r="G98" s="7" t="s">
        <v>779</v>
      </c>
      <c r="H98" s="7" t="s">
        <v>945</v>
      </c>
      <c r="I98" s="4" t="s">
        <v>946</v>
      </c>
      <c r="J98" s="1" t="s">
        <v>947</v>
      </c>
      <c r="K98" s="1" t="s">
        <v>714</v>
      </c>
      <c r="L98" s="1" t="s">
        <v>948</v>
      </c>
      <c r="M98" s="1" t="s">
        <v>935</v>
      </c>
      <c r="N98" s="1" t="s">
        <v>139</v>
      </c>
      <c r="O98" s="1" t="s">
        <v>367</v>
      </c>
      <c r="Q98" s="1" t="s">
        <v>949</v>
      </c>
      <c r="R98" s="1" t="s">
        <v>935</v>
      </c>
      <c r="S98" s="1" t="s">
        <v>70</v>
      </c>
      <c r="T98" s="1" t="s">
        <v>36</v>
      </c>
      <c r="U98" s="4" t="s">
        <v>950</v>
      </c>
      <c r="V98" s="4" t="str">
        <f>IFERROR(__xludf.DUMMYFUNCTION("SPLIT(F98, "" "")"),"занятию:")</f>
        <v>занятию:</v>
      </c>
      <c r="W98" s="1" t="str">
        <f>IFERROR(__xludf.DUMMYFUNCTION("""COMPUTED_VALUE"""),"лечь")</f>
        <v>лечь</v>
      </c>
      <c r="X98" s="1" t="str">
        <f>IFERROR(__xludf.DUMMYFUNCTION("""COMPUTED_VALUE"""),"спиной")</f>
        <v>спиной</v>
      </c>
      <c r="Y98" s="1" t="str">
        <f>IFERROR(__xludf.DUMMYFUNCTION("""COMPUTED_VALUE"""),"на")</f>
        <v>на</v>
      </c>
      <c r="Z98" s="1" t="str">
        <f>IFERROR(__xludf.DUMMYFUNCTION("""COMPUTED_VALUE"""),"подоконник,")</f>
        <v>подоконник,</v>
      </c>
      <c r="AA98" s="1" t="str">
        <f>IFERROR(__xludf.DUMMYFUNCTION("""COMPUTED_VALUE"""),"положить")</f>
        <v>положить</v>
      </c>
    </row>
    <row r="99" ht="14.25" customHeight="1">
      <c r="A99" s="1" t="s">
        <v>25</v>
      </c>
      <c r="B99" s="1" t="s">
        <v>951</v>
      </c>
      <c r="C99" s="2"/>
      <c r="D99" s="7" t="s">
        <v>952</v>
      </c>
      <c r="E99" s="1" t="s">
        <v>25</v>
      </c>
      <c r="F99" s="4" t="s">
        <v>953</v>
      </c>
      <c r="G99" s="7" t="s">
        <v>952</v>
      </c>
      <c r="H99" s="7" t="s">
        <v>954</v>
      </c>
      <c r="I99" s="4" t="s">
        <v>946</v>
      </c>
      <c r="J99" s="1" t="s">
        <v>947</v>
      </c>
      <c r="K99" s="1" t="s">
        <v>714</v>
      </c>
      <c r="L99" s="1" t="s">
        <v>948</v>
      </c>
      <c r="M99" s="1" t="s">
        <v>935</v>
      </c>
      <c r="N99" s="1" t="s">
        <v>139</v>
      </c>
      <c r="O99" s="1" t="s">
        <v>367</v>
      </c>
      <c r="Q99" s="1" t="s">
        <v>949</v>
      </c>
      <c r="R99" s="1" t="s">
        <v>935</v>
      </c>
      <c r="S99" s="1" t="s">
        <v>70</v>
      </c>
      <c r="T99" s="1" t="s">
        <v>36</v>
      </c>
      <c r="U99" s="4" t="s">
        <v>955</v>
      </c>
      <c r="V99" s="4" t="str">
        <f>IFERROR(__xludf.DUMMYFUNCTION("SPLIT(F99, "" "")"),"молодёжи"".")</f>
        <v>молодёжи".</v>
      </c>
    </row>
    <row r="100" ht="14.25" customHeight="1">
      <c r="A100" s="1" t="s">
        <v>956</v>
      </c>
      <c r="B100" s="1" t="s">
        <v>156</v>
      </c>
      <c r="C100" s="2" t="s">
        <v>957</v>
      </c>
      <c r="D100" s="7" t="s">
        <v>158</v>
      </c>
      <c r="E100" s="1" t="s">
        <v>25</v>
      </c>
      <c r="F100" s="4" t="s">
        <v>958</v>
      </c>
      <c r="G100" s="7" t="s">
        <v>158</v>
      </c>
      <c r="H100" s="7" t="s">
        <v>959</v>
      </c>
      <c r="I100" s="4" t="s">
        <v>960</v>
      </c>
      <c r="J100" s="1" t="s">
        <v>961</v>
      </c>
      <c r="K100" s="1" t="s">
        <v>618</v>
      </c>
      <c r="L100" s="1" t="s">
        <v>962</v>
      </c>
      <c r="M100" s="1" t="s">
        <v>963</v>
      </c>
      <c r="N100" s="1" t="s">
        <v>139</v>
      </c>
      <c r="O100" s="1" t="s">
        <v>964</v>
      </c>
      <c r="Q100" s="1" t="s">
        <v>965</v>
      </c>
      <c r="R100" s="1" t="s">
        <v>503</v>
      </c>
      <c r="S100" s="1" t="s">
        <v>273</v>
      </c>
      <c r="T100" s="1" t="s">
        <v>36</v>
      </c>
      <c r="U100" s="4" t="s">
        <v>966</v>
      </c>
      <c r="V100" s="4" t="str">
        <f>IFERROR(__xludf.DUMMYFUNCTION("SPLIT(F100, "" "")"),"малому.")</f>
        <v>малому.</v>
      </c>
    </row>
    <row r="101" ht="14.25" customHeight="1">
      <c r="A101" s="1" t="s">
        <v>967</v>
      </c>
      <c r="B101" s="1" t="s">
        <v>357</v>
      </c>
      <c r="C101" s="2" t="s">
        <v>968</v>
      </c>
      <c r="D101" s="7" t="s">
        <v>359</v>
      </c>
      <c r="E101" s="1" t="s">
        <v>25</v>
      </c>
      <c r="F101" s="4" t="s">
        <v>969</v>
      </c>
      <c r="G101" s="7" t="s">
        <v>359</v>
      </c>
      <c r="H101" s="7" t="s">
        <v>970</v>
      </c>
      <c r="I101" s="4" t="s">
        <v>960</v>
      </c>
      <c r="J101" s="1" t="s">
        <v>961</v>
      </c>
      <c r="K101" s="1" t="s">
        <v>618</v>
      </c>
      <c r="L101" s="1" t="s">
        <v>962</v>
      </c>
      <c r="M101" s="1" t="s">
        <v>963</v>
      </c>
      <c r="N101" s="1" t="s">
        <v>139</v>
      </c>
      <c r="O101" s="1" t="s">
        <v>964</v>
      </c>
      <c r="Q101" s="1" t="s">
        <v>965</v>
      </c>
      <c r="R101" s="1" t="s">
        <v>503</v>
      </c>
      <c r="S101" s="1" t="s">
        <v>273</v>
      </c>
      <c r="T101" s="1" t="s">
        <v>36</v>
      </c>
      <c r="U101" s="4" t="s">
        <v>971</v>
      </c>
      <c r="V101" s="4" t="str">
        <f>IFERROR(__xludf.DUMMYFUNCTION("SPLIT(F101, "" "")"),"прочности")</f>
        <v>прочности</v>
      </c>
      <c r="W101" s="1" t="str">
        <f>IFERROR(__xludf.DUMMYFUNCTION("""COMPUTED_VALUE"""),"своего")</f>
        <v>своего</v>
      </c>
      <c r="X101" s="1" t="str">
        <f>IFERROR(__xludf.DUMMYFUNCTION("""COMPUTED_VALUE"""),"чувства.")</f>
        <v>чувства.</v>
      </c>
    </row>
    <row r="102" ht="14.25" customHeight="1">
      <c r="A102" s="1" t="s">
        <v>972</v>
      </c>
      <c r="B102" s="1" t="s">
        <v>720</v>
      </c>
      <c r="C102" s="2" t="s">
        <v>973</v>
      </c>
      <c r="D102" s="7" t="s">
        <v>722</v>
      </c>
      <c r="E102" s="1" t="s">
        <v>25</v>
      </c>
      <c r="F102" s="4" t="s">
        <v>974</v>
      </c>
      <c r="G102" s="7" t="s">
        <v>722</v>
      </c>
      <c r="H102" s="7" t="s">
        <v>975</v>
      </c>
      <c r="I102" s="4" t="s">
        <v>960</v>
      </c>
      <c r="J102" s="1" t="s">
        <v>961</v>
      </c>
      <c r="K102" s="1" t="s">
        <v>618</v>
      </c>
      <c r="L102" s="1" t="s">
        <v>962</v>
      </c>
      <c r="M102" s="1" t="s">
        <v>963</v>
      </c>
      <c r="N102" s="1" t="s">
        <v>139</v>
      </c>
      <c r="O102" s="1" t="s">
        <v>964</v>
      </c>
      <c r="Q102" s="1" t="s">
        <v>965</v>
      </c>
      <c r="R102" s="1" t="s">
        <v>503</v>
      </c>
      <c r="S102" s="1" t="s">
        <v>273</v>
      </c>
      <c r="T102" s="1" t="s">
        <v>36</v>
      </c>
      <c r="U102" s="4" t="s">
        <v>976</v>
      </c>
      <c r="V102" s="4" t="str">
        <f>IFERROR(__xludf.DUMMYFUNCTION("SPLIT(F102, "" "")"),"телу")</f>
        <v>телу</v>
      </c>
      <c r="W102" s="1" t="str">
        <f>IFERROR(__xludf.DUMMYFUNCTION("""COMPUTED_VALUE"""),"разогнуться")</f>
        <v>разогнуться</v>
      </c>
      <c r="X102" s="1" t="str">
        <f>IFERROR(__xludf.DUMMYFUNCTION("""COMPUTED_VALUE"""),"хоть")</f>
        <v>хоть</v>
      </c>
      <c r="Y102" s="1" t="str">
        <f>IFERROR(__xludf.DUMMYFUNCTION("""COMPUTED_VALUE"""),"на")</f>
        <v>на</v>
      </c>
      <c r="Z102" s="1" t="str">
        <f>IFERROR(__xludf.DUMMYFUNCTION("""COMPUTED_VALUE"""),"секунду.")</f>
        <v>секунду.</v>
      </c>
    </row>
    <row r="103" ht="14.25" customHeight="1">
      <c r="A103" s="1" t="s">
        <v>977</v>
      </c>
      <c r="B103" s="1" t="s">
        <v>346</v>
      </c>
      <c r="C103" s="2" t="s">
        <v>978</v>
      </c>
      <c r="D103" s="7" t="s">
        <v>348</v>
      </c>
      <c r="E103" s="1" t="s">
        <v>25</v>
      </c>
      <c r="F103" s="4" t="s">
        <v>979</v>
      </c>
      <c r="G103" s="7" t="s">
        <v>348</v>
      </c>
      <c r="H103" s="7" t="s">
        <v>827</v>
      </c>
      <c r="I103" s="4" t="s">
        <v>980</v>
      </c>
      <c r="J103" s="1" t="s">
        <v>912</v>
      </c>
      <c r="K103" s="1" t="s">
        <v>913</v>
      </c>
      <c r="L103" s="1" t="s">
        <v>981</v>
      </c>
      <c r="M103" s="1" t="s">
        <v>982</v>
      </c>
      <c r="N103" s="1" t="s">
        <v>139</v>
      </c>
      <c r="O103" s="1" t="s">
        <v>367</v>
      </c>
      <c r="Q103" s="1" t="s">
        <v>983</v>
      </c>
      <c r="R103" s="1" t="s">
        <v>747</v>
      </c>
      <c r="S103" s="1" t="s">
        <v>273</v>
      </c>
      <c r="T103" s="1" t="s">
        <v>36</v>
      </c>
      <c r="U103" s="4" t="s">
        <v>984</v>
      </c>
      <c r="V103" s="4" t="str">
        <f>IFERROR(__xludf.DUMMYFUNCTION("SPLIT(F103, "" "")"),"встрече,")</f>
        <v>встрече,</v>
      </c>
      <c r="W103" s="1" t="str">
        <f>IFERROR(__xludf.DUMMYFUNCTION("""COMPUTED_VALUE"""),"нашли")</f>
        <v>нашли</v>
      </c>
      <c r="X103" s="1" t="str">
        <f>IFERROR(__xludf.DUMMYFUNCTION("""COMPUTED_VALUE"""),"близкую")</f>
        <v>близкую</v>
      </c>
      <c r="Y103" s="1" t="str">
        <f>IFERROR(__xludf.DUMMYFUNCTION("""COMPUTED_VALUE"""),"им")</f>
        <v>им</v>
      </c>
      <c r="Z103" s="1" t="str">
        <f>IFERROR(__xludf.DUMMYFUNCTION("""COMPUTED_VALUE"""),"обоим")</f>
        <v>обоим</v>
      </c>
      <c r="AA103" s="1" t="str">
        <f>IFERROR(__xludf.DUMMYFUNCTION("""COMPUTED_VALUE"""),"тему.")</f>
        <v>тему.</v>
      </c>
    </row>
    <row r="104" ht="14.25" customHeight="1">
      <c r="A104" s="1" t="s">
        <v>985</v>
      </c>
      <c r="B104" s="1" t="s">
        <v>131</v>
      </c>
      <c r="C104" s="2" t="s">
        <v>986</v>
      </c>
      <c r="D104" s="7" t="s">
        <v>133</v>
      </c>
      <c r="E104" s="1" t="s">
        <v>25</v>
      </c>
      <c r="F104" s="4" t="s">
        <v>987</v>
      </c>
      <c r="G104" s="7" t="s">
        <v>133</v>
      </c>
      <c r="H104" s="7" t="s">
        <v>988</v>
      </c>
      <c r="I104" s="4" t="s">
        <v>980</v>
      </c>
      <c r="J104" s="1" t="s">
        <v>912</v>
      </c>
      <c r="K104" s="1" t="s">
        <v>913</v>
      </c>
      <c r="L104" s="1" t="s">
        <v>981</v>
      </c>
      <c r="M104" s="1" t="s">
        <v>982</v>
      </c>
      <c r="N104" s="1" t="s">
        <v>139</v>
      </c>
      <c r="O104" s="1" t="s">
        <v>367</v>
      </c>
      <c r="Q104" s="1" t="s">
        <v>983</v>
      </c>
      <c r="R104" s="1" t="s">
        <v>747</v>
      </c>
      <c r="S104" s="1" t="s">
        <v>273</v>
      </c>
      <c r="T104" s="1" t="s">
        <v>36</v>
      </c>
      <c r="U104" s="4" t="s">
        <v>989</v>
      </c>
      <c r="V104" s="4" t="str">
        <f>IFERROR(__xludf.DUMMYFUNCTION("SPLIT(F104, "" "")"),"Крымову.")</f>
        <v>Крымову.</v>
      </c>
    </row>
    <row r="105" ht="14.25" customHeight="1">
      <c r="A105" s="1" t="s">
        <v>990</v>
      </c>
      <c r="B105" s="1" t="s">
        <v>326</v>
      </c>
      <c r="C105" s="2" t="s">
        <v>991</v>
      </c>
      <c r="D105" s="7" t="s">
        <v>328</v>
      </c>
      <c r="E105" s="1" t="s">
        <v>25</v>
      </c>
      <c r="F105" s="4" t="s">
        <v>992</v>
      </c>
      <c r="G105" s="7" t="s">
        <v>328</v>
      </c>
      <c r="H105" s="7" t="s">
        <v>993</v>
      </c>
      <c r="I105" s="4" t="s">
        <v>980</v>
      </c>
      <c r="J105" s="1" t="s">
        <v>912</v>
      </c>
      <c r="K105" s="1" t="s">
        <v>913</v>
      </c>
      <c r="L105" s="1" t="s">
        <v>981</v>
      </c>
      <c r="M105" s="1" t="s">
        <v>982</v>
      </c>
      <c r="N105" s="1" t="s">
        <v>139</v>
      </c>
      <c r="O105" s="1" t="s">
        <v>367</v>
      </c>
      <c r="Q105" s="1" t="s">
        <v>983</v>
      </c>
      <c r="R105" s="1" t="s">
        <v>747</v>
      </c>
      <c r="S105" s="1" t="s">
        <v>273</v>
      </c>
      <c r="T105" s="1" t="s">
        <v>36</v>
      </c>
      <c r="U105" s="4" t="s">
        <v>994</v>
      </c>
      <c r="V105" s="4" t="str">
        <f>IFERROR(__xludf.DUMMYFUNCTION("SPLIT(F105, "" "")"),"успеху,")</f>
        <v>успеху,</v>
      </c>
      <c r="W105" s="1" t="str">
        <f>IFERROR(__xludf.DUMMYFUNCTION("""COMPUTED_VALUE"""),"поздравлял")</f>
        <v>поздравлял</v>
      </c>
      <c r="X105" s="1" t="str">
        <f>IFERROR(__xludf.DUMMYFUNCTION("""COMPUTED_VALUE"""),"Соколова.")</f>
        <v>Соколова.</v>
      </c>
    </row>
    <row r="106" ht="14.25" customHeight="1">
      <c r="A106" s="1" t="s">
        <v>995</v>
      </c>
      <c r="B106" s="1" t="s">
        <v>996</v>
      </c>
      <c r="C106" s="2" t="s">
        <v>997</v>
      </c>
      <c r="D106" s="7" t="s">
        <v>998</v>
      </c>
      <c r="E106" s="1" t="s">
        <v>25</v>
      </c>
      <c r="F106" s="4" t="s">
        <v>999</v>
      </c>
      <c r="G106" s="7" t="s">
        <v>998</v>
      </c>
      <c r="H106" s="7" t="s">
        <v>1000</v>
      </c>
      <c r="I106" s="4" t="s">
        <v>1001</v>
      </c>
      <c r="J106" s="1" t="s">
        <v>912</v>
      </c>
      <c r="K106" s="1" t="s">
        <v>913</v>
      </c>
      <c r="L106" s="1" t="s">
        <v>1002</v>
      </c>
      <c r="M106" s="1" t="s">
        <v>982</v>
      </c>
      <c r="N106" s="1" t="s">
        <v>139</v>
      </c>
      <c r="O106" s="1" t="s">
        <v>367</v>
      </c>
      <c r="Q106" s="1" t="s">
        <v>983</v>
      </c>
      <c r="R106" s="1" t="s">
        <v>747</v>
      </c>
      <c r="S106" s="1" t="s">
        <v>273</v>
      </c>
      <c r="T106" s="1" t="s">
        <v>36</v>
      </c>
      <c r="U106" s="4" t="s">
        <v>1003</v>
      </c>
      <c r="V106" s="4" t="str">
        <f>IFERROR(__xludf.DUMMYFUNCTION("SPLIT(F106, "" "")"),"подаркам.")</f>
        <v>подаркам.</v>
      </c>
    </row>
    <row r="107" ht="14.25" customHeight="1">
      <c r="A107" s="1" t="s">
        <v>1004</v>
      </c>
      <c r="B107" s="1" t="s">
        <v>1005</v>
      </c>
      <c r="C107" s="2" t="s">
        <v>1006</v>
      </c>
      <c r="D107" s="7" t="s">
        <v>1007</v>
      </c>
      <c r="E107" s="1" t="s">
        <v>25</v>
      </c>
      <c r="F107" s="4" t="s">
        <v>1008</v>
      </c>
      <c r="G107" s="7" t="s">
        <v>1007</v>
      </c>
      <c r="H107" s="7" t="s">
        <v>1009</v>
      </c>
      <c r="I107" s="4" t="s">
        <v>1001</v>
      </c>
      <c r="J107" s="1" t="s">
        <v>912</v>
      </c>
      <c r="K107" s="1" t="s">
        <v>913</v>
      </c>
      <c r="L107" s="1" t="s">
        <v>1002</v>
      </c>
      <c r="M107" s="1" t="s">
        <v>982</v>
      </c>
      <c r="N107" s="1" t="s">
        <v>139</v>
      </c>
      <c r="O107" s="1" t="s">
        <v>367</v>
      </c>
      <c r="Q107" s="1" t="s">
        <v>983</v>
      </c>
      <c r="R107" s="1" t="s">
        <v>747</v>
      </c>
      <c r="S107" s="1" t="s">
        <v>273</v>
      </c>
      <c r="T107" s="1" t="s">
        <v>36</v>
      </c>
      <c r="U107" s="4" t="s">
        <v>1010</v>
      </c>
      <c r="V107" s="4" t="str">
        <f>IFERROR(__xludf.DUMMYFUNCTION("SPLIT(F107, "" "")"),"теплу")</f>
        <v>теплу</v>
      </c>
      <c r="W107" s="1" t="str">
        <f>IFERROR(__xludf.DUMMYFUNCTION("""COMPUTED_VALUE"""),"очага")</f>
        <v>очага</v>
      </c>
      <c r="X107" s="1" t="str">
        <f>IFERROR(__xludf.DUMMYFUNCTION("""COMPUTED_VALUE"""),"после")</f>
        <v>после</v>
      </c>
      <c r="Y107" s="1" t="str">
        <f>IFERROR(__xludf.DUMMYFUNCTION("""COMPUTED_VALUE"""),"трудового")</f>
        <v>трудового</v>
      </c>
      <c r="Z107" s="1" t="str">
        <f>IFERROR(__xludf.DUMMYFUNCTION("""COMPUTED_VALUE"""),"дня")</f>
        <v>дня</v>
      </c>
      <c r="AA107" s="1" t="str">
        <f>IFERROR(__xludf.DUMMYFUNCTION("""COMPUTED_VALUE"""),"работы")</f>
        <v>работы</v>
      </c>
    </row>
    <row r="108" ht="14.25" customHeight="1">
      <c r="A108" s="1" t="s">
        <v>1011</v>
      </c>
      <c r="B108" s="1" t="s">
        <v>289</v>
      </c>
      <c r="C108" s="2" t="s">
        <v>1012</v>
      </c>
      <c r="D108" s="7" t="s">
        <v>291</v>
      </c>
      <c r="E108" s="1" t="s">
        <v>25</v>
      </c>
      <c r="F108" s="4" t="s">
        <v>1013</v>
      </c>
      <c r="G108" s="7" t="s">
        <v>291</v>
      </c>
      <c r="H108" s="7" t="s">
        <v>1014</v>
      </c>
      <c r="I108" s="4" t="s">
        <v>1015</v>
      </c>
      <c r="J108" s="1" t="s">
        <v>912</v>
      </c>
      <c r="K108" s="1" t="s">
        <v>913</v>
      </c>
      <c r="L108" s="1" t="s">
        <v>1016</v>
      </c>
      <c r="M108" s="1" t="s">
        <v>982</v>
      </c>
      <c r="N108" s="1" t="s">
        <v>139</v>
      </c>
      <c r="O108" s="1" t="s">
        <v>367</v>
      </c>
      <c r="Q108" s="1" t="s">
        <v>983</v>
      </c>
      <c r="R108" s="1" t="s">
        <v>747</v>
      </c>
      <c r="S108" s="1" t="s">
        <v>273</v>
      </c>
      <c r="T108" s="1" t="s">
        <v>36</v>
      </c>
      <c r="U108" s="4" t="s">
        <v>1017</v>
      </c>
      <c r="V108" s="4" t="str">
        <f>IFERROR(__xludf.DUMMYFUNCTION("SPLIT(F108, "" "")"),"избавлению")</f>
        <v>избавлению</v>
      </c>
      <c r="W108" s="1" t="str">
        <f>IFERROR(__xludf.DUMMYFUNCTION("""COMPUTED_VALUE"""),"от")</f>
        <v>от</v>
      </c>
      <c r="X108" s="1" t="str">
        <f>IFERROR(__xludf.DUMMYFUNCTION("""COMPUTED_VALUE"""),"жизни")</f>
        <v>жизни</v>
      </c>
      <c r="Y108" s="1" t="str">
        <f>IFERROR(__xludf.DUMMYFUNCTION("""COMPUTED_VALUE"""),"в")</f>
        <v>в</v>
      </c>
      <c r="Z108" s="1" t="str">
        <f>IFERROR(__xludf.DUMMYFUNCTION("""COMPUTED_VALUE"""),"эвакуации.")</f>
        <v>эвакуации.</v>
      </c>
    </row>
    <row r="109" ht="14.25" customHeight="1">
      <c r="A109" s="1" t="s">
        <v>1018</v>
      </c>
      <c r="B109" s="1" t="s">
        <v>326</v>
      </c>
      <c r="C109" s="2" t="s">
        <v>1019</v>
      </c>
      <c r="D109" s="7" t="s">
        <v>328</v>
      </c>
      <c r="E109" s="1" t="s">
        <v>25</v>
      </c>
      <c r="F109" s="4" t="s">
        <v>1020</v>
      </c>
      <c r="G109" s="7" t="s">
        <v>328</v>
      </c>
      <c r="H109" s="7" t="s">
        <v>1021</v>
      </c>
      <c r="I109" s="4" t="s">
        <v>1015</v>
      </c>
      <c r="J109" s="1" t="s">
        <v>912</v>
      </c>
      <c r="K109" s="1" t="s">
        <v>913</v>
      </c>
      <c r="L109" s="1" t="s">
        <v>1016</v>
      </c>
      <c r="M109" s="1" t="s">
        <v>982</v>
      </c>
      <c r="N109" s="1" t="s">
        <v>139</v>
      </c>
      <c r="O109" s="1" t="s">
        <v>367</v>
      </c>
      <c r="Q109" s="1" t="s">
        <v>983</v>
      </c>
      <c r="R109" s="1" t="s">
        <v>747</v>
      </c>
      <c r="S109" s="1" t="s">
        <v>273</v>
      </c>
      <c r="T109" s="1" t="s">
        <v>36</v>
      </c>
      <c r="U109" s="4" t="s">
        <v>1022</v>
      </c>
      <c r="V109" s="4" t="str">
        <f>IFERROR(__xludf.DUMMYFUNCTION("SPLIT(F109, "" "")"),"торжеству")</f>
        <v>торжеству</v>
      </c>
      <c r="W109" s="1" t="str">
        <f>IFERROR(__xludf.DUMMYFUNCTION("""COMPUTED_VALUE"""),"своей")</f>
        <v>своей</v>
      </c>
      <c r="X109" s="1" t="str">
        <f>IFERROR(__xludf.DUMMYFUNCTION("""COMPUTED_VALUE"""),"работы,")</f>
        <v>работы,</v>
      </c>
      <c r="Y109" s="1" t="str">
        <f>IFERROR(__xludf.DUMMYFUNCTION("""COMPUTED_VALUE"""),"которую,")</f>
        <v>которую,</v>
      </c>
      <c r="Z109" s="1" t="str">
        <f>IFERROR(__xludf.DUMMYFUNCTION("""COMPUTED_VALUE"""),"казалось,")</f>
        <v>казалось,</v>
      </c>
      <c r="AA109" s="1" t="str">
        <f>IFERROR(__xludf.DUMMYFUNCTION("""COMPUTED_VALUE"""),"загнали")</f>
        <v>загнали</v>
      </c>
    </row>
    <row r="110" ht="14.25" customHeight="1">
      <c r="A110" s="1" t="s">
        <v>1023</v>
      </c>
      <c r="B110" s="1" t="s">
        <v>326</v>
      </c>
      <c r="C110" s="2" t="s">
        <v>991</v>
      </c>
      <c r="D110" s="7" t="s">
        <v>328</v>
      </c>
      <c r="E110" s="1" t="s">
        <v>25</v>
      </c>
      <c r="F110" s="4" t="s">
        <v>1024</v>
      </c>
      <c r="G110" s="7" t="s">
        <v>328</v>
      </c>
      <c r="H110" s="7" t="s">
        <v>1025</v>
      </c>
      <c r="I110" s="4" t="s">
        <v>1015</v>
      </c>
      <c r="J110" s="1" t="s">
        <v>912</v>
      </c>
      <c r="K110" s="1" t="s">
        <v>913</v>
      </c>
      <c r="L110" s="1" t="s">
        <v>1016</v>
      </c>
      <c r="M110" s="1" t="s">
        <v>982</v>
      </c>
      <c r="N110" s="1" t="s">
        <v>139</v>
      </c>
      <c r="O110" s="1" t="s">
        <v>367</v>
      </c>
      <c r="Q110" s="1" t="s">
        <v>983</v>
      </c>
      <c r="R110" s="1" t="s">
        <v>747</v>
      </c>
      <c r="S110" s="1" t="s">
        <v>273</v>
      </c>
      <c r="T110" s="1" t="s">
        <v>36</v>
      </c>
      <c r="U110" s="4" t="s">
        <v>1026</v>
      </c>
      <c r="V110" s="4" t="str">
        <f>IFERROR(__xludf.DUMMYFUNCTION("SPLIT(F110, "" "")"),"победе,")</f>
        <v>победе,</v>
      </c>
      <c r="W110" s="1" t="str">
        <f>IFERROR(__xludf.DUMMYFUNCTION("""COMPUTED_VALUE"""),"―")</f>
        <v>―</v>
      </c>
      <c r="X110" s="1" t="str">
        <f>IFERROR(__xludf.DUMMYFUNCTION("""COMPUTED_VALUE"""),"его")</f>
        <v>его</v>
      </c>
      <c r="Y110" s="1" t="str">
        <f>IFERROR(__xludf.DUMMYFUNCTION("""COMPUTED_VALUE"""),"душевная")</f>
        <v>душевная</v>
      </c>
      <c r="Z110" s="1" t="str">
        <f>IFERROR(__xludf.DUMMYFUNCTION("""COMPUTED_VALUE"""),"сила,")</f>
        <v>сила,</v>
      </c>
      <c r="AA110" s="1" t="str">
        <f>IFERROR(__xludf.DUMMYFUNCTION("""COMPUTED_VALUE"""),"его")</f>
        <v>его</v>
      </c>
      <c r="AB110" s="1" t="str">
        <f>IFERROR(__xludf.DUMMYFUNCTION("""COMPUTED_VALUE"""),"башка")</f>
        <v>башка</v>
      </c>
    </row>
    <row r="111" ht="14.25" customHeight="1">
      <c r="A111" s="1" t="s">
        <v>908</v>
      </c>
      <c r="B111" s="1" t="s">
        <v>326</v>
      </c>
      <c r="C111" s="2" t="s">
        <v>431</v>
      </c>
      <c r="D111" s="7" t="s">
        <v>328</v>
      </c>
      <c r="E111" s="1" t="s">
        <v>25</v>
      </c>
      <c r="F111" s="4" t="s">
        <v>1027</v>
      </c>
      <c r="G111" s="7" t="s">
        <v>328</v>
      </c>
      <c r="H111" s="7" t="s">
        <v>523</v>
      </c>
      <c r="I111" s="4" t="s">
        <v>1015</v>
      </c>
      <c r="J111" s="1" t="s">
        <v>912</v>
      </c>
      <c r="K111" s="1" t="s">
        <v>913</v>
      </c>
      <c r="L111" s="1" t="s">
        <v>1016</v>
      </c>
      <c r="M111" s="1" t="s">
        <v>982</v>
      </c>
      <c r="N111" s="1" t="s">
        <v>139</v>
      </c>
      <c r="O111" s="1" t="s">
        <v>367</v>
      </c>
      <c r="Q111" s="1" t="s">
        <v>983</v>
      </c>
      <c r="R111" s="1" t="s">
        <v>747</v>
      </c>
      <c r="S111" s="1" t="s">
        <v>273</v>
      </c>
      <c r="T111" s="1" t="s">
        <v>36</v>
      </c>
      <c r="U111" s="4" t="s">
        <v>1028</v>
      </c>
      <c r="V111" s="4" t="str">
        <f>IFERROR(__xludf.DUMMYFUNCTION("SPLIT(F111, "" "")"),"успехам")</f>
        <v>успехам</v>
      </c>
      <c r="W111" s="1" t="str">
        <f>IFERROR(__xludf.DUMMYFUNCTION("""COMPUTED_VALUE"""),"Соколова.")</f>
        <v>Соколова.</v>
      </c>
    </row>
    <row r="112" ht="14.25" customHeight="1">
      <c r="A112" s="1" t="s">
        <v>1029</v>
      </c>
      <c r="B112" s="1" t="s">
        <v>105</v>
      </c>
      <c r="C112" s="2" t="s">
        <v>1030</v>
      </c>
      <c r="D112" s="7" t="s">
        <v>107</v>
      </c>
      <c r="E112" s="1" t="s">
        <v>25</v>
      </c>
      <c r="F112" s="4" t="s">
        <v>1031</v>
      </c>
      <c r="G112" s="7" t="s">
        <v>107</v>
      </c>
      <c r="H112" s="7" t="s">
        <v>740</v>
      </c>
      <c r="I112" s="4" t="s">
        <v>1015</v>
      </c>
      <c r="J112" s="1" t="s">
        <v>912</v>
      </c>
      <c r="K112" s="1" t="s">
        <v>913</v>
      </c>
      <c r="L112" s="1" t="s">
        <v>1016</v>
      </c>
      <c r="M112" s="1" t="s">
        <v>982</v>
      </c>
      <c r="N112" s="1" t="s">
        <v>139</v>
      </c>
      <c r="O112" s="1" t="s">
        <v>367</v>
      </c>
      <c r="Q112" s="1" t="s">
        <v>983</v>
      </c>
      <c r="R112" s="1" t="s">
        <v>747</v>
      </c>
      <c r="S112" s="1" t="s">
        <v>273</v>
      </c>
      <c r="T112" s="1" t="s">
        <v>36</v>
      </c>
      <c r="U112" s="4" t="s">
        <v>1032</v>
      </c>
      <c r="V112" s="4" t="str">
        <f>IFERROR(__xludf.DUMMYFUNCTION("SPLIT(F112, "" "")"),"убийцам")</f>
        <v>убийцам</v>
      </c>
      <c r="W112" s="1" t="str">
        <f>IFERROR(__xludf.DUMMYFUNCTION("""COMPUTED_VALUE"""),"Горького!")</f>
        <v>Горького!</v>
      </c>
    </row>
    <row r="113" ht="14.25" customHeight="1">
      <c r="A113" s="1" t="s">
        <v>1033</v>
      </c>
      <c r="B113" s="1" t="s">
        <v>414</v>
      </c>
      <c r="C113" s="2" t="s">
        <v>1034</v>
      </c>
      <c r="D113" s="7" t="s">
        <v>416</v>
      </c>
      <c r="E113" s="1" t="s">
        <v>25</v>
      </c>
      <c r="F113" s="4" t="s">
        <v>1035</v>
      </c>
      <c r="G113" s="7" t="s">
        <v>416</v>
      </c>
      <c r="H113" s="7" t="s">
        <v>1036</v>
      </c>
      <c r="I113" s="4" t="s">
        <v>1037</v>
      </c>
      <c r="J113" s="1" t="s">
        <v>742</v>
      </c>
      <c r="K113" s="1" t="s">
        <v>743</v>
      </c>
      <c r="L113" s="1" t="s">
        <v>1038</v>
      </c>
      <c r="M113" s="1" t="s">
        <v>1039</v>
      </c>
      <c r="N113" s="1" t="s">
        <v>139</v>
      </c>
      <c r="O113" s="1" t="s">
        <v>367</v>
      </c>
      <c r="Q113" s="1" t="s">
        <v>1040</v>
      </c>
      <c r="R113" s="1" t="s">
        <v>747</v>
      </c>
      <c r="S113" s="1" t="s">
        <v>273</v>
      </c>
      <c r="T113" s="1" t="s">
        <v>36</v>
      </c>
      <c r="U113" s="4" t="s">
        <v>1041</v>
      </c>
      <c r="V113" s="4" t="str">
        <f>IFERROR(__xludf.DUMMYFUNCTION("SPLIT(F113, "" "")"),"предлогу")</f>
        <v>предлогу</v>
      </c>
      <c r="W113" s="1" t="str">
        <f>IFERROR(__xludf.DUMMYFUNCTION("""COMPUTED_VALUE"""),"начать")</f>
        <v>начать</v>
      </c>
      <c r="X113" s="1" t="str">
        <f>IFERROR(__xludf.DUMMYFUNCTION("""COMPUTED_VALUE"""),"разговор")</f>
        <v>разговор</v>
      </c>
      <c r="Y113" s="1" t="str">
        <f>IFERROR(__xludf.DUMMYFUNCTION("""COMPUTED_VALUE"""),"с")</f>
        <v>с</v>
      </c>
      <c r="Z113" s="1" t="str">
        <f>IFERROR(__xludf.DUMMYFUNCTION("""COMPUTED_VALUE"""),"Куртом.")</f>
        <v>Куртом.</v>
      </c>
    </row>
    <row r="114" ht="14.25" customHeight="1">
      <c r="A114" s="1" t="s">
        <v>1042</v>
      </c>
      <c r="B114" s="1" t="s">
        <v>720</v>
      </c>
      <c r="C114" s="2" t="s">
        <v>1043</v>
      </c>
      <c r="D114" s="7" t="s">
        <v>722</v>
      </c>
      <c r="E114" s="1" t="s">
        <v>25</v>
      </c>
      <c r="F114" s="4" t="s">
        <v>1044</v>
      </c>
      <c r="G114" s="7" t="s">
        <v>722</v>
      </c>
      <c r="H114" s="7" t="s">
        <v>1045</v>
      </c>
      <c r="I114" s="4" t="s">
        <v>1037</v>
      </c>
      <c r="J114" s="1" t="s">
        <v>742</v>
      </c>
      <c r="K114" s="1" t="s">
        <v>743</v>
      </c>
      <c r="L114" s="1" t="s">
        <v>1038</v>
      </c>
      <c r="M114" s="1" t="s">
        <v>1039</v>
      </c>
      <c r="N114" s="1" t="s">
        <v>139</v>
      </c>
      <c r="O114" s="1" t="s">
        <v>367</v>
      </c>
      <c r="Q114" s="1" t="s">
        <v>1040</v>
      </c>
      <c r="R114" s="1" t="s">
        <v>747</v>
      </c>
      <c r="S114" s="1" t="s">
        <v>273</v>
      </c>
      <c r="T114" s="1" t="s">
        <v>36</v>
      </c>
      <c r="U114" s="4" t="s">
        <v>1046</v>
      </c>
      <c r="V114" s="4" t="str">
        <f>IFERROR(__xludf.DUMMYFUNCTION("SPLIT(F114, "" "")"),"Ланэ")</f>
        <v>Ланэ</v>
      </c>
      <c r="W114" s="1" t="str">
        <f>IFERROR(__xludf.DUMMYFUNCTION("""COMPUTED_VALUE"""),"в")</f>
        <v>в</v>
      </c>
      <c r="X114" s="1" t="str">
        <f>IFERROR(__xludf.DUMMYFUNCTION("""COMPUTED_VALUE"""),"ту")</f>
        <v>ту</v>
      </c>
      <c r="Y114" s="1" t="str">
        <f>IFERROR(__xludf.DUMMYFUNCTION("""COMPUTED_VALUE"""),"пору")</f>
        <v>пору</v>
      </c>
      <c r="Z114" s="1" t="str">
        <f>IFERROR(__xludf.DUMMYFUNCTION("""COMPUTED_VALUE"""),"показать")</f>
        <v>показать</v>
      </c>
      <c r="AA114" s="1" t="str">
        <f>IFERROR(__xludf.DUMMYFUNCTION("""COMPUTED_VALUE"""),"профессору")</f>
        <v>профессору</v>
      </c>
    </row>
    <row r="115" ht="14.25" customHeight="1">
      <c r="A115" s="1" t="s">
        <v>1047</v>
      </c>
      <c r="B115" s="1" t="s">
        <v>414</v>
      </c>
      <c r="C115" s="2" t="s">
        <v>1048</v>
      </c>
      <c r="D115" s="7" t="s">
        <v>416</v>
      </c>
      <c r="E115" s="1" t="s">
        <v>25</v>
      </c>
      <c r="F115" s="4" t="s">
        <v>1049</v>
      </c>
      <c r="G115" s="7" t="s">
        <v>416</v>
      </c>
      <c r="H115" s="7" t="s">
        <v>1036</v>
      </c>
      <c r="I115" s="4" t="s">
        <v>1037</v>
      </c>
      <c r="J115" s="1" t="s">
        <v>742</v>
      </c>
      <c r="K115" s="1" t="s">
        <v>743</v>
      </c>
      <c r="L115" s="1" t="s">
        <v>1038</v>
      </c>
      <c r="M115" s="1" t="s">
        <v>1039</v>
      </c>
      <c r="N115" s="1" t="s">
        <v>139</v>
      </c>
      <c r="O115" s="1" t="s">
        <v>367</v>
      </c>
      <c r="Q115" s="1" t="s">
        <v>1040</v>
      </c>
      <c r="R115" s="1" t="s">
        <v>747</v>
      </c>
      <c r="S115" s="1" t="s">
        <v>273</v>
      </c>
      <c r="T115" s="1" t="s">
        <v>36</v>
      </c>
      <c r="U115" s="4" t="s">
        <v>1050</v>
      </c>
      <c r="V115" s="4" t="str">
        <f>IFERROR(__xludf.DUMMYFUNCTION("SPLIT(F115, "" "")"),"предлогу")</f>
        <v>предлогу</v>
      </c>
      <c r="W115" s="1" t="str">
        <f>IFERROR(__xludf.DUMMYFUNCTION("""COMPUTED_VALUE"""),"закончить")</f>
        <v>закончить</v>
      </c>
      <c r="X115" s="1" t="str">
        <f>IFERROR(__xludf.DUMMYFUNCTION("""COMPUTED_VALUE"""),"допрос")</f>
        <v>допрос</v>
      </c>
      <c r="Y115" s="1" t="str">
        <f>IFERROR(__xludf.DUMMYFUNCTION("""COMPUTED_VALUE"""),"и")</f>
        <v>и</v>
      </c>
      <c r="Z115" s="1" t="str">
        <f>IFERROR(__xludf.DUMMYFUNCTION("""COMPUTED_VALUE"""),"отдать")</f>
        <v>отдать</v>
      </c>
      <c r="AA115" s="1" t="str">
        <f>IFERROR(__xludf.DUMMYFUNCTION("""COMPUTED_VALUE"""),"гестапо")</f>
        <v>гестапо</v>
      </c>
    </row>
    <row r="116" ht="14.25" customHeight="1">
      <c r="A116" s="1" t="s">
        <v>1051</v>
      </c>
      <c r="B116" s="1" t="s">
        <v>777</v>
      </c>
      <c r="C116" s="2" t="s">
        <v>1052</v>
      </c>
      <c r="D116" s="7" t="s">
        <v>779</v>
      </c>
      <c r="E116" s="1" t="s">
        <v>25</v>
      </c>
      <c r="F116" s="4" t="s">
        <v>1053</v>
      </c>
      <c r="G116" s="7" t="s">
        <v>779</v>
      </c>
      <c r="H116" s="7" t="s">
        <v>1054</v>
      </c>
      <c r="I116" s="4" t="s">
        <v>1055</v>
      </c>
      <c r="J116" s="1" t="s">
        <v>1056</v>
      </c>
      <c r="K116" s="1" t="s">
        <v>1057</v>
      </c>
      <c r="L116" s="1" t="s">
        <v>1058</v>
      </c>
      <c r="M116" s="1" t="s">
        <v>526</v>
      </c>
      <c r="N116" s="1" t="s">
        <v>139</v>
      </c>
      <c r="O116" s="1" t="s">
        <v>285</v>
      </c>
      <c r="Q116" s="1" t="s">
        <v>1059</v>
      </c>
      <c r="R116" s="1" t="s">
        <v>364</v>
      </c>
      <c r="S116" s="1" t="s">
        <v>273</v>
      </c>
      <c r="T116" s="1" t="s">
        <v>36</v>
      </c>
      <c r="U116" s="4" t="s">
        <v>1060</v>
      </c>
      <c r="V116" s="4" t="str">
        <f>IFERROR(__xludf.DUMMYFUNCTION("SPLIT(F116, "" "")"),"предмету.")</f>
        <v>предмету.</v>
      </c>
    </row>
    <row r="117" ht="14.25" customHeight="1">
      <c r="A117" s="1" t="s">
        <v>1061</v>
      </c>
      <c r="B117" s="1" t="s">
        <v>414</v>
      </c>
      <c r="C117" s="2" t="s">
        <v>1062</v>
      </c>
      <c r="D117" s="7" t="s">
        <v>416</v>
      </c>
      <c r="E117" s="1" t="s">
        <v>25</v>
      </c>
      <c r="F117" s="4" t="s">
        <v>1063</v>
      </c>
      <c r="G117" s="7" t="s">
        <v>416</v>
      </c>
      <c r="H117" s="7" t="s">
        <v>1064</v>
      </c>
      <c r="I117" s="4" t="s">
        <v>1065</v>
      </c>
      <c r="J117" s="1" t="s">
        <v>1066</v>
      </c>
      <c r="K117" s="1" t="s">
        <v>618</v>
      </c>
      <c r="L117" s="1" t="s">
        <v>1067</v>
      </c>
      <c r="M117" s="1" t="s">
        <v>1068</v>
      </c>
      <c r="N117" s="1" t="s">
        <v>139</v>
      </c>
      <c r="O117" s="1" t="s">
        <v>458</v>
      </c>
      <c r="Q117" s="1" t="s">
        <v>1069</v>
      </c>
      <c r="R117" s="1" t="s">
        <v>364</v>
      </c>
      <c r="S117" s="1" t="s">
        <v>273</v>
      </c>
      <c r="T117" s="1" t="s">
        <v>36</v>
      </c>
      <c r="U117" s="4" t="s">
        <v>1070</v>
      </c>
      <c r="V117" s="4" t="str">
        <f>IFERROR(__xludf.DUMMYFUNCTION("SPLIT(F117, "" "")"),"недоумению")</f>
        <v>недоумению</v>
      </c>
      <c r="W117" s="1" t="str">
        <f>IFERROR(__xludf.DUMMYFUNCTION("""COMPUTED_VALUE"""),"доктора,")</f>
        <v>доктора,</v>
      </c>
      <c r="X117" s="1" t="str">
        <f>IFERROR(__xludf.DUMMYFUNCTION("""COMPUTED_VALUE"""),"и")</f>
        <v>и</v>
      </c>
      <c r="Y117" s="1" t="str">
        <f>IFERROR(__xludf.DUMMYFUNCTION("""COMPUTED_VALUE"""),"сбежал")</f>
        <v>сбежал</v>
      </c>
      <c r="Z117" s="1" t="str">
        <f>IFERROR(__xludf.DUMMYFUNCTION("""COMPUTED_VALUE"""),"с")</f>
        <v>с</v>
      </c>
      <c r="AA117" s="1" t="str">
        <f>IFERROR(__xludf.DUMMYFUNCTION("""COMPUTED_VALUE"""),"лестницы.")</f>
        <v>лестницы.</v>
      </c>
    </row>
    <row r="118" ht="14.25" customHeight="1">
      <c r="A118" s="1" t="s">
        <v>1071</v>
      </c>
      <c r="B118" s="1" t="s">
        <v>1072</v>
      </c>
      <c r="C118" s="2" t="s">
        <v>1073</v>
      </c>
      <c r="D118" s="7" t="s">
        <v>1074</v>
      </c>
      <c r="E118" s="1" t="s">
        <v>25</v>
      </c>
      <c r="F118" s="4" t="s">
        <v>1075</v>
      </c>
      <c r="G118" s="7" t="s">
        <v>1074</v>
      </c>
      <c r="H118" s="7" t="s">
        <v>1076</v>
      </c>
      <c r="I118" s="4" t="s">
        <v>1077</v>
      </c>
      <c r="J118" s="1" t="s">
        <v>1078</v>
      </c>
      <c r="K118" s="1" t="s">
        <v>1079</v>
      </c>
      <c r="L118" s="1" t="s">
        <v>1080</v>
      </c>
      <c r="M118" s="1" t="s">
        <v>1081</v>
      </c>
      <c r="N118" s="1" t="s">
        <v>139</v>
      </c>
      <c r="O118" s="1" t="s">
        <v>367</v>
      </c>
      <c r="Q118" s="1" t="s">
        <v>1082</v>
      </c>
      <c r="R118" s="1" t="s">
        <v>890</v>
      </c>
      <c r="S118" s="1" t="s">
        <v>273</v>
      </c>
      <c r="T118" s="1" t="s">
        <v>36</v>
      </c>
      <c r="U118" s="4" t="s">
        <v>1083</v>
      </c>
      <c r="V118" s="4" t="str">
        <f>IFERROR(__xludf.DUMMYFUNCTION("SPLIT(F118, "" "")"),"товарищу")</f>
        <v>товарищу</v>
      </c>
      <c r="W118" s="1" t="str">
        <f>IFERROR(__xludf.DUMMYFUNCTION("""COMPUTED_VALUE"""),"пару")</f>
        <v>пару</v>
      </c>
      <c r="X118" s="1" t="str">
        <f>IFERROR(__xludf.DUMMYFUNCTION("""COMPUTED_VALUE"""),"слов")</f>
        <v>слов</v>
      </c>
      <c r="Y118" s="1" t="str">
        <f>IFERROR(__xludf.DUMMYFUNCTION("""COMPUTED_VALUE"""),"сказать.")</f>
        <v>сказать.</v>
      </c>
    </row>
    <row r="119" ht="14.25" customHeight="1">
      <c r="A119" s="1" t="s">
        <v>1084</v>
      </c>
      <c r="B119" s="1" t="s">
        <v>1085</v>
      </c>
      <c r="C119" s="2" t="s">
        <v>1086</v>
      </c>
      <c r="D119" s="7" t="s">
        <v>1087</v>
      </c>
      <c r="E119" s="1" t="s">
        <v>25</v>
      </c>
      <c r="F119" s="4" t="s">
        <v>1088</v>
      </c>
      <c r="G119" s="7" t="s">
        <v>1087</v>
      </c>
      <c r="H119" s="7" t="s">
        <v>1089</v>
      </c>
      <c r="I119" s="4" t="s">
        <v>1077</v>
      </c>
      <c r="J119" s="1" t="s">
        <v>1078</v>
      </c>
      <c r="K119" s="1" t="s">
        <v>1079</v>
      </c>
      <c r="L119" s="1" t="s">
        <v>1080</v>
      </c>
      <c r="M119" s="1" t="s">
        <v>1081</v>
      </c>
      <c r="N119" s="1" t="s">
        <v>139</v>
      </c>
      <c r="O119" s="1" t="s">
        <v>367</v>
      </c>
      <c r="Q119" s="1" t="s">
        <v>1082</v>
      </c>
      <c r="R119" s="1" t="s">
        <v>890</v>
      </c>
      <c r="S119" s="1" t="s">
        <v>273</v>
      </c>
      <c r="T119" s="1" t="s">
        <v>36</v>
      </c>
      <c r="U119" s="4" t="s">
        <v>1090</v>
      </c>
      <c r="V119" s="4" t="str">
        <f>IFERROR(__xludf.DUMMYFUNCTION("SPLIT(F119, "" "")"),"осведомлённости")</f>
        <v>осведомлённости</v>
      </c>
      <c r="W119" s="1" t="str">
        <f>IFERROR(__xludf.DUMMYFUNCTION("""COMPUTED_VALUE"""),"прокуратора,")</f>
        <v>прокуратора,</v>
      </c>
      <c r="X119" s="1" t="str">
        <f>IFERROR(__xludf.DUMMYFUNCTION("""COMPUTED_VALUE"""),"продолжал")</f>
        <v>продолжал</v>
      </c>
      <c r="Y119" s="1" t="str">
        <f>IFERROR(__xludf.DUMMYFUNCTION("""COMPUTED_VALUE"""),"Иешуа,")</f>
        <v>Иешуа,</v>
      </c>
      <c r="Z119" s="1" t="str">
        <f>IFERROR(__xludf.DUMMYFUNCTION("""COMPUTED_VALUE"""),"―")</f>
        <v>―</v>
      </c>
      <c r="AA119" s="1" t="str">
        <f>IFERROR(__xludf.DUMMYFUNCTION("""COMPUTED_VALUE"""),"попросил")</f>
        <v>попросил</v>
      </c>
      <c r="AB119" s="1" t="str">
        <f>IFERROR(__xludf.DUMMYFUNCTION("""COMPUTED_VALUE"""),"меня")</f>
        <v>меня</v>
      </c>
    </row>
    <row r="120" ht="14.25" customHeight="1">
      <c r="A120" s="1" t="s">
        <v>1091</v>
      </c>
      <c r="B120" s="1" t="s">
        <v>1092</v>
      </c>
      <c r="C120" s="2" t="s">
        <v>1093</v>
      </c>
      <c r="D120" s="7" t="s">
        <v>1094</v>
      </c>
      <c r="E120" s="1" t="s">
        <v>25</v>
      </c>
      <c r="F120" s="4" t="s">
        <v>1095</v>
      </c>
      <c r="G120" s="7" t="s">
        <v>1094</v>
      </c>
      <c r="H120" s="7" t="s">
        <v>1096</v>
      </c>
      <c r="I120" s="4" t="s">
        <v>1077</v>
      </c>
      <c r="J120" s="1" t="s">
        <v>1078</v>
      </c>
      <c r="K120" s="1" t="s">
        <v>1079</v>
      </c>
      <c r="L120" s="1" t="s">
        <v>1080</v>
      </c>
      <c r="M120" s="1" t="s">
        <v>1081</v>
      </c>
      <c r="N120" s="1" t="s">
        <v>139</v>
      </c>
      <c r="O120" s="1" t="s">
        <v>367</v>
      </c>
      <c r="Q120" s="1" t="s">
        <v>1082</v>
      </c>
      <c r="R120" s="1" t="s">
        <v>890</v>
      </c>
      <c r="S120" s="1" t="s">
        <v>273</v>
      </c>
      <c r="T120" s="1" t="s">
        <v>36</v>
      </c>
      <c r="U120" s="4" t="s">
        <v>1097</v>
      </c>
      <c r="V120" s="4" t="str">
        <f>IFERROR(__xludf.DUMMYFUNCTION("SPLIT(F120, "" "")"),"контрамарке.")</f>
        <v>контрамарке.</v>
      </c>
    </row>
    <row r="121" ht="14.25" customHeight="1">
      <c r="A121" s="1" t="s">
        <v>1098</v>
      </c>
      <c r="B121" s="1" t="s">
        <v>118</v>
      </c>
      <c r="C121" s="2" t="s">
        <v>1099</v>
      </c>
      <c r="D121" s="7" t="s">
        <v>120</v>
      </c>
      <c r="E121" s="1" t="s">
        <v>25</v>
      </c>
      <c r="F121" s="4" t="s">
        <v>1100</v>
      </c>
      <c r="G121" s="7" t="s">
        <v>120</v>
      </c>
      <c r="H121" s="7" t="s">
        <v>1101</v>
      </c>
      <c r="I121" s="4" t="s">
        <v>1077</v>
      </c>
      <c r="J121" s="1" t="s">
        <v>1078</v>
      </c>
      <c r="K121" s="1" t="s">
        <v>1079</v>
      </c>
      <c r="L121" s="1" t="s">
        <v>1080</v>
      </c>
      <c r="M121" s="1" t="s">
        <v>1081</v>
      </c>
      <c r="N121" s="1" t="s">
        <v>139</v>
      </c>
      <c r="O121" s="1" t="s">
        <v>367</v>
      </c>
      <c r="Q121" s="1" t="s">
        <v>1082</v>
      </c>
      <c r="R121" s="1" t="s">
        <v>890</v>
      </c>
      <c r="S121" s="1" t="s">
        <v>273</v>
      </c>
      <c r="T121" s="1" t="s">
        <v>36</v>
      </c>
      <c r="U121" s="4" t="s">
        <v>1102</v>
      </c>
      <c r="V121" s="4" t="str">
        <f>IFERROR(__xludf.DUMMYFUNCTION("SPLIT(F121, "" "")"),"перемене,")</f>
        <v>перемене,</v>
      </c>
      <c r="W121" s="1" t="str">
        <f>IFERROR(__xludf.DUMMYFUNCTION("""COMPUTED_VALUE"""),"происшедшей")</f>
        <v>происшедшей</v>
      </c>
      <c r="X121" s="1" t="str">
        <f>IFERROR(__xludf.DUMMYFUNCTION("""COMPUTED_VALUE"""),"в")</f>
        <v>в</v>
      </c>
      <c r="Y121" s="1" t="str">
        <f>IFERROR(__xludf.DUMMYFUNCTION("""COMPUTED_VALUE"""),"этом")</f>
        <v>этом</v>
      </c>
      <c r="Z121" s="1" t="str">
        <f>IFERROR(__xludf.DUMMYFUNCTION("""COMPUTED_VALUE"""),"лице.")</f>
        <v>лице.</v>
      </c>
    </row>
    <row r="122" ht="14.25" customHeight="1">
      <c r="A122" s="1" t="s">
        <v>1103</v>
      </c>
      <c r="B122" s="1" t="s">
        <v>699</v>
      </c>
      <c r="C122" s="2" t="s">
        <v>1104</v>
      </c>
      <c r="D122" s="7" t="s">
        <v>701</v>
      </c>
      <c r="E122" s="1" t="s">
        <v>25</v>
      </c>
      <c r="F122" s="4" t="s">
        <v>1105</v>
      </c>
      <c r="G122" s="7" t="s">
        <v>701</v>
      </c>
      <c r="H122" s="7" t="s">
        <v>1106</v>
      </c>
      <c r="I122" s="4" t="s">
        <v>1077</v>
      </c>
      <c r="J122" s="1" t="s">
        <v>1078</v>
      </c>
      <c r="K122" s="1" t="s">
        <v>1079</v>
      </c>
      <c r="L122" s="1" t="s">
        <v>1080</v>
      </c>
      <c r="M122" s="1" t="s">
        <v>1081</v>
      </c>
      <c r="N122" s="1" t="s">
        <v>139</v>
      </c>
      <c r="O122" s="1" t="s">
        <v>367</v>
      </c>
      <c r="Q122" s="1" t="s">
        <v>1082</v>
      </c>
      <c r="R122" s="1" t="s">
        <v>890</v>
      </c>
      <c r="S122" s="1" t="s">
        <v>273</v>
      </c>
      <c r="T122" s="1" t="s">
        <v>36</v>
      </c>
      <c r="U122" s="4" t="s">
        <v>1107</v>
      </c>
      <c r="V122" s="4" t="str">
        <f>IFERROR(__xludf.DUMMYFUNCTION("SPLIT(F122, "" "")"),"гостю,")</f>
        <v>гостю,</v>
      </c>
      <c r="W122" s="1" t="str">
        <f>IFERROR(__xludf.DUMMYFUNCTION("""COMPUTED_VALUE"""),"сострадал")</f>
        <v>сострадал</v>
      </c>
      <c r="X122" s="1" t="str">
        <f>IFERROR(__xludf.DUMMYFUNCTION("""COMPUTED_VALUE"""),"ему.")</f>
        <v>ему.</v>
      </c>
    </row>
    <row r="123" ht="14.25" customHeight="1">
      <c r="A123" s="1" t="s">
        <v>1108</v>
      </c>
      <c r="B123" s="1" t="s">
        <v>398</v>
      </c>
      <c r="C123" s="2" t="s">
        <v>1109</v>
      </c>
      <c r="D123" s="7" t="s">
        <v>400</v>
      </c>
      <c r="E123" s="1" t="s">
        <v>25</v>
      </c>
      <c r="F123" s="4" t="s">
        <v>1110</v>
      </c>
      <c r="G123" s="7" t="s">
        <v>400</v>
      </c>
      <c r="H123" s="7" t="s">
        <v>1111</v>
      </c>
      <c r="I123" s="4" t="s">
        <v>1112</v>
      </c>
      <c r="J123" s="1" t="s">
        <v>1078</v>
      </c>
      <c r="K123" s="1" t="s">
        <v>1079</v>
      </c>
      <c r="L123" s="1" t="s">
        <v>1113</v>
      </c>
      <c r="M123" s="1" t="s">
        <v>1114</v>
      </c>
      <c r="N123" s="1" t="s">
        <v>139</v>
      </c>
      <c r="O123" s="1" t="s">
        <v>367</v>
      </c>
      <c r="Q123" s="1" t="s">
        <v>1115</v>
      </c>
      <c r="R123" s="1" t="s">
        <v>890</v>
      </c>
      <c r="S123" s="1" t="s">
        <v>273</v>
      </c>
      <c r="T123" s="1" t="s">
        <v>36</v>
      </c>
      <c r="U123" s="4" t="s">
        <v>1116</v>
      </c>
      <c r="V123" s="4" t="str">
        <f>IFERROR(__xludf.DUMMYFUNCTION("SPLIT(F123, "" "")"),"солнышку,")</f>
        <v>солнышку,</v>
      </c>
      <c r="W123" s="1" t="str">
        <f>IFERROR(__xludf.DUMMYFUNCTION("""COMPUTED_VALUE"""),"сосредоточилась")</f>
        <v>сосредоточилась</v>
      </c>
      <c r="X123" s="1" t="str">
        <f>IFERROR(__xludf.DUMMYFUNCTION("""COMPUTED_VALUE"""),"в")</f>
        <v>в</v>
      </c>
      <c r="Y123" s="1" t="str">
        <f>IFERROR(__xludf.DUMMYFUNCTION("""COMPUTED_VALUE"""),"себе,")</f>
        <v>себе,</v>
      </c>
      <c r="Z123" s="1" t="str">
        <f>IFERROR(__xludf.DUMMYFUNCTION("""COMPUTED_VALUE"""),"что-то")</f>
        <v>что-то</v>
      </c>
      <c r="AA123" s="1" t="str">
        <f>IFERROR(__xludf.DUMMYFUNCTION("""COMPUTED_VALUE"""),"только")</f>
        <v>только</v>
      </c>
    </row>
    <row r="124" ht="14.25" customHeight="1">
      <c r="A124" s="1" t="s">
        <v>1117</v>
      </c>
      <c r="B124" s="1" t="s">
        <v>1118</v>
      </c>
      <c r="C124" s="2" t="s">
        <v>1119</v>
      </c>
      <c r="D124" s="7" t="s">
        <v>1120</v>
      </c>
      <c r="E124" s="1" t="s">
        <v>25</v>
      </c>
      <c r="F124" s="4" t="s">
        <v>1121</v>
      </c>
      <c r="G124" s="7" t="s">
        <v>1120</v>
      </c>
      <c r="H124" s="7" t="s">
        <v>1122</v>
      </c>
      <c r="I124" s="4" t="s">
        <v>1123</v>
      </c>
      <c r="J124" s="1" t="s">
        <v>1124</v>
      </c>
      <c r="K124" s="1" t="s">
        <v>1125</v>
      </c>
      <c r="L124" s="1" t="s">
        <v>1126</v>
      </c>
      <c r="M124" s="1" t="s">
        <v>1127</v>
      </c>
      <c r="N124" s="1" t="s">
        <v>139</v>
      </c>
      <c r="O124" s="1" t="s">
        <v>458</v>
      </c>
      <c r="Q124" s="1" t="s">
        <v>1128</v>
      </c>
      <c r="R124" s="1" t="s">
        <v>850</v>
      </c>
      <c r="S124" s="1" t="s">
        <v>273</v>
      </c>
      <c r="T124" s="1" t="s">
        <v>36</v>
      </c>
      <c r="U124" s="4" t="s">
        <v>1129</v>
      </c>
      <c r="V124" s="4" t="str">
        <f>IFERROR(__xludf.DUMMYFUNCTION("SPLIT(F124, "" "")"),"мысли.")</f>
        <v>мысли.</v>
      </c>
    </row>
    <row r="125" ht="14.25" customHeight="1">
      <c r="A125" s="1" t="s">
        <v>1130</v>
      </c>
      <c r="B125" s="1" t="s">
        <v>1131</v>
      </c>
      <c r="C125" s="2" t="s">
        <v>1132</v>
      </c>
      <c r="D125" s="7" t="s">
        <v>1133</v>
      </c>
      <c r="E125" s="1" t="s">
        <v>613</v>
      </c>
      <c r="F125" s="4" t="s">
        <v>1134</v>
      </c>
      <c r="G125" s="7" t="s">
        <v>1133</v>
      </c>
      <c r="H125" s="7" t="s">
        <v>1135</v>
      </c>
      <c r="I125" s="4" t="s">
        <v>1136</v>
      </c>
      <c r="J125" s="1" t="s">
        <v>1137</v>
      </c>
      <c r="K125" s="1" t="s">
        <v>1138</v>
      </c>
      <c r="L125" s="1" t="s">
        <v>1139</v>
      </c>
      <c r="M125" s="1" t="s">
        <v>582</v>
      </c>
      <c r="N125" s="1" t="s">
        <v>139</v>
      </c>
      <c r="O125" s="1" t="s">
        <v>458</v>
      </c>
      <c r="Q125" s="1" t="s">
        <v>1140</v>
      </c>
      <c r="R125" s="1" t="s">
        <v>1141</v>
      </c>
      <c r="S125" s="1" t="s">
        <v>273</v>
      </c>
      <c r="T125" s="1" t="s">
        <v>36</v>
      </c>
      <c r="U125" s="4" t="s">
        <v>1142</v>
      </c>
      <c r="V125" s="4" t="str">
        <f>IFERROR(__xludf.DUMMYFUNCTION("SPLIT(F125, "" "")"),"крестьянам")</f>
        <v>крестьянам</v>
      </c>
      <c r="W125" s="1" t="str">
        <f>IFERROR(__xludf.DUMMYFUNCTION("""COMPUTED_VALUE"""),"нечем")</f>
        <v>нечем</v>
      </c>
      <c r="X125" s="1" t="str">
        <f>IFERROR(__xludf.DUMMYFUNCTION("""COMPUTED_VALUE"""),"молоть")</f>
        <v>молоть</v>
      </c>
      <c r="Y125" s="1" t="str">
        <f>IFERROR(__xludf.DUMMYFUNCTION("""COMPUTED_VALUE"""),"зерно,")</f>
        <v>зерно,</v>
      </c>
      <c r="Z125" s="1" t="str">
        <f>IFERROR(__xludf.DUMMYFUNCTION("""COMPUTED_VALUE"""),"и")</f>
        <v>и</v>
      </c>
      <c r="AA125" s="1" t="str">
        <f>IFERROR(__xludf.DUMMYFUNCTION("""COMPUTED_VALUE"""),"над")</f>
        <v>над</v>
      </c>
    </row>
    <row r="126" ht="14.25" customHeight="1">
      <c r="A126" s="1" t="s">
        <v>1143</v>
      </c>
      <c r="B126" s="1" t="s">
        <v>639</v>
      </c>
      <c r="C126" s="2" t="s">
        <v>1144</v>
      </c>
      <c r="D126" s="7" t="s">
        <v>641</v>
      </c>
      <c r="E126" s="1" t="s">
        <v>25</v>
      </c>
      <c r="F126" s="4" t="s">
        <v>1145</v>
      </c>
      <c r="G126" s="7" t="s">
        <v>641</v>
      </c>
      <c r="H126" s="7" t="s">
        <v>1146</v>
      </c>
      <c r="I126" s="4" t="s">
        <v>1147</v>
      </c>
      <c r="J126" s="1" t="s">
        <v>1137</v>
      </c>
      <c r="K126" s="1" t="s">
        <v>1138</v>
      </c>
      <c r="L126" s="1" t="s">
        <v>1148</v>
      </c>
      <c r="M126" s="1" t="s">
        <v>1149</v>
      </c>
      <c r="N126" s="1" t="s">
        <v>139</v>
      </c>
      <c r="O126" s="1" t="s">
        <v>285</v>
      </c>
      <c r="Q126" s="1" t="s">
        <v>1150</v>
      </c>
      <c r="R126" s="1" t="s">
        <v>503</v>
      </c>
      <c r="S126" s="1" t="s">
        <v>273</v>
      </c>
      <c r="T126" s="1" t="s">
        <v>36</v>
      </c>
      <c r="U126" s="4" t="s">
        <v>1151</v>
      </c>
      <c r="V126" s="4" t="str">
        <f>IFERROR(__xludf.DUMMYFUNCTION("SPLIT(F126, "" "")"),"затее")</f>
        <v>затее</v>
      </c>
      <c r="W126" s="1" t="str">
        <f>IFERROR(__xludf.DUMMYFUNCTION("""COMPUTED_VALUE"""),"Петра:")</f>
        <v>Петра:</v>
      </c>
      <c r="X126" s="1" t="str">
        <f>IFERROR(__xludf.DUMMYFUNCTION("""COMPUTED_VALUE"""),"так")</f>
        <v>так</v>
      </c>
      <c r="Y126" s="1" t="str">
        <f>IFERROR(__xludf.DUMMYFUNCTION("""COMPUTED_VALUE"""),"велика")</f>
        <v>велика</v>
      </c>
      <c r="Z126" s="1" t="str">
        <f>IFERROR(__xludf.DUMMYFUNCTION("""COMPUTED_VALUE"""),"оказалась")</f>
        <v>оказалась</v>
      </c>
      <c r="AA126" s="1" t="str">
        <f>IFERROR(__xludf.DUMMYFUNCTION("""COMPUTED_VALUE"""),"земля")</f>
        <v>земля</v>
      </c>
    </row>
    <row r="127" ht="14.25" customHeight="1">
      <c r="A127" s="1" t="s">
        <v>1152</v>
      </c>
      <c r="B127" s="1" t="s">
        <v>118</v>
      </c>
      <c r="C127" s="2" t="s">
        <v>1153</v>
      </c>
      <c r="D127" s="7" t="s">
        <v>120</v>
      </c>
      <c r="E127" s="1" t="s">
        <v>25</v>
      </c>
      <c r="F127" s="4" t="s">
        <v>1154</v>
      </c>
      <c r="G127" s="7" t="s">
        <v>120</v>
      </c>
      <c r="H127" s="7" t="s">
        <v>1155</v>
      </c>
      <c r="I127" s="4" t="s">
        <v>1156</v>
      </c>
      <c r="J127" s="1" t="s">
        <v>1157</v>
      </c>
      <c r="K127" s="1" t="s">
        <v>1158</v>
      </c>
      <c r="L127" s="1" t="s">
        <v>1159</v>
      </c>
      <c r="M127" s="1" t="s">
        <v>320</v>
      </c>
      <c r="N127" s="1" t="s">
        <v>139</v>
      </c>
      <c r="O127" s="1" t="s">
        <v>285</v>
      </c>
      <c r="Q127" s="1" t="s">
        <v>1160</v>
      </c>
      <c r="R127" s="1" t="s">
        <v>1161</v>
      </c>
      <c r="S127" s="1" t="s">
        <v>273</v>
      </c>
      <c r="T127" s="1" t="s">
        <v>36</v>
      </c>
      <c r="U127" s="4" t="s">
        <v>1162</v>
      </c>
      <c r="V127" s="4" t="str">
        <f>IFERROR(__xludf.DUMMYFUNCTION("SPLIT(F127, "" "")"),"живучести")</f>
        <v>живучести</v>
      </c>
      <c r="W127" s="1" t="str">
        <f>IFERROR(__xludf.DUMMYFUNCTION("""COMPUTED_VALUE"""),"таких")</f>
        <v>таких</v>
      </c>
      <c r="X127" s="1" t="str">
        <f>IFERROR(__xludf.DUMMYFUNCTION("""COMPUTED_VALUE"""),"предубеждений.")</f>
        <v>предубеждений.</v>
      </c>
    </row>
    <row r="128" ht="14.25" customHeight="1">
      <c r="A128" s="1" t="s">
        <v>804</v>
      </c>
      <c r="B128" s="1" t="s">
        <v>326</v>
      </c>
      <c r="C128" s="2" t="s">
        <v>805</v>
      </c>
      <c r="D128" s="7" t="s">
        <v>328</v>
      </c>
      <c r="E128" s="1" t="s">
        <v>25</v>
      </c>
      <c r="F128" s="4" t="s">
        <v>1163</v>
      </c>
      <c r="G128" s="7" t="s">
        <v>328</v>
      </c>
      <c r="H128" s="7" t="s">
        <v>1164</v>
      </c>
      <c r="I128" s="4" t="s">
        <v>1165</v>
      </c>
      <c r="J128" s="1" t="s">
        <v>1166</v>
      </c>
      <c r="K128" s="1" t="s">
        <v>1167</v>
      </c>
      <c r="L128" s="1" t="s">
        <v>1168</v>
      </c>
      <c r="M128" s="1" t="s">
        <v>1169</v>
      </c>
      <c r="N128" s="1" t="s">
        <v>51</v>
      </c>
      <c r="O128" s="1" t="s">
        <v>271</v>
      </c>
      <c r="Q128" s="1" t="s">
        <v>1170</v>
      </c>
      <c r="R128" s="1" t="s">
        <v>597</v>
      </c>
      <c r="S128" s="1" t="s">
        <v>273</v>
      </c>
      <c r="T128" s="1" t="s">
        <v>36</v>
      </c>
      <c r="U128" s="4" t="s">
        <v>1171</v>
      </c>
      <c r="V128" s="4" t="str">
        <f>IFERROR(__xludf.DUMMYFUNCTION("SPLIT(F128, "" "")"),"подарку")</f>
        <v>подарку</v>
      </c>
      <c r="W128" s="1" t="str">
        <f>IFERROR(__xludf.DUMMYFUNCTION("""COMPUTED_VALUE"""),"и")</f>
        <v>и</v>
      </c>
      <c r="X128" s="1" t="str">
        <f>IFERROR(__xludf.DUMMYFUNCTION("""COMPUTED_VALUE"""),"унёс,")</f>
        <v>унёс,</v>
      </c>
      <c r="Y128" s="1" t="str">
        <f>IFERROR(__xludf.DUMMYFUNCTION("""COMPUTED_VALUE"""),"завернув")</f>
        <v>завернув</v>
      </c>
      <c r="Z128" s="1" t="str">
        <f>IFERROR(__xludf.DUMMYFUNCTION("""COMPUTED_VALUE"""),"в")</f>
        <v>в</v>
      </c>
      <c r="AA128" s="1" t="str">
        <f>IFERROR(__xludf.DUMMYFUNCTION("""COMPUTED_VALUE"""),"носовой")</f>
        <v>носовой</v>
      </c>
    </row>
    <row r="129" ht="14.25" customHeight="1">
      <c r="A129" s="1" t="s">
        <v>1172</v>
      </c>
      <c r="B129" s="1" t="s">
        <v>346</v>
      </c>
      <c r="C129" s="2" t="s">
        <v>1173</v>
      </c>
      <c r="D129" s="7" t="s">
        <v>348</v>
      </c>
      <c r="E129" s="1" t="s">
        <v>25</v>
      </c>
      <c r="F129" s="4" t="s">
        <v>1174</v>
      </c>
      <c r="G129" s="7" t="s">
        <v>348</v>
      </c>
      <c r="H129" s="7" t="s">
        <v>1175</v>
      </c>
      <c r="I129" s="4" t="s">
        <v>1176</v>
      </c>
      <c r="J129" s="1" t="s">
        <v>1177</v>
      </c>
      <c r="K129" s="1" t="s">
        <v>1178</v>
      </c>
      <c r="L129" s="1" t="s">
        <v>1179</v>
      </c>
      <c r="M129" s="1" t="s">
        <v>1180</v>
      </c>
      <c r="N129" s="1" t="s">
        <v>139</v>
      </c>
      <c r="O129" s="1" t="s">
        <v>891</v>
      </c>
      <c r="Q129" s="1" t="s">
        <v>1181</v>
      </c>
      <c r="R129" s="1" t="s">
        <v>457</v>
      </c>
      <c r="S129" s="1" t="s">
        <v>273</v>
      </c>
      <c r="T129" s="1" t="s">
        <v>36</v>
      </c>
      <c r="U129" s="4" t="s">
        <v>1182</v>
      </c>
      <c r="V129" s="4" t="str">
        <f>IFERROR(__xludf.DUMMYFUNCTION("SPLIT(F129, "" "")"),"блузочкам")</f>
        <v>блузочкам</v>
      </c>
      <c r="W129" s="1" t="str">
        <f>IFERROR(__xludf.DUMMYFUNCTION("""COMPUTED_VALUE"""),"своим")</f>
        <v>своим</v>
      </c>
      <c r="X129" s="1" t="str">
        <f>IFERROR(__xludf.DUMMYFUNCTION("""COMPUTED_VALUE"""),"легчайшим.")</f>
        <v>легчайшим.</v>
      </c>
    </row>
    <row r="130" ht="14.25" customHeight="1">
      <c r="A130" s="1" t="s">
        <v>1183</v>
      </c>
      <c r="B130" s="1" t="s">
        <v>996</v>
      </c>
      <c r="C130" s="2" t="s">
        <v>1184</v>
      </c>
      <c r="D130" s="7" t="s">
        <v>998</v>
      </c>
      <c r="E130" s="1" t="s">
        <v>25</v>
      </c>
      <c r="F130" s="4" t="s">
        <v>1185</v>
      </c>
      <c r="G130" s="7" t="s">
        <v>998</v>
      </c>
      <c r="H130" s="7" t="s">
        <v>1186</v>
      </c>
      <c r="I130" s="4" t="s">
        <v>1187</v>
      </c>
      <c r="J130" s="1" t="s">
        <v>1188</v>
      </c>
      <c r="K130" s="1" t="s">
        <v>1189</v>
      </c>
      <c r="L130" s="1" t="s">
        <v>1190</v>
      </c>
      <c r="M130" s="1" t="s">
        <v>879</v>
      </c>
      <c r="N130" s="1" t="s">
        <v>139</v>
      </c>
      <c r="O130" s="1" t="s">
        <v>458</v>
      </c>
      <c r="Q130" s="1" t="s">
        <v>1191</v>
      </c>
      <c r="R130" s="1" t="s">
        <v>584</v>
      </c>
      <c r="S130" s="1" t="s">
        <v>273</v>
      </c>
      <c r="T130" s="1" t="s">
        <v>36</v>
      </c>
      <c r="U130" s="4" t="s">
        <v>1192</v>
      </c>
      <c r="V130" s="4" t="str">
        <f>IFERROR(__xludf.DUMMYFUNCTION("SPLIT(F130, "" "")"),"смерти")</f>
        <v>смерти</v>
      </c>
      <c r="W130" s="1" t="str">
        <f>IFERROR(__xludf.DUMMYFUNCTION("""COMPUTED_VALUE"""),"―")</f>
        <v>―</v>
      </c>
      <c r="X130" s="1" t="str">
        <f>IFERROR(__xludf.DUMMYFUNCTION("""COMPUTED_VALUE"""),"когда")</f>
        <v>когда</v>
      </c>
      <c r="Y130" s="1" t="str">
        <f>IFERROR(__xludf.DUMMYFUNCTION("""COMPUTED_VALUE"""),"смерть")</f>
        <v>смерть</v>
      </c>
      <c r="Z130" s="1" t="str">
        <f>IFERROR(__xludf.DUMMYFUNCTION("""COMPUTED_VALUE"""),"придёт…")</f>
        <v>придёт…</v>
      </c>
    </row>
    <row r="131" ht="14.25" customHeight="1">
      <c r="A131" s="1" t="s">
        <v>1193</v>
      </c>
      <c r="B131" s="1" t="s">
        <v>131</v>
      </c>
      <c r="C131" s="2" t="s">
        <v>1194</v>
      </c>
      <c r="D131" s="7" t="s">
        <v>133</v>
      </c>
      <c r="E131" s="1" t="s">
        <v>25</v>
      </c>
      <c r="F131" s="4" t="s">
        <v>1195</v>
      </c>
      <c r="G131" s="7" t="s">
        <v>133</v>
      </c>
      <c r="H131" s="7" t="s">
        <v>402</v>
      </c>
      <c r="I131" s="4" t="s">
        <v>1196</v>
      </c>
      <c r="J131" s="1" t="s">
        <v>1197</v>
      </c>
      <c r="K131" s="1" t="s">
        <v>1198</v>
      </c>
      <c r="L131" s="1" t="s">
        <v>1199</v>
      </c>
      <c r="M131" s="1" t="s">
        <v>1200</v>
      </c>
      <c r="N131" s="1" t="s">
        <v>139</v>
      </c>
      <c r="O131" s="1" t="s">
        <v>458</v>
      </c>
      <c r="Q131" s="1" t="s">
        <v>1201</v>
      </c>
      <c r="R131" s="1" t="s">
        <v>1141</v>
      </c>
      <c r="S131" s="1" t="s">
        <v>273</v>
      </c>
      <c r="T131" s="1" t="s">
        <v>36</v>
      </c>
      <c r="U131" s="4" t="s">
        <v>1202</v>
      </c>
      <c r="V131" s="4" t="str">
        <f>IFERROR(__xludf.DUMMYFUNCTION("SPLIT(F131, "" "")"),"возможности")</f>
        <v>возможности</v>
      </c>
      <c r="W131" s="1" t="str">
        <f>IFERROR(__xludf.DUMMYFUNCTION("""COMPUTED_VALUE"""),"продать")</f>
        <v>продать</v>
      </c>
      <c r="X131" s="1" t="str">
        <f>IFERROR(__xludf.DUMMYFUNCTION("""COMPUTED_VALUE"""),"книги")</f>
        <v>книги</v>
      </c>
      <c r="Y131" s="1" t="str">
        <f>IFERROR(__xludf.DUMMYFUNCTION("""COMPUTED_VALUE"""),"и")</f>
        <v>и</v>
      </c>
      <c r="Z131" s="1" t="str">
        <f>IFERROR(__xludf.DUMMYFUNCTION("""COMPUTED_VALUE"""),"вообразил,")</f>
        <v>вообразил,</v>
      </c>
      <c r="AA131" s="1" t="str">
        <f>IFERROR(__xludf.DUMMYFUNCTION("""COMPUTED_VALUE"""),"что")</f>
        <v>что</v>
      </c>
    </row>
    <row r="132" ht="14.25" customHeight="1">
      <c r="A132" s="1" t="s">
        <v>1203</v>
      </c>
      <c r="B132" s="1" t="s">
        <v>1204</v>
      </c>
      <c r="C132" s="2" t="s">
        <v>1205</v>
      </c>
      <c r="D132" s="7" t="s">
        <v>1206</v>
      </c>
      <c r="E132" s="1" t="s">
        <v>197</v>
      </c>
      <c r="F132" s="4" t="s">
        <v>1207</v>
      </c>
      <c r="G132" s="7" t="s">
        <v>1206</v>
      </c>
      <c r="H132" s="7" t="s">
        <v>1208</v>
      </c>
      <c r="I132" s="4" t="s">
        <v>1209</v>
      </c>
      <c r="J132" s="1" t="s">
        <v>1210</v>
      </c>
      <c r="K132" s="1" t="s">
        <v>1198</v>
      </c>
      <c r="L132" s="1" t="s">
        <v>1211</v>
      </c>
      <c r="M132" s="1" t="s">
        <v>764</v>
      </c>
      <c r="N132" s="1" t="s">
        <v>139</v>
      </c>
      <c r="O132" s="1" t="s">
        <v>285</v>
      </c>
      <c r="Q132" s="1" t="s">
        <v>1212</v>
      </c>
      <c r="R132" s="1" t="s">
        <v>831</v>
      </c>
      <c r="S132" s="1" t="s">
        <v>273</v>
      </c>
      <c r="T132" s="1" t="s">
        <v>36</v>
      </c>
      <c r="U132" s="4" t="s">
        <v>1213</v>
      </c>
      <c r="V132" s="4" t="str">
        <f>IFERROR(__xludf.DUMMYFUNCTION("SPLIT(F132, "" "")"),"прислуге,")</f>
        <v>прислуге,</v>
      </c>
      <c r="W132" s="1" t="str">
        <f>IFERROR(__xludf.DUMMYFUNCTION("""COMPUTED_VALUE"""),"с")</f>
        <v>с</v>
      </c>
      <c r="X132" s="1" t="str">
        <f>IFERROR(__xludf.DUMMYFUNCTION("""COMPUTED_VALUE"""),"которой")</f>
        <v>которой</v>
      </c>
      <c r="Y132" s="1" t="str">
        <f>IFERROR(__xludf.DUMMYFUNCTION("""COMPUTED_VALUE"""),"Вы")</f>
        <v>Вы</v>
      </c>
      <c r="Z132" s="1" t="str">
        <f>IFERROR(__xludf.DUMMYFUNCTION("""COMPUTED_VALUE"""),"говорите.")</f>
        <v>говорите.</v>
      </c>
    </row>
    <row r="133" ht="14.25" customHeight="1">
      <c r="A133" s="1" t="s">
        <v>1214</v>
      </c>
      <c r="B133" s="1" t="s">
        <v>720</v>
      </c>
      <c r="C133" s="2" t="s">
        <v>1215</v>
      </c>
      <c r="D133" s="7" t="s">
        <v>722</v>
      </c>
      <c r="E133" s="1" t="s">
        <v>25</v>
      </c>
      <c r="F133" s="4" t="s">
        <v>1216</v>
      </c>
      <c r="G133" s="7" t="s">
        <v>722</v>
      </c>
      <c r="H133" s="7" t="s">
        <v>1217</v>
      </c>
      <c r="I133" s="4" t="s">
        <v>1218</v>
      </c>
      <c r="J133" s="1" t="s">
        <v>1219</v>
      </c>
      <c r="K133" s="1" t="s">
        <v>1220</v>
      </c>
      <c r="L133" s="1" t="s">
        <v>1221</v>
      </c>
      <c r="M133" s="1" t="s">
        <v>1222</v>
      </c>
      <c r="N133" s="1" t="s">
        <v>51</v>
      </c>
      <c r="O133" s="1" t="s">
        <v>271</v>
      </c>
      <c r="Q133" s="1" t="s">
        <v>1223</v>
      </c>
      <c r="R133" s="1" t="s">
        <v>797</v>
      </c>
      <c r="S133" s="1" t="s">
        <v>273</v>
      </c>
      <c r="T133" s="1" t="s">
        <v>36</v>
      </c>
      <c r="U133" s="4" t="s">
        <v>1224</v>
      </c>
      <c r="V133" s="4" t="str">
        <f>IFERROR(__xludf.DUMMYFUNCTION("SPLIT(F133, "" "")"),"Льву")</f>
        <v>Льву</v>
      </c>
      <c r="W133" s="1" t="str">
        <f>IFERROR(__xludf.DUMMYFUNCTION("""COMPUTED_VALUE"""),"Николаевичу")</f>
        <v>Николаевичу</v>
      </c>
      <c r="X133" s="1" t="str">
        <f>IFERROR(__xludf.DUMMYFUNCTION("""COMPUTED_VALUE"""),"побеседовать.")</f>
        <v>побеседовать.</v>
      </c>
    </row>
    <row r="134" ht="14.25" customHeight="1">
      <c r="A134" s="1" t="s">
        <v>1225</v>
      </c>
      <c r="B134" s="1" t="s">
        <v>131</v>
      </c>
      <c r="C134" s="2" t="s">
        <v>1226</v>
      </c>
      <c r="D134" s="7" t="s">
        <v>133</v>
      </c>
      <c r="E134" s="1" t="s">
        <v>25</v>
      </c>
      <c r="F134" s="4" t="s">
        <v>1227</v>
      </c>
      <c r="G134" s="7" t="s">
        <v>133</v>
      </c>
      <c r="H134" s="7" t="s">
        <v>1228</v>
      </c>
      <c r="I134" s="4" t="s">
        <v>1229</v>
      </c>
      <c r="J134" s="1" t="s">
        <v>1230</v>
      </c>
      <c r="K134" s="1" t="s">
        <v>1231</v>
      </c>
      <c r="L134" s="1" t="s">
        <v>1232</v>
      </c>
      <c r="M134" s="1" t="s">
        <v>913</v>
      </c>
      <c r="N134" s="1" t="s">
        <v>139</v>
      </c>
      <c r="O134" s="1" t="s">
        <v>458</v>
      </c>
      <c r="Q134" s="1" t="s">
        <v>1233</v>
      </c>
      <c r="R134" s="1" t="s">
        <v>1234</v>
      </c>
      <c r="S134" s="1" t="s">
        <v>273</v>
      </c>
      <c r="T134" s="1" t="s">
        <v>36</v>
      </c>
      <c r="U134" s="4" t="s">
        <v>1235</v>
      </c>
      <c r="V134" s="4" t="str">
        <f>IFERROR(__xludf.DUMMYFUNCTION("SPLIT(F134, "" "")"),"водке,")</f>
        <v>водке,</v>
      </c>
      <c r="W134" s="1" t="str">
        <f>IFERROR(__xludf.DUMMYFUNCTION("""COMPUTED_VALUE"""),"смеялся,")</f>
        <v>смеялся,</v>
      </c>
      <c r="X134" s="1" t="str">
        <f>IFERROR(__xludf.DUMMYFUNCTION("""COMPUTED_VALUE"""),"пил,")</f>
        <v>пил,</v>
      </c>
      <c r="Y134" s="1" t="str">
        <f>IFERROR(__xludf.DUMMYFUNCTION("""COMPUTED_VALUE"""),"закусывал")</f>
        <v>закусывал</v>
      </c>
      <c r="Z134" s="1" t="str">
        <f>IFERROR(__xludf.DUMMYFUNCTION("""COMPUTED_VALUE"""),"селёдкой,")</f>
        <v>селёдкой,</v>
      </c>
      <c r="AA134" s="1" t="str">
        <f>IFERROR(__xludf.DUMMYFUNCTION("""COMPUTED_VALUE"""),"неприятной")</f>
        <v>неприятной</v>
      </c>
    </row>
    <row r="135" ht="14.25" customHeight="1">
      <c r="A135" s="1" t="s">
        <v>1236</v>
      </c>
      <c r="B135" s="1" t="s">
        <v>346</v>
      </c>
      <c r="C135" s="2" t="s">
        <v>1237</v>
      </c>
      <c r="D135" s="7" t="s">
        <v>348</v>
      </c>
      <c r="E135" s="1" t="s">
        <v>25</v>
      </c>
      <c r="F135" s="4" t="s">
        <v>1238</v>
      </c>
      <c r="G135" s="7" t="s">
        <v>348</v>
      </c>
      <c r="H135" s="7" t="s">
        <v>575</v>
      </c>
      <c r="I135" s="4" t="s">
        <v>1239</v>
      </c>
      <c r="J135" s="1" t="s">
        <v>1240</v>
      </c>
      <c r="K135" s="1" t="s">
        <v>1241</v>
      </c>
      <c r="L135" s="1" t="s">
        <v>1242</v>
      </c>
      <c r="M135" s="1" t="s">
        <v>1243</v>
      </c>
      <c r="N135" s="1" t="s">
        <v>139</v>
      </c>
      <c r="O135" s="1" t="s">
        <v>458</v>
      </c>
      <c r="Q135" s="1" t="s">
        <v>1244</v>
      </c>
      <c r="R135" s="1" t="s">
        <v>1245</v>
      </c>
      <c r="S135" s="1" t="s">
        <v>273</v>
      </c>
      <c r="T135" s="1" t="s">
        <v>36</v>
      </c>
      <c r="U135" s="4" t="s">
        <v>1246</v>
      </c>
      <c r="V135" s="4" t="str">
        <f>IFERROR(__xludf.DUMMYFUNCTION("SPLIT(F135, "" "")"),"случаю")</f>
        <v>случаю</v>
      </c>
      <c r="W135" s="1" t="str">
        <f>IFERROR(__xludf.DUMMYFUNCTION("""COMPUTED_VALUE"""),"и")</f>
        <v>и</v>
      </c>
      <c r="X135" s="1" t="str">
        <f>IFERROR(__xludf.DUMMYFUNCTION("""COMPUTED_VALUE"""),"бросились")</f>
        <v>бросились</v>
      </c>
      <c r="Y135" s="1" t="str">
        <f>IFERROR(__xludf.DUMMYFUNCTION("""COMPUTED_VALUE"""),"за")</f>
        <v>за</v>
      </c>
      <c r="Z135" s="1" t="str">
        <f>IFERROR(__xludf.DUMMYFUNCTION("""COMPUTED_VALUE"""),"ним")</f>
        <v>ним</v>
      </c>
      <c r="AA135" s="1" t="str">
        <f>IFERROR(__xludf.DUMMYFUNCTION("""COMPUTED_VALUE"""),"с")</f>
        <v>с</v>
      </c>
    </row>
    <row r="136" ht="14.25" customHeight="1">
      <c r="A136" s="1" t="s">
        <v>1247</v>
      </c>
      <c r="B136" s="1" t="s">
        <v>557</v>
      </c>
      <c r="C136" s="2" t="s">
        <v>1248</v>
      </c>
      <c r="D136" s="7" t="s">
        <v>559</v>
      </c>
      <c r="E136" s="1" t="s">
        <v>25</v>
      </c>
      <c r="F136" s="4" t="s">
        <v>1249</v>
      </c>
      <c r="G136" s="7" t="s">
        <v>559</v>
      </c>
      <c r="H136" s="7" t="s">
        <v>1250</v>
      </c>
      <c r="I136" s="4" t="s">
        <v>1251</v>
      </c>
      <c r="J136" s="1" t="s">
        <v>1252</v>
      </c>
      <c r="K136" s="1" t="s">
        <v>1253</v>
      </c>
      <c r="L136" s="1" t="s">
        <v>1254</v>
      </c>
      <c r="M136" s="1" t="s">
        <v>1125</v>
      </c>
      <c r="N136" s="1" t="s">
        <v>139</v>
      </c>
      <c r="O136" s="1" t="s">
        <v>458</v>
      </c>
      <c r="Q136" s="1" t="s">
        <v>1255</v>
      </c>
      <c r="R136" s="1" t="s">
        <v>1256</v>
      </c>
      <c r="S136" s="1" t="s">
        <v>273</v>
      </c>
      <c r="T136" s="1" t="s">
        <v>36</v>
      </c>
      <c r="U136" s="4" t="s">
        <v>1257</v>
      </c>
      <c r="V136" s="4" t="str">
        <f>IFERROR(__xludf.DUMMYFUNCTION("SPLIT(F136, "" "")"),"предлогу,")</f>
        <v>предлогу,</v>
      </c>
      <c r="W136" s="1" t="str">
        <f>IFERROR(__xludf.DUMMYFUNCTION("""COMPUTED_VALUE"""),"что")</f>
        <v>что</v>
      </c>
      <c r="X136" s="1" t="str">
        <f>IFERROR(__xludf.DUMMYFUNCTION("""COMPUTED_VALUE"""),"ворвалась")</f>
        <v>ворвалась</v>
      </c>
      <c r="Y136" s="1" t="str">
        <f>IFERROR(__xludf.DUMMYFUNCTION("""COMPUTED_VALUE"""),"ко")</f>
        <v>ко</v>
      </c>
      <c r="Z136" s="1" t="str">
        <f>IFERROR(__xludf.DUMMYFUNCTION("""COMPUTED_VALUE"""),"мне")</f>
        <v>мне</v>
      </c>
      <c r="AA136" s="1" t="str">
        <f>IFERROR(__xludf.DUMMYFUNCTION("""COMPUTED_VALUE"""),"в")</f>
        <v>в</v>
      </c>
    </row>
    <row r="137" ht="14.25" customHeight="1">
      <c r="A137" s="1" t="s">
        <v>1258</v>
      </c>
      <c r="B137" s="1" t="s">
        <v>131</v>
      </c>
      <c r="C137" s="2" t="s">
        <v>1259</v>
      </c>
      <c r="D137" s="7" t="s">
        <v>133</v>
      </c>
      <c r="E137" s="1" t="s">
        <v>25</v>
      </c>
      <c r="F137" s="4" t="s">
        <v>1260</v>
      </c>
      <c r="G137" s="7" t="s">
        <v>133</v>
      </c>
      <c r="H137" s="7" t="s">
        <v>350</v>
      </c>
      <c r="I137" s="4" t="s">
        <v>1261</v>
      </c>
      <c r="J137" s="1" t="s">
        <v>1262</v>
      </c>
      <c r="K137" s="1" t="s">
        <v>1263</v>
      </c>
      <c r="L137" s="1" t="s">
        <v>1264</v>
      </c>
      <c r="M137" s="1" t="s">
        <v>1265</v>
      </c>
      <c r="N137" s="1" t="s">
        <v>139</v>
      </c>
      <c r="O137" s="1" t="s">
        <v>458</v>
      </c>
      <c r="Q137" s="1" t="s">
        <v>1266</v>
      </c>
      <c r="R137" s="1" t="s">
        <v>694</v>
      </c>
      <c r="S137" s="1" t="s">
        <v>273</v>
      </c>
      <c r="T137" s="1" t="s">
        <v>36</v>
      </c>
      <c r="U137" s="4" t="s">
        <v>1267</v>
      </c>
      <c r="V137" s="4" t="str">
        <f>IFERROR(__xludf.DUMMYFUNCTION("SPLIT(F137, "" "")"),"предложению")</f>
        <v>предложению</v>
      </c>
      <c r="W137" s="1" t="str">
        <f>IFERROR(__xludf.DUMMYFUNCTION("""COMPUTED_VALUE"""),"Галанца")</f>
        <v>Галанца</v>
      </c>
      <c r="X137" s="1" t="str">
        <f>IFERROR(__xludf.DUMMYFUNCTION("""COMPUTED_VALUE"""),"и")</f>
        <v>и</v>
      </c>
      <c r="Y137" s="1" t="str">
        <f>IFERROR(__xludf.DUMMYFUNCTION("""COMPUTED_VALUE"""),"сейчас")</f>
        <v>сейчас</v>
      </c>
      <c r="Z137" s="1" t="str">
        <f>IFERROR(__xludf.DUMMYFUNCTION("""COMPUTED_VALUE"""),"же")</f>
        <v>же</v>
      </c>
      <c r="AA137" s="1" t="str">
        <f>IFERROR(__xludf.DUMMYFUNCTION("""COMPUTED_VALUE"""),"улёгся")</f>
        <v>улёгся</v>
      </c>
    </row>
    <row r="138" ht="14.25" customHeight="1">
      <c r="A138" s="1" t="s">
        <v>1268</v>
      </c>
      <c r="B138" s="1" t="s">
        <v>923</v>
      </c>
      <c r="C138" s="2" t="s">
        <v>1269</v>
      </c>
      <c r="D138" s="7" t="s">
        <v>925</v>
      </c>
      <c r="E138" s="1" t="s">
        <v>25</v>
      </c>
      <c r="F138" s="4" t="s">
        <v>1270</v>
      </c>
      <c r="G138" s="7" t="s">
        <v>925</v>
      </c>
      <c r="H138" s="7" t="s">
        <v>1271</v>
      </c>
      <c r="I138" s="4" t="s">
        <v>1261</v>
      </c>
      <c r="J138" s="1" t="s">
        <v>1262</v>
      </c>
      <c r="K138" s="1" t="s">
        <v>1263</v>
      </c>
      <c r="L138" s="1" t="s">
        <v>1264</v>
      </c>
      <c r="M138" s="1" t="s">
        <v>1265</v>
      </c>
      <c r="N138" s="1" t="s">
        <v>139</v>
      </c>
      <c r="O138" s="1" t="s">
        <v>458</v>
      </c>
      <c r="Q138" s="1" t="s">
        <v>1266</v>
      </c>
      <c r="R138" s="1" t="s">
        <v>694</v>
      </c>
      <c r="S138" s="1" t="s">
        <v>273</v>
      </c>
      <c r="T138" s="1" t="s">
        <v>36</v>
      </c>
      <c r="U138" s="4" t="s">
        <v>1272</v>
      </c>
      <c r="V138" s="4" t="str">
        <f>IFERROR(__xludf.DUMMYFUNCTION("SPLIT(F138, "" "")"),"полиции")</f>
        <v>полиции</v>
      </c>
      <c r="W138" s="1" t="str">
        <f>IFERROR(__xludf.DUMMYFUNCTION("""COMPUTED_VALUE"""),"объявлять,")</f>
        <v>объявлять,</v>
      </c>
      <c r="X138" s="1" t="str">
        <f>IFERROR(__xludf.DUMMYFUNCTION("""COMPUTED_VALUE"""),"ну,")</f>
        <v>ну,</v>
      </c>
      <c r="Y138" s="1" t="str">
        <f>IFERROR(__xludf.DUMMYFUNCTION("""COMPUTED_VALUE"""),"а")</f>
        <v>а</v>
      </c>
      <c r="Z138" s="1" t="str">
        <f>IFERROR(__xludf.DUMMYFUNCTION("""COMPUTED_VALUE"""),"они")</f>
        <v>они</v>
      </c>
      <c r="AA138" s="1" t="str">
        <f>IFERROR(__xludf.DUMMYFUNCTION("""COMPUTED_VALUE"""),"в")</f>
        <v>в</v>
      </c>
    </row>
    <row r="139" ht="14.25" customHeight="1">
      <c r="A139" s="1" t="s">
        <v>1273</v>
      </c>
      <c r="B139" s="1" t="s">
        <v>1274</v>
      </c>
      <c r="C139" s="2" t="s">
        <v>1275</v>
      </c>
      <c r="D139" s="7" t="s">
        <v>1276</v>
      </c>
      <c r="E139" s="1" t="s">
        <v>25</v>
      </c>
      <c r="F139" s="4" t="s">
        <v>1277</v>
      </c>
      <c r="G139" s="7" t="s">
        <v>1276</v>
      </c>
      <c r="H139" s="7" t="s">
        <v>1278</v>
      </c>
      <c r="I139" s="4" t="s">
        <v>1279</v>
      </c>
      <c r="J139" s="1" t="s">
        <v>1280</v>
      </c>
      <c r="K139" s="1" t="s">
        <v>1281</v>
      </c>
      <c r="L139" s="1" t="s">
        <v>1282</v>
      </c>
      <c r="M139" s="1" t="s">
        <v>1283</v>
      </c>
      <c r="N139" s="1" t="s">
        <v>51</v>
      </c>
      <c r="O139" s="1" t="s">
        <v>1284</v>
      </c>
      <c r="P139" s="1" t="s">
        <v>81</v>
      </c>
      <c r="Q139" s="1" t="s">
        <v>1285</v>
      </c>
      <c r="R139" s="1" t="s">
        <v>364</v>
      </c>
      <c r="S139" s="1" t="s">
        <v>273</v>
      </c>
      <c r="T139" s="1" t="s">
        <v>36</v>
      </c>
      <c r="U139" s="4" t="s">
        <v>1286</v>
      </c>
      <c r="V139" s="4" t="str">
        <f>IFERROR(__xludf.DUMMYFUNCTION("SPLIT(F139, "" "")"),"внукам,")</f>
        <v>внукам,</v>
      </c>
      <c r="W139" s="1" t="str">
        <f>IFERROR(__xludf.DUMMYFUNCTION("""COMPUTED_VALUE"""),"лаская")</f>
        <v>лаская</v>
      </c>
      <c r="X139" s="1" t="str">
        <f>IFERROR(__xludf.DUMMYFUNCTION("""COMPUTED_VALUE"""),"их")</f>
        <v>их</v>
      </c>
      <c r="Y139" s="1" t="str">
        <f>IFERROR(__xludf.DUMMYFUNCTION("""COMPUTED_VALUE"""),"полумертвой")</f>
        <v>полумертвой</v>
      </c>
      <c r="Z139" s="1" t="str">
        <f>IFERROR(__xludf.DUMMYFUNCTION("""COMPUTED_VALUE"""),"рукой,")</f>
        <v>рукой,</v>
      </c>
      <c r="AA139" s="1" t="str">
        <f>IFERROR(__xludf.DUMMYFUNCTION("""COMPUTED_VALUE"""),"говаривал")</f>
        <v>говаривал</v>
      </c>
    </row>
    <row r="140" ht="14.25" customHeight="1">
      <c r="A140" s="1" t="s">
        <v>1287</v>
      </c>
      <c r="B140" s="1" t="s">
        <v>1288</v>
      </c>
      <c r="C140" s="2" t="s">
        <v>1289</v>
      </c>
      <c r="D140" s="7" t="s">
        <v>1290</v>
      </c>
      <c r="E140" s="1" t="s">
        <v>197</v>
      </c>
      <c r="F140" s="4" t="s">
        <v>1291</v>
      </c>
      <c r="G140" s="7" t="s">
        <v>1290</v>
      </c>
      <c r="H140" s="7" t="s">
        <v>473</v>
      </c>
      <c r="I140" s="4" t="s">
        <v>1292</v>
      </c>
      <c r="J140" s="1" t="s">
        <v>1293</v>
      </c>
      <c r="K140" s="1" t="s">
        <v>1294</v>
      </c>
      <c r="L140" s="1" t="s">
        <v>1295</v>
      </c>
      <c r="M140" s="1" t="s">
        <v>1241</v>
      </c>
      <c r="N140" s="1" t="s">
        <v>139</v>
      </c>
      <c r="O140" s="1" t="s">
        <v>1296</v>
      </c>
      <c r="Q140" s="1" t="s">
        <v>1297</v>
      </c>
      <c r="R140" s="1" t="s">
        <v>1298</v>
      </c>
      <c r="S140" s="1" t="s">
        <v>273</v>
      </c>
      <c r="T140" s="1" t="s">
        <v>36</v>
      </c>
      <c r="U140" s="4" t="s">
        <v>1299</v>
      </c>
      <c r="V140" s="4" t="str">
        <f>IFERROR(__xludf.DUMMYFUNCTION("SPLIT(F140, "" "")"),"отцу")</f>
        <v>отцу</v>
      </c>
      <c r="W140" s="1" t="str">
        <f>IFERROR(__xludf.DUMMYFUNCTION("""COMPUTED_VALUE"""),"с")</f>
        <v>с</v>
      </c>
      <c r="X140" s="1" t="str">
        <f>IFERROR(__xludf.DUMMYFUNCTION("""COMPUTED_VALUE"""),"матерью")</f>
        <v>матерью</v>
      </c>
      <c r="Y140" s="1" t="str">
        <f>IFERROR(__xludf.DUMMYFUNCTION("""COMPUTED_VALUE"""),"и")</f>
        <v>и</v>
      </c>
      <c r="Z140" s="1" t="str">
        <f>IFERROR(__xludf.DUMMYFUNCTION("""COMPUTED_VALUE"""),"дела")</f>
        <v>дела</v>
      </c>
      <c r="AA140" s="1" t="str">
        <f>IFERROR(__xludf.DUMMYFUNCTION("""COMPUTED_VALUE"""),"нет.")</f>
        <v>нет.</v>
      </c>
    </row>
    <row r="141" ht="14.25" customHeight="1">
      <c r="A141" s="1" t="s">
        <v>1300</v>
      </c>
      <c r="B141" s="1" t="s">
        <v>1301</v>
      </c>
      <c r="C141" s="2" t="s">
        <v>1302</v>
      </c>
      <c r="D141" s="7" t="s">
        <v>1303</v>
      </c>
      <c r="E141" s="1" t="s">
        <v>25</v>
      </c>
      <c r="F141" s="4" t="s">
        <v>1304</v>
      </c>
      <c r="G141" s="7" t="s">
        <v>1303</v>
      </c>
      <c r="H141" s="7" t="s">
        <v>1305</v>
      </c>
      <c r="I141" s="4" t="s">
        <v>1292</v>
      </c>
      <c r="J141" s="1" t="s">
        <v>1293</v>
      </c>
      <c r="K141" s="1" t="s">
        <v>1294</v>
      </c>
      <c r="L141" s="1" t="s">
        <v>1295</v>
      </c>
      <c r="M141" s="1" t="s">
        <v>1241</v>
      </c>
      <c r="N141" s="1" t="s">
        <v>139</v>
      </c>
      <c r="O141" s="1" t="s">
        <v>1296</v>
      </c>
      <c r="Q141" s="1" t="s">
        <v>1297</v>
      </c>
      <c r="R141" s="1" t="s">
        <v>1298</v>
      </c>
      <c r="S141" s="1" t="s">
        <v>273</v>
      </c>
      <c r="T141" s="1" t="s">
        <v>36</v>
      </c>
      <c r="U141" s="4" t="s">
        <v>1306</v>
      </c>
      <c r="V141" s="4" t="str">
        <f>IFERROR(__xludf.DUMMYFUNCTION("SPLIT(F141, "" "")"),"премудрости:")</f>
        <v>премудрости:</v>
      </c>
      <c r="W141" s="1" t="str">
        <f>IFERROR(__xludf.DUMMYFUNCTION("""COMPUTED_VALUE"""),"""с")</f>
        <v>"с</v>
      </c>
      <c r="X141" s="1" t="str">
        <f>IFERROR(__xludf.DUMMYFUNCTION("""COMPUTED_VALUE"""),"полночных")</f>
        <v>полночных</v>
      </c>
      <c r="Y141" s="1" t="str">
        <f>IFERROR(__xludf.DUMMYFUNCTION("""COMPUTED_VALUE"""),"стран")</f>
        <v>стран</v>
      </c>
      <c r="Z141" s="1" t="str">
        <f>IFERROR(__xludf.DUMMYFUNCTION("""COMPUTED_VALUE"""),"встаёт")</f>
        <v>встаёт</v>
      </c>
      <c r="AA141" s="1" t="str">
        <f>IFERROR(__xludf.DUMMYFUNCTION("""COMPUTED_VALUE"""),"заря")</f>
        <v>заря</v>
      </c>
    </row>
    <row r="142" ht="14.25" customHeight="1">
      <c r="A142" s="1" t="s">
        <v>1307</v>
      </c>
      <c r="B142" s="1" t="s">
        <v>1308</v>
      </c>
      <c r="C142" s="2" t="s">
        <v>1309</v>
      </c>
      <c r="D142" s="7" t="s">
        <v>1310</v>
      </c>
      <c r="E142" s="1" t="s">
        <v>25</v>
      </c>
      <c r="F142" s="4" t="s">
        <v>1311</v>
      </c>
      <c r="G142" s="7" t="s">
        <v>1310</v>
      </c>
      <c r="H142" s="7" t="s">
        <v>1312</v>
      </c>
      <c r="I142" s="4" t="s">
        <v>1292</v>
      </c>
      <c r="J142" s="1" t="s">
        <v>1293</v>
      </c>
      <c r="K142" s="1" t="s">
        <v>1294</v>
      </c>
      <c r="L142" s="1" t="s">
        <v>1295</v>
      </c>
      <c r="M142" s="1" t="s">
        <v>1241</v>
      </c>
      <c r="N142" s="1" t="s">
        <v>139</v>
      </c>
      <c r="O142" s="1" t="s">
        <v>1296</v>
      </c>
      <c r="Q142" s="1" t="s">
        <v>1297</v>
      </c>
      <c r="R142" s="1" t="s">
        <v>1298</v>
      </c>
      <c r="S142" s="1" t="s">
        <v>273</v>
      </c>
      <c r="T142" s="1" t="s">
        <v>36</v>
      </c>
      <c r="U142" s="4" t="s">
        <v>1313</v>
      </c>
      <c r="V142" s="4" t="str">
        <f>IFERROR(__xludf.DUMMYFUNCTION("SPLIT(F142, "" "")"),"красоте-то")</f>
        <v>красоте-то</v>
      </c>
      <c r="W142" s="1" t="str">
        <f>IFERROR(__xludf.DUMMYFUNCTION("""COMPUTED_VALUE"""),"своей.")</f>
        <v>своей.</v>
      </c>
    </row>
    <row r="143" ht="14.25" customHeight="1">
      <c r="A143" s="1" t="s">
        <v>1314</v>
      </c>
      <c r="B143" s="1" t="s">
        <v>1315</v>
      </c>
      <c r="C143" s="2" t="s">
        <v>1316</v>
      </c>
      <c r="D143" s="7" t="s">
        <v>1317</v>
      </c>
      <c r="E143" s="1" t="s">
        <v>25</v>
      </c>
      <c r="F143" s="4" t="s">
        <v>1318</v>
      </c>
      <c r="G143" s="7" t="s">
        <v>1317</v>
      </c>
      <c r="H143" s="7" t="s">
        <v>1319</v>
      </c>
      <c r="I143" s="4" t="s">
        <v>1320</v>
      </c>
      <c r="J143" s="1" t="s">
        <v>1321</v>
      </c>
      <c r="K143" s="1" t="s">
        <v>1322</v>
      </c>
      <c r="L143" s="1" t="s">
        <v>1323</v>
      </c>
      <c r="M143" s="1" t="s">
        <v>1324</v>
      </c>
      <c r="N143" s="1" t="s">
        <v>139</v>
      </c>
      <c r="O143" s="1" t="s">
        <v>285</v>
      </c>
      <c r="Q143" s="1" t="s">
        <v>1325</v>
      </c>
      <c r="R143" s="1" t="s">
        <v>733</v>
      </c>
      <c r="S143" s="1" t="s">
        <v>273</v>
      </c>
      <c r="T143" s="1" t="s">
        <v>36</v>
      </c>
      <c r="U143" s="4" t="s">
        <v>1326</v>
      </c>
      <c r="V143" s="4" t="str">
        <f>IFERROR(__xludf.DUMMYFUNCTION("SPLIT(F143, "" "")"),"смышлёности")</f>
        <v>смышлёности</v>
      </c>
      <c r="W143" s="1" t="str">
        <f>IFERROR(__xludf.DUMMYFUNCTION("""COMPUTED_VALUE"""),"местных")</f>
        <v>местных</v>
      </c>
      <c r="X143" s="1" t="str">
        <f>IFERROR(__xludf.DUMMYFUNCTION("""COMPUTED_VALUE"""),"жителей.")</f>
        <v>жителей.</v>
      </c>
    </row>
    <row r="144" ht="14.25" customHeight="1">
      <c r="A144" s="1" t="s">
        <v>1327</v>
      </c>
      <c r="B144" s="1" t="s">
        <v>1328</v>
      </c>
      <c r="C144" s="2" t="s">
        <v>1329</v>
      </c>
      <c r="D144" s="7" t="s">
        <v>1330</v>
      </c>
      <c r="E144" s="1" t="s">
        <v>25</v>
      </c>
      <c r="F144" s="4" t="s">
        <v>1331</v>
      </c>
      <c r="G144" s="7" t="s">
        <v>1330</v>
      </c>
      <c r="H144" s="7" t="s">
        <v>1332</v>
      </c>
      <c r="I144" s="4" t="s">
        <v>1333</v>
      </c>
      <c r="J144" s="1" t="s">
        <v>1334</v>
      </c>
      <c r="K144" s="1" t="s">
        <v>1335</v>
      </c>
      <c r="L144" s="1" t="s">
        <v>1336</v>
      </c>
      <c r="M144" s="1" t="s">
        <v>1337</v>
      </c>
      <c r="N144" s="1" t="s">
        <v>51</v>
      </c>
      <c r="O144" s="1" t="s">
        <v>67</v>
      </c>
      <c r="P144" s="1" t="s">
        <v>53</v>
      </c>
      <c r="S144" s="1" t="s">
        <v>273</v>
      </c>
      <c r="T144" s="1" t="s">
        <v>36</v>
      </c>
      <c r="U144" s="4" t="s">
        <v>1338</v>
      </c>
      <c r="V144" s="4" t="str">
        <f>IFERROR(__xludf.DUMMYFUNCTION("SPLIT(F144, "" "")"),"появлению")</f>
        <v>появлению</v>
      </c>
      <c r="W144" s="1" t="str">
        <f>IFERROR(__xludf.DUMMYFUNCTION("""COMPUTED_VALUE"""),"таких")</f>
        <v>таких</v>
      </c>
      <c r="X144" s="1" t="str">
        <f>IFERROR(__xludf.DUMMYFUNCTION("""COMPUTED_VALUE"""),"сочинений,")</f>
        <v>сочинений,</v>
      </c>
      <c r="Y144" s="1" t="str">
        <f>IFERROR(__xludf.DUMMYFUNCTION("""COMPUTED_VALUE"""),"как")</f>
        <v>как</v>
      </c>
      <c r="Z144" s="1" t="str">
        <f>IFERROR(__xludf.DUMMYFUNCTION("""COMPUTED_VALUE"""),"""Русские")</f>
        <v>"Русские</v>
      </c>
      <c r="AA144" s="1" t="str">
        <f>IFERROR(__xludf.DUMMYFUNCTION("""COMPUTED_VALUE"""),"в")</f>
        <v>в</v>
      </c>
    </row>
    <row r="145" ht="14.25" customHeight="1">
      <c r="A145" s="1" t="s">
        <v>1339</v>
      </c>
      <c r="B145" s="1" t="s">
        <v>1340</v>
      </c>
      <c r="C145" s="2" t="s">
        <v>1341</v>
      </c>
      <c r="D145" s="7" t="s">
        <v>1342</v>
      </c>
      <c r="E145" s="1" t="s">
        <v>25</v>
      </c>
      <c r="F145" s="4" t="s">
        <v>1343</v>
      </c>
      <c r="G145" s="7" t="s">
        <v>1342</v>
      </c>
      <c r="H145" s="7" t="s">
        <v>1344</v>
      </c>
      <c r="I145" s="4" t="s">
        <v>1345</v>
      </c>
      <c r="J145" s="1" t="s">
        <v>1321</v>
      </c>
      <c r="K145" s="1" t="s">
        <v>1322</v>
      </c>
      <c r="L145" s="1" t="s">
        <v>1346</v>
      </c>
      <c r="M145" s="1" t="s">
        <v>1347</v>
      </c>
      <c r="N145" s="1" t="s">
        <v>139</v>
      </c>
      <c r="O145" s="1" t="s">
        <v>458</v>
      </c>
      <c r="Q145" s="1" t="s">
        <v>1348</v>
      </c>
      <c r="R145" s="1" t="s">
        <v>366</v>
      </c>
      <c r="S145" s="1" t="s">
        <v>273</v>
      </c>
      <c r="T145" s="1" t="s">
        <v>36</v>
      </c>
      <c r="U145" s="4" t="s">
        <v>1349</v>
      </c>
      <c r="V145" s="4" t="str">
        <f>IFERROR(__xludf.DUMMYFUNCTION("SPLIT(F145, "" "")"),"чертам.")</f>
        <v>чертам.</v>
      </c>
    </row>
    <row r="146" ht="14.25" customHeight="1">
      <c r="A146" s="1" t="s">
        <v>1350</v>
      </c>
      <c r="B146" s="1" t="s">
        <v>1351</v>
      </c>
      <c r="C146" s="2" t="s">
        <v>1352</v>
      </c>
      <c r="D146" s="7" t="s">
        <v>1353</v>
      </c>
      <c r="E146" s="1" t="s">
        <v>25</v>
      </c>
      <c r="F146" s="4" t="s">
        <v>1354</v>
      </c>
      <c r="G146" s="7" t="s">
        <v>1353</v>
      </c>
      <c r="H146" s="7" t="s">
        <v>1355</v>
      </c>
      <c r="I146" s="4" t="s">
        <v>1356</v>
      </c>
      <c r="J146" s="1" t="s">
        <v>1357</v>
      </c>
      <c r="K146" s="1" t="s">
        <v>1358</v>
      </c>
      <c r="L146" s="1" t="s">
        <v>1359</v>
      </c>
      <c r="M146" s="1" t="s">
        <v>1360</v>
      </c>
      <c r="N146" s="1" t="s">
        <v>139</v>
      </c>
      <c r="O146" s="1" t="s">
        <v>285</v>
      </c>
      <c r="Q146" s="1" t="s">
        <v>1361</v>
      </c>
      <c r="R146" s="1" t="s">
        <v>1362</v>
      </c>
      <c r="S146" s="1" t="s">
        <v>273</v>
      </c>
      <c r="T146" s="1" t="s">
        <v>36</v>
      </c>
      <c r="U146" s="4" t="s">
        <v>1363</v>
      </c>
      <c r="V146" s="4" t="str">
        <f>IFERROR(__xludf.DUMMYFUNCTION("SPLIT(F146, "" "")"),"опыту")</f>
        <v>опыту</v>
      </c>
      <c r="W146" s="1" t="str">
        <f>IFERROR(__xludf.DUMMYFUNCTION("""COMPUTED_VALUE"""),"других.")</f>
        <v>других.</v>
      </c>
    </row>
    <row r="147" ht="14.25" customHeight="1">
      <c r="A147" s="1" t="s">
        <v>1364</v>
      </c>
      <c r="B147" s="1" t="s">
        <v>1365</v>
      </c>
      <c r="C147" s="2" t="s">
        <v>1366</v>
      </c>
      <c r="D147" s="7" t="s">
        <v>1367</v>
      </c>
      <c r="E147" s="1" t="s">
        <v>25</v>
      </c>
      <c r="F147" s="4" t="s">
        <v>1368</v>
      </c>
      <c r="G147" s="7" t="s">
        <v>1367</v>
      </c>
      <c r="H147" s="7" t="s">
        <v>1369</v>
      </c>
      <c r="I147" s="4" t="s">
        <v>1370</v>
      </c>
      <c r="J147" s="1" t="s">
        <v>1371</v>
      </c>
      <c r="K147" s="1" t="s">
        <v>1372</v>
      </c>
      <c r="L147" s="1" t="s">
        <v>1373</v>
      </c>
      <c r="M147" s="1" t="s">
        <v>1374</v>
      </c>
      <c r="N147" s="1" t="s">
        <v>51</v>
      </c>
      <c r="O147" s="1" t="s">
        <v>1375</v>
      </c>
      <c r="P147" s="1" t="s">
        <v>1376</v>
      </c>
      <c r="Q147" s="1" t="s">
        <v>1377</v>
      </c>
      <c r="R147" s="1" t="s">
        <v>1378</v>
      </c>
      <c r="S147" s="1" t="s">
        <v>273</v>
      </c>
      <c r="T147" s="1" t="s">
        <v>36</v>
      </c>
      <c r="U147" s="4" t="s">
        <v>1379</v>
      </c>
      <c r="V147" s="4" t="str">
        <f>IFERROR(__xludf.DUMMYFUNCTION("SPLIT(F147, "" "")"),"людям,")</f>
        <v>людям,</v>
      </c>
      <c r="W147" s="1" t="str">
        <f>IFERROR(__xludf.DUMMYFUNCTION("""COMPUTED_VALUE"""),"которые")</f>
        <v>которые</v>
      </c>
      <c r="X147" s="1" t="str">
        <f>IFERROR(__xludf.DUMMYFUNCTION("""COMPUTED_VALUE"""),"не")</f>
        <v>не</v>
      </c>
      <c r="Y147" s="1" t="str">
        <f>IFERROR(__xludf.DUMMYFUNCTION("""COMPUTED_VALUE"""),"готовятся")</f>
        <v>готовятся</v>
      </c>
      <c r="Z147" s="1" t="str">
        <f>IFERROR(__xludf.DUMMYFUNCTION("""COMPUTED_VALUE"""),"быть")</f>
        <v>быть</v>
      </c>
      <c r="AA147" s="1" t="str">
        <f>IFERROR(__xludf.DUMMYFUNCTION("""COMPUTED_VALUE"""),"ораторами")</f>
        <v>ораторами</v>
      </c>
    </row>
    <row r="148" ht="14.25" customHeight="1">
      <c r="A148" s="1" t="s">
        <v>1380</v>
      </c>
      <c r="B148" s="1" t="s">
        <v>1092</v>
      </c>
      <c r="C148" s="2" t="s">
        <v>1381</v>
      </c>
      <c r="D148" s="7" t="s">
        <v>1094</v>
      </c>
      <c r="E148" s="1" t="s">
        <v>25</v>
      </c>
      <c r="F148" s="4" t="s">
        <v>1382</v>
      </c>
      <c r="G148" s="7" t="s">
        <v>1094</v>
      </c>
      <c r="H148" s="7" t="s">
        <v>575</v>
      </c>
      <c r="I148" s="4" t="s">
        <v>1383</v>
      </c>
      <c r="J148" s="1" t="s">
        <v>1384</v>
      </c>
      <c r="K148" s="1" t="s">
        <v>1385</v>
      </c>
      <c r="L148" s="1" t="s">
        <v>1386</v>
      </c>
      <c r="M148" s="1" t="s">
        <v>1387</v>
      </c>
      <c r="N148" s="1" t="s">
        <v>139</v>
      </c>
      <c r="O148" s="1" t="s">
        <v>285</v>
      </c>
      <c r="Q148" s="1" t="s">
        <v>1388</v>
      </c>
      <c r="R148" s="1" t="s">
        <v>1389</v>
      </c>
      <c r="S148" s="1" t="s">
        <v>273</v>
      </c>
      <c r="T148" s="1" t="s">
        <v>36</v>
      </c>
      <c r="U148" s="4" t="s">
        <v>1390</v>
      </c>
      <c r="V148" s="4" t="str">
        <f>IFERROR(__xludf.DUMMYFUNCTION("SPLIT(F148, "" "")"),"случаю")</f>
        <v>случаю</v>
      </c>
      <c r="W148" s="1" t="str">
        <f>IFERROR(__xludf.DUMMYFUNCTION("""COMPUTED_VALUE"""),"выдать")</f>
        <v>выдать</v>
      </c>
      <c r="X148" s="1" t="str">
        <f>IFERROR(__xludf.DUMMYFUNCTION("""COMPUTED_VALUE"""),"свою")</f>
        <v>свою</v>
      </c>
      <c r="Y148" s="1" t="str">
        <f>IFERROR(__xludf.DUMMYFUNCTION("""COMPUTED_VALUE"""),"дочь")</f>
        <v>дочь</v>
      </c>
      <c r="Z148" s="1" t="str">
        <f>IFERROR(__xludf.DUMMYFUNCTION("""COMPUTED_VALUE"""),"выгодным")</f>
        <v>выгодным</v>
      </c>
      <c r="AA148" s="1" t="str">
        <f>IFERROR(__xludf.DUMMYFUNCTION("""COMPUTED_VALUE"""),"образом.")</f>
        <v>образом.</v>
      </c>
    </row>
    <row r="149" ht="14.25" customHeight="1">
      <c r="A149" s="1" t="s">
        <v>1391</v>
      </c>
      <c r="B149" s="1" t="s">
        <v>1392</v>
      </c>
      <c r="C149" s="2" t="s">
        <v>1393</v>
      </c>
      <c r="D149" s="7" t="s">
        <v>1394</v>
      </c>
      <c r="E149" s="1" t="s">
        <v>25</v>
      </c>
      <c r="F149" s="4" t="s">
        <v>1395</v>
      </c>
      <c r="G149" s="7" t="s">
        <v>1394</v>
      </c>
      <c r="H149" s="7" t="s">
        <v>1396</v>
      </c>
      <c r="I149" s="4" t="s">
        <v>1397</v>
      </c>
      <c r="J149" s="1" t="s">
        <v>1384</v>
      </c>
      <c r="K149" s="1" t="s">
        <v>1385</v>
      </c>
      <c r="L149" s="1" t="s">
        <v>1398</v>
      </c>
      <c r="M149" s="1" t="s">
        <v>1399</v>
      </c>
      <c r="N149" s="1" t="s">
        <v>139</v>
      </c>
      <c r="O149" s="1" t="s">
        <v>367</v>
      </c>
      <c r="Q149" s="1" t="s">
        <v>1388</v>
      </c>
      <c r="R149" s="1" t="s">
        <v>1389</v>
      </c>
      <c r="S149" s="1" t="s">
        <v>273</v>
      </c>
      <c r="T149" s="1" t="s">
        <v>36</v>
      </c>
      <c r="U149" s="4" t="s">
        <v>1400</v>
      </c>
      <c r="V149" s="4" t="str">
        <f>IFERROR(__xludf.DUMMYFUNCTION("SPLIT(F149, "" "")"),"исступлению")</f>
        <v>исступлению</v>
      </c>
      <c r="W149" s="1" t="str">
        <f>IFERROR(__xludf.DUMMYFUNCTION("""COMPUTED_VALUE"""),"его")</f>
        <v>его</v>
      </c>
      <c r="X149" s="1" t="str">
        <f>IFERROR(__xludf.DUMMYFUNCTION("""COMPUTED_VALUE"""),"страсти,")</f>
        <v>страсти,</v>
      </c>
      <c r="Y149" s="1" t="str">
        <f>IFERROR(__xludf.DUMMYFUNCTION("""COMPUTED_VALUE"""),"хотела")</f>
        <v>хотела</v>
      </c>
      <c r="Z149" s="1" t="str">
        <f>IFERROR(__xludf.DUMMYFUNCTION("""COMPUTED_VALUE"""),"противуставить")</f>
        <v>противуставить</v>
      </c>
      <c r="AA149" s="1" t="str">
        <f>IFERROR(__xludf.DUMMYFUNCTION("""COMPUTED_VALUE"""),"ей")</f>
        <v>ей</v>
      </c>
    </row>
    <row r="150" ht="14.25" customHeight="1">
      <c r="A150" s="1" t="s">
        <v>1401</v>
      </c>
      <c r="B150" s="1" t="s">
        <v>720</v>
      </c>
      <c r="C150" s="2" t="s">
        <v>1402</v>
      </c>
      <c r="D150" s="7" t="s">
        <v>722</v>
      </c>
      <c r="E150" s="1" t="s">
        <v>25</v>
      </c>
      <c r="F150" s="4" t="s">
        <v>1403</v>
      </c>
      <c r="G150" s="7" t="s">
        <v>722</v>
      </c>
      <c r="H150" s="7" t="s">
        <v>1404</v>
      </c>
      <c r="I150" s="4" t="s">
        <v>1405</v>
      </c>
      <c r="J150" s="1" t="s">
        <v>1406</v>
      </c>
      <c r="K150" s="1" t="s">
        <v>1407</v>
      </c>
      <c r="L150" s="1" t="s">
        <v>1408</v>
      </c>
      <c r="M150" s="1" t="s">
        <v>1409</v>
      </c>
      <c r="N150" s="1" t="s">
        <v>51</v>
      </c>
      <c r="O150" s="1" t="s">
        <v>271</v>
      </c>
      <c r="Q150" s="1" t="s">
        <v>1410</v>
      </c>
      <c r="R150" s="1" t="s">
        <v>518</v>
      </c>
      <c r="S150" s="1" t="s">
        <v>273</v>
      </c>
      <c r="T150" s="1" t="s">
        <v>36</v>
      </c>
      <c r="U150" s="4" t="s">
        <v>1411</v>
      </c>
      <c r="V150" s="4" t="str">
        <f>IFERROR(__xludf.DUMMYFUNCTION("SPLIT(F150, "" "")"),"господину")</f>
        <v>господину</v>
      </c>
      <c r="W150" s="1" t="str">
        <f>IFERROR(__xludf.DUMMYFUNCTION("""COMPUTED_VALUE"""),"Яковлеву")</f>
        <v>Яковлеву</v>
      </c>
      <c r="X150" s="1" t="str">
        <f>IFERROR(__xludf.DUMMYFUNCTION("""COMPUTED_VALUE"""),"дать")</f>
        <v>дать</v>
      </c>
      <c r="Y150" s="1" t="str">
        <f>IFERROR(__xludf.DUMMYFUNCTION("""COMPUTED_VALUE"""),"мне")</f>
        <v>мне</v>
      </c>
      <c r="Z150" s="1" t="str">
        <f>IFERROR(__xludf.DUMMYFUNCTION("""COMPUTED_VALUE"""),"при")</f>
        <v>при</v>
      </c>
      <c r="AA150" s="1" t="str">
        <f>IFERROR(__xludf.DUMMYFUNCTION("""COMPUTED_VALUE"""),"отставке")</f>
        <v>отставке</v>
      </c>
    </row>
    <row r="151" ht="14.25" customHeight="1">
      <c r="A151" s="1" t="s">
        <v>25</v>
      </c>
      <c r="B151" s="1" t="s">
        <v>1412</v>
      </c>
      <c r="C151" s="2"/>
      <c r="D151" s="7" t="s">
        <v>1413</v>
      </c>
      <c r="E151" s="1" t="s">
        <v>25</v>
      </c>
      <c r="F151" s="4" t="s">
        <v>1414</v>
      </c>
      <c r="G151" s="7" t="s">
        <v>1413</v>
      </c>
      <c r="H151" s="7" t="s">
        <v>1415</v>
      </c>
      <c r="I151" s="4" t="s">
        <v>1416</v>
      </c>
      <c r="J151" s="1" t="s">
        <v>1417</v>
      </c>
      <c r="K151" s="1" t="s">
        <v>1418</v>
      </c>
      <c r="L151" s="1" t="s">
        <v>1419</v>
      </c>
      <c r="M151" s="1" t="s">
        <v>1420</v>
      </c>
      <c r="N151" s="1" t="s">
        <v>139</v>
      </c>
      <c r="O151" s="1" t="s">
        <v>285</v>
      </c>
      <c r="Q151" s="1" t="s">
        <v>1421</v>
      </c>
      <c r="R151" s="1" t="s">
        <v>692</v>
      </c>
      <c r="S151" s="1" t="s">
        <v>273</v>
      </c>
      <c r="T151" s="1" t="s">
        <v>36</v>
      </c>
      <c r="U151" s="4" t="s">
        <v>1422</v>
      </c>
      <c r="V151" s="4" t="str">
        <f>IFERROR(__xludf.DUMMYFUNCTION("SPLIT(F151, "" "")"),"сновидению")</f>
        <v>сновидению</v>
      </c>
      <c r="W151" s="1" t="str">
        <f>IFERROR(__xludf.DUMMYFUNCTION("""COMPUTED_VALUE"""),"своему,")</f>
        <v>своему,</v>
      </c>
      <c r="X151" s="1" t="str">
        <f>IFERROR(__xludf.DUMMYFUNCTION("""COMPUTED_VALUE"""),"но")</f>
        <v>но</v>
      </c>
      <c r="Y151" s="1" t="str">
        <f>IFERROR(__xludf.DUMMYFUNCTION("""COMPUTED_VALUE"""),"ещё")</f>
        <v>ещё</v>
      </c>
      <c r="Z151" s="1" t="str">
        <f>IFERROR(__xludf.DUMMYFUNCTION("""COMPUTED_VALUE"""),"больше")</f>
        <v>больше</v>
      </c>
      <c r="AA151" s="1" t="str">
        <f>IFERROR(__xludf.DUMMYFUNCTION("""COMPUTED_VALUE"""),"дивится")</f>
        <v>дивится</v>
      </c>
    </row>
    <row r="152" ht="14.25" customHeight="1">
      <c r="A152" s="1" t="s">
        <v>1423</v>
      </c>
      <c r="B152" s="1" t="s">
        <v>1424</v>
      </c>
      <c r="C152" s="2" t="s">
        <v>1425</v>
      </c>
      <c r="D152" s="7" t="s">
        <v>1426</v>
      </c>
      <c r="E152" s="1" t="s">
        <v>25</v>
      </c>
      <c r="F152" s="4" t="s">
        <v>1427</v>
      </c>
      <c r="G152" s="7" t="s">
        <v>1426</v>
      </c>
      <c r="H152" s="7" t="s">
        <v>1428</v>
      </c>
      <c r="I152" s="4" t="s">
        <v>1429</v>
      </c>
      <c r="J152" s="1" t="s">
        <v>1417</v>
      </c>
      <c r="K152" s="1" t="s">
        <v>1418</v>
      </c>
      <c r="L152" s="1" t="s">
        <v>1430</v>
      </c>
      <c r="M152" s="1" t="s">
        <v>1431</v>
      </c>
      <c r="N152" s="1" t="s">
        <v>139</v>
      </c>
      <c r="O152" s="1" t="s">
        <v>1432</v>
      </c>
      <c r="Q152" s="1" t="s">
        <v>1421</v>
      </c>
      <c r="R152" s="1" t="s">
        <v>692</v>
      </c>
      <c r="S152" s="1" t="s">
        <v>273</v>
      </c>
      <c r="T152" s="1" t="s">
        <v>36</v>
      </c>
      <c r="U152" s="4" t="s">
        <v>1433</v>
      </c>
      <c r="V152" s="4" t="str">
        <f>IFERROR(__xludf.DUMMYFUNCTION("SPLIT(F152, "" "")"),"великости")</f>
        <v>великости</v>
      </c>
      <c r="W152" s="1" t="str">
        <f>IFERROR(__xludf.DUMMYFUNCTION("""COMPUTED_VALUE"""),"твоего")</f>
        <v>твоего</v>
      </c>
      <c r="X152" s="1" t="str">
        <f>IFERROR(__xludf.DUMMYFUNCTION("""COMPUTED_VALUE"""),"духа")</f>
        <v>духа</v>
      </c>
      <c r="Y152" s="1" t="str">
        <f>IFERROR(__xludf.DUMMYFUNCTION("""COMPUTED_VALUE"""),"и")</f>
        <v>и</v>
      </c>
      <c r="Z152" s="1" t="str">
        <f>IFERROR(__xludf.DUMMYFUNCTION("""COMPUTED_VALUE"""),"разума,")</f>
        <v>разума,</v>
      </c>
      <c r="AA152" s="1" t="str">
        <f>IFERROR(__xludf.DUMMYFUNCTION("""COMPUTED_VALUE"""),"был")</f>
        <v>был</v>
      </c>
    </row>
    <row r="153" ht="14.25" customHeight="1">
      <c r="A153" s="1" t="s">
        <v>1434</v>
      </c>
      <c r="B153" s="1" t="s">
        <v>1435</v>
      </c>
      <c r="C153" s="2" t="s">
        <v>1436</v>
      </c>
      <c r="D153" s="7" t="s">
        <v>1437</v>
      </c>
      <c r="E153" s="1" t="s">
        <v>25</v>
      </c>
      <c r="F153" s="4" t="s">
        <v>1438</v>
      </c>
      <c r="G153" s="7" t="s">
        <v>1437</v>
      </c>
      <c r="H153" s="7" t="s">
        <v>1439</v>
      </c>
      <c r="I153" s="4" t="s">
        <v>1440</v>
      </c>
      <c r="J153" s="1" t="s">
        <v>1441</v>
      </c>
      <c r="K153" s="1" t="s">
        <v>1442</v>
      </c>
      <c r="L153" s="1" t="s">
        <v>1443</v>
      </c>
      <c r="M153" s="1" t="s">
        <v>1444</v>
      </c>
      <c r="N153" s="1" t="s">
        <v>139</v>
      </c>
      <c r="O153" s="1" t="s">
        <v>1296</v>
      </c>
      <c r="Q153" s="1" t="s">
        <v>1445</v>
      </c>
      <c r="R153" s="1" t="s">
        <v>202</v>
      </c>
      <c r="S153" s="1" t="s">
        <v>273</v>
      </c>
      <c r="T153" s="1" t="s">
        <v>36</v>
      </c>
      <c r="U153" s="4" t="s">
        <v>1446</v>
      </c>
      <c r="V153" s="4" t="str">
        <f>IFERROR(__xludf.DUMMYFUNCTION("SPLIT(F153, "" "")"),"веселью")</f>
        <v>веселью</v>
      </c>
      <c r="W153" s="1" t="str">
        <f>IFERROR(__xludf.DUMMYFUNCTION("""COMPUTED_VALUE"""),"госпожи")</f>
        <v>госпожи</v>
      </c>
      <c r="X153" s="1" t="str">
        <f>IFERROR(__xludf.DUMMYFUNCTION("""COMPUTED_VALUE"""),"своей.")</f>
        <v>своей.</v>
      </c>
    </row>
    <row r="154" ht="14.25" customHeight="1">
      <c r="A154" s="1" t="s">
        <v>1447</v>
      </c>
      <c r="B154" s="1" t="s">
        <v>1448</v>
      </c>
      <c r="C154" s="2" t="s">
        <v>1449</v>
      </c>
      <c r="D154" s="7" t="s">
        <v>1450</v>
      </c>
      <c r="E154" s="1" t="s">
        <v>25</v>
      </c>
      <c r="F154" s="4" t="s">
        <v>1451</v>
      </c>
      <c r="G154" s="7" t="s">
        <v>1450</v>
      </c>
      <c r="H154" s="7" t="s">
        <v>1452</v>
      </c>
      <c r="I154" s="4" t="s">
        <v>1453</v>
      </c>
      <c r="J154" s="1" t="s">
        <v>1454</v>
      </c>
      <c r="K154" s="1" t="s">
        <v>797</v>
      </c>
      <c r="L154" s="1" t="s">
        <v>1455</v>
      </c>
      <c r="M154" s="1" t="s">
        <v>1456</v>
      </c>
      <c r="N154" s="1" t="s">
        <v>51</v>
      </c>
      <c r="O154" s="1" t="s">
        <v>67</v>
      </c>
      <c r="P154" s="1" t="s">
        <v>1457</v>
      </c>
      <c r="S154" s="1" t="s">
        <v>56</v>
      </c>
      <c r="T154" s="1" t="s">
        <v>1458</v>
      </c>
      <c r="U154" s="4" t="s">
        <v>1459</v>
      </c>
      <c r="V154" s="4" t="str">
        <f>IFERROR(__xludf.DUMMYFUNCTION("SPLIT(F154, "" "")"),"словам")</f>
        <v>словам</v>
      </c>
      <c r="W154" s="1" t="str">
        <f>IFERROR(__xludf.DUMMYFUNCTION("""COMPUTED_VALUE"""),"лукавого")</f>
        <v>лукавого</v>
      </c>
      <c r="X154" s="1" t="str">
        <f>IFERROR(__xludf.DUMMYFUNCTION("""COMPUTED_VALUE"""),"сплетника")</f>
        <v>сплетника</v>
      </c>
      <c r="Y154" s="1" t="str">
        <f>IFERROR(__xludf.DUMMYFUNCTION("""COMPUTED_VALUE"""),"Иванова")</f>
        <v>Иванова</v>
      </c>
      <c r="Z154" s="1" t="str">
        <f>IFERROR(__xludf.DUMMYFUNCTION("""COMPUTED_VALUE"""),"не")</f>
        <v>не</v>
      </c>
      <c r="AA154" s="1" t="str">
        <f>IFERROR(__xludf.DUMMYFUNCTION("""COMPUTED_VALUE"""),"всегда")</f>
        <v>всегда</v>
      </c>
    </row>
    <row r="155" ht="14.25" customHeight="1">
      <c r="A155" s="1" t="s">
        <v>1460</v>
      </c>
      <c r="B155" s="1" t="s">
        <v>462</v>
      </c>
      <c r="C155" s="2" t="s">
        <v>1461</v>
      </c>
      <c r="D155" s="7" t="s">
        <v>464</v>
      </c>
      <c r="E155" s="1" t="s">
        <v>25</v>
      </c>
      <c r="F155" s="4" t="s">
        <v>1462</v>
      </c>
      <c r="G155" s="7" t="s">
        <v>464</v>
      </c>
      <c r="H155" s="7" t="s">
        <v>1463</v>
      </c>
      <c r="I155" s="4" t="s">
        <v>1464</v>
      </c>
      <c r="J155" s="1" t="s">
        <v>1465</v>
      </c>
      <c r="K155" s="1" t="s">
        <v>1466</v>
      </c>
      <c r="L155" s="1" t="s">
        <v>1467</v>
      </c>
      <c r="M155" s="1" t="s">
        <v>1456</v>
      </c>
      <c r="N155" s="1" t="s">
        <v>51</v>
      </c>
      <c r="O155" s="1" t="s">
        <v>67</v>
      </c>
      <c r="P155" s="1" t="s">
        <v>1468</v>
      </c>
      <c r="S155" s="1" t="s">
        <v>56</v>
      </c>
      <c r="T155" s="1" t="s">
        <v>1458</v>
      </c>
      <c r="U155" s="4" t="s">
        <v>1469</v>
      </c>
      <c r="V155" s="4" t="str">
        <f>IFERROR(__xludf.DUMMYFUNCTION("SPLIT(F155, "" "")"),"команде")</f>
        <v>команде</v>
      </c>
      <c r="W155" s="1" t="str">
        <f>IFERROR(__xludf.DUMMYFUNCTION("""COMPUTED_VALUE"""),"Red")</f>
        <v>Red</v>
      </c>
      <c r="X155" s="1" t="str">
        <f>IFERROR(__xludf.DUMMYFUNCTION("""COMPUTED_VALUE"""),"Sox")</f>
        <v>Sox</v>
      </c>
      <c r="Y155" s="1" t="str">
        <f>IFERROR(__xludf.DUMMYFUNCTION("""COMPUTED_VALUE"""),"(она")</f>
        <v>(она</v>
      </c>
      <c r="Z155" s="1" t="str">
        <f>IFERROR(__xludf.DUMMYFUNCTION("""COMPUTED_VALUE"""),"и")</f>
        <v>и</v>
      </c>
      <c r="AA155" s="1" t="str">
        <f>IFERROR(__xludf.DUMMYFUNCTION("""COMPUTED_VALUE"""),"названа")</f>
        <v>названа</v>
      </c>
    </row>
    <row r="156" ht="14.25" customHeight="1">
      <c r="A156" s="1" t="s">
        <v>1470</v>
      </c>
      <c r="B156" s="1" t="s">
        <v>1471</v>
      </c>
      <c r="C156" s="2" t="s">
        <v>1472</v>
      </c>
      <c r="D156" s="7" t="s">
        <v>1473</v>
      </c>
      <c r="E156" s="1" t="s">
        <v>25</v>
      </c>
      <c r="F156" s="4" t="s">
        <v>1474</v>
      </c>
      <c r="G156" s="7" t="s">
        <v>1473</v>
      </c>
      <c r="H156" s="7" t="s">
        <v>1475</v>
      </c>
      <c r="I156" s="4" t="s">
        <v>1464</v>
      </c>
      <c r="J156" s="1" t="s">
        <v>1465</v>
      </c>
      <c r="K156" s="1" t="s">
        <v>1466</v>
      </c>
      <c r="L156" s="1" t="s">
        <v>1467</v>
      </c>
      <c r="M156" s="1" t="s">
        <v>1456</v>
      </c>
      <c r="N156" s="1" t="s">
        <v>51</v>
      </c>
      <c r="O156" s="1" t="s">
        <v>67</v>
      </c>
      <c r="P156" s="1" t="s">
        <v>1468</v>
      </c>
      <c r="S156" s="1" t="s">
        <v>56</v>
      </c>
      <c r="T156" s="1" t="s">
        <v>1458</v>
      </c>
      <c r="U156" s="4" t="s">
        <v>1476</v>
      </c>
      <c r="V156" s="4" t="str">
        <f>IFERROR(__xludf.DUMMYFUNCTION("SPLIT(F156, "" "")"),"песни,")</f>
        <v>песни,</v>
      </c>
      <c r="W156" s="1" t="str">
        <f>IFERROR(__xludf.DUMMYFUNCTION("""COMPUTED_VALUE"""),"показывает")</f>
        <v>показывает</v>
      </c>
      <c r="X156" s="1" t="str">
        <f>IFERROR(__xludf.DUMMYFUNCTION("""COMPUTED_VALUE"""),"фотографии")</f>
        <v>фотографии</v>
      </c>
      <c r="Y156" s="1" t="str">
        <f>IFERROR(__xludf.DUMMYFUNCTION("""COMPUTED_VALUE"""),"с")</f>
        <v>с</v>
      </c>
      <c r="Z156" s="1" t="str">
        <f>IFERROR(__xludf.DUMMYFUNCTION("""COMPUTED_VALUE"""),"его")</f>
        <v>его</v>
      </c>
      <c r="AA156" s="1" t="str">
        <f>IFERROR(__xludf.DUMMYFUNCTION("""COMPUTED_VALUE"""),"свадьбы")</f>
        <v>свадьбы</v>
      </c>
    </row>
    <row r="157" ht="14.25" customHeight="1">
      <c r="A157" s="1" t="s">
        <v>25</v>
      </c>
      <c r="B157" s="1" t="s">
        <v>1477</v>
      </c>
      <c r="C157" s="2"/>
      <c r="D157" s="7" t="s">
        <v>1478</v>
      </c>
      <c r="E157" s="1" t="s">
        <v>25</v>
      </c>
      <c r="F157" s="4" t="s">
        <v>1479</v>
      </c>
      <c r="G157" s="7" t="s">
        <v>1478</v>
      </c>
      <c r="H157" s="7" t="s">
        <v>1480</v>
      </c>
      <c r="I157" s="4" t="s">
        <v>1481</v>
      </c>
      <c r="J157" s="1" t="s">
        <v>1482</v>
      </c>
      <c r="L157" s="1" t="s">
        <v>1483</v>
      </c>
      <c r="M157" s="1" t="s">
        <v>1456</v>
      </c>
      <c r="N157" s="1" t="s">
        <v>51</v>
      </c>
      <c r="O157" s="1" t="s">
        <v>67</v>
      </c>
      <c r="P157" s="1" t="s">
        <v>1484</v>
      </c>
      <c r="S157" s="1" t="s">
        <v>56</v>
      </c>
      <c r="T157" s="1" t="s">
        <v>1458</v>
      </c>
      <c r="U157" s="4" t="s">
        <v>1485</v>
      </c>
      <c r="V157" s="4" t="str">
        <f>IFERROR(__xludf.DUMMYFUNCTION("SPLIT(F157, "" "")"),"справедливости")</f>
        <v>справедливости</v>
      </c>
      <c r="W157" s="1" t="str">
        <f>IFERROR(__xludf.DUMMYFUNCTION("""COMPUTED_VALUE"""),"ради")</f>
        <v>ради</v>
      </c>
      <c r="X157" s="1" t="str">
        <f>IFERROR(__xludf.DUMMYFUNCTION("""COMPUTED_VALUE"""),"стоит")</f>
        <v>стоит</v>
      </c>
      <c r="Y157" s="1" t="str">
        <f>IFERROR(__xludf.DUMMYFUNCTION("""COMPUTED_VALUE"""),"отметить,")</f>
        <v>отметить,</v>
      </c>
      <c r="Z157" s="1" t="str">
        <f>IFERROR(__xludf.DUMMYFUNCTION("""COMPUTED_VALUE"""),"что")</f>
        <v>что</v>
      </c>
      <c r="AA157" s="1" t="str">
        <f>IFERROR(__xludf.DUMMYFUNCTION("""COMPUTED_VALUE"""),"оба")</f>
        <v>оба</v>
      </c>
    </row>
    <row r="158" ht="14.25" customHeight="1">
      <c r="A158" s="1" t="s">
        <v>1486</v>
      </c>
      <c r="B158" s="1" t="s">
        <v>22</v>
      </c>
      <c r="C158" s="2" t="s">
        <v>1487</v>
      </c>
      <c r="D158" s="7" t="s">
        <v>24</v>
      </c>
      <c r="E158" s="1" t="s">
        <v>25</v>
      </c>
      <c r="F158" s="4" t="s">
        <v>1488</v>
      </c>
      <c r="G158" s="7" t="s">
        <v>24</v>
      </c>
      <c r="H158" s="7" t="s">
        <v>1489</v>
      </c>
      <c r="I158" s="4" t="s">
        <v>1490</v>
      </c>
      <c r="J158" s="1" t="s">
        <v>1491</v>
      </c>
      <c r="L158" s="1" t="s">
        <v>1492</v>
      </c>
      <c r="M158" s="1" t="s">
        <v>1456</v>
      </c>
      <c r="N158" s="1" t="s">
        <v>51</v>
      </c>
      <c r="O158" s="1" t="s">
        <v>67</v>
      </c>
      <c r="P158" s="1" t="s">
        <v>1493</v>
      </c>
      <c r="S158" s="1" t="s">
        <v>56</v>
      </c>
      <c r="T158" s="1" t="s">
        <v>1458</v>
      </c>
      <c r="U158" s="4" t="s">
        <v>1494</v>
      </c>
      <c r="V158" s="4" t="str">
        <f>IFERROR(__xludf.DUMMYFUNCTION("SPLIT(F158, "" "")"),"человеку,")</f>
        <v>человеку,</v>
      </c>
      <c r="W158" s="1" t="str">
        <f>IFERROR(__xludf.DUMMYFUNCTION("""COMPUTED_VALUE"""),"который")</f>
        <v>который</v>
      </c>
      <c r="X158" s="1" t="str">
        <f>IFERROR(__xludf.DUMMYFUNCTION("""COMPUTED_VALUE"""),"убил")</f>
        <v>убил</v>
      </c>
      <c r="Y158" s="1" t="str">
        <f>IFERROR(__xludf.DUMMYFUNCTION("""COMPUTED_VALUE"""),"вашего")</f>
        <v>вашего</v>
      </c>
      <c r="Z158" s="1" t="str">
        <f>IFERROR(__xludf.DUMMYFUNCTION("""COMPUTED_VALUE"""),"друга.")</f>
        <v>друга.</v>
      </c>
    </row>
    <row r="159" ht="14.25" customHeight="1">
      <c r="A159" s="1" t="s">
        <v>1495</v>
      </c>
      <c r="B159" s="1" t="s">
        <v>22</v>
      </c>
      <c r="C159" s="2" t="s">
        <v>1496</v>
      </c>
      <c r="D159" s="7" t="s">
        <v>24</v>
      </c>
      <c r="E159" s="1" t="s">
        <v>25</v>
      </c>
      <c r="F159" s="4" t="s">
        <v>1497</v>
      </c>
      <c r="G159" s="7" t="s">
        <v>24</v>
      </c>
      <c r="H159" s="7" t="s">
        <v>1498</v>
      </c>
      <c r="I159" s="4" t="s">
        <v>1490</v>
      </c>
      <c r="J159" s="1" t="s">
        <v>1491</v>
      </c>
      <c r="L159" s="1" t="s">
        <v>1492</v>
      </c>
      <c r="M159" s="1" t="s">
        <v>1456</v>
      </c>
      <c r="N159" s="1" t="s">
        <v>51</v>
      </c>
      <c r="O159" s="1" t="s">
        <v>67</v>
      </c>
      <c r="P159" s="1" t="s">
        <v>1493</v>
      </c>
      <c r="S159" s="1" t="s">
        <v>56</v>
      </c>
      <c r="T159" s="1" t="s">
        <v>1458</v>
      </c>
      <c r="U159" s="4" t="s">
        <v>1499</v>
      </c>
      <c r="V159" s="4" t="str">
        <f>IFERROR(__xludf.DUMMYFUNCTION("SPLIT(F159, "" "")"),"страданиям")</f>
        <v>страданиям</v>
      </c>
      <c r="W159" s="1" t="str">
        <f>IFERROR(__xludf.DUMMYFUNCTION("""COMPUTED_VALUE"""),"людей,")</f>
        <v>людей,</v>
      </c>
      <c r="X159" s="1" t="str">
        <f>IFERROR(__xludf.DUMMYFUNCTION("""COMPUTED_VALUE"""),"которые")</f>
        <v>которые</v>
      </c>
      <c r="Y159" s="1" t="str">
        <f>IFERROR(__xludf.DUMMYFUNCTION("""COMPUTED_VALUE"""),"были")</f>
        <v>были</v>
      </c>
      <c r="Z159" s="1" t="str">
        <f>IFERROR(__xludf.DUMMYFUNCTION("""COMPUTED_VALUE"""),"на")</f>
        <v>на</v>
      </c>
      <c r="AA159" s="1" t="str">
        <f>IFERROR(__xludf.DUMMYFUNCTION("""COMPUTED_VALUE"""),"них")</f>
        <v>них</v>
      </c>
    </row>
    <row r="160" ht="14.25" customHeight="1">
      <c r="A160" s="1" t="s">
        <v>1500</v>
      </c>
      <c r="B160" s="1" t="s">
        <v>777</v>
      </c>
      <c r="C160" s="2" t="s">
        <v>1501</v>
      </c>
      <c r="D160" s="7" t="s">
        <v>779</v>
      </c>
      <c r="E160" s="1" t="s">
        <v>25</v>
      </c>
      <c r="F160" s="4" t="s">
        <v>1502</v>
      </c>
      <c r="G160" s="7" t="s">
        <v>779</v>
      </c>
      <c r="H160" s="7" t="s">
        <v>148</v>
      </c>
      <c r="I160" s="4" t="s">
        <v>1503</v>
      </c>
      <c r="J160" s="1" t="s">
        <v>1504</v>
      </c>
      <c r="K160" s="1" t="s">
        <v>1245</v>
      </c>
      <c r="L160" s="1" t="s">
        <v>1505</v>
      </c>
      <c r="M160" s="1" t="s">
        <v>1456</v>
      </c>
      <c r="N160" s="1" t="s">
        <v>51</v>
      </c>
      <c r="O160" s="1" t="s">
        <v>67</v>
      </c>
      <c r="P160" s="1" t="s">
        <v>1506</v>
      </c>
      <c r="S160" s="1" t="s">
        <v>56</v>
      </c>
      <c r="T160" s="1" t="s">
        <v>1458</v>
      </c>
      <c r="U160" s="4" t="s">
        <v>1507</v>
      </c>
      <c r="V160" s="4" t="str">
        <f>IFERROR(__xludf.DUMMYFUNCTION("SPLIT(F160, "" "")"),"делу")</f>
        <v>делу</v>
      </c>
      <c r="W160" s="1" t="str">
        <f>IFERROR(__xludf.DUMMYFUNCTION("""COMPUTED_VALUE"""),"—")</f>
        <v>—</v>
      </c>
      <c r="X160" s="1" t="str">
        <f>IFERROR(__xludf.DUMMYFUNCTION("""COMPUTED_VALUE"""),"синтезу")</f>
        <v>синтезу</v>
      </c>
      <c r="Y160" s="1" t="str">
        <f>IFERROR(__xludf.DUMMYFUNCTION("""COMPUTED_VALUE"""),"новых")</f>
        <v>новых</v>
      </c>
      <c r="Z160" s="1" t="str">
        <f>IFERROR(__xludf.DUMMYFUNCTION("""COMPUTED_VALUE"""),"психоактивных")</f>
        <v>психоактивных</v>
      </c>
      <c r="AA160" s="1" t="str">
        <f>IFERROR(__xludf.DUMMYFUNCTION("""COMPUTED_VALUE"""),"веществ.")</f>
        <v>веществ.</v>
      </c>
    </row>
    <row r="161" ht="14.25" customHeight="1">
      <c r="A161" s="1" t="s">
        <v>1508</v>
      </c>
      <c r="B161" s="1" t="s">
        <v>1509</v>
      </c>
      <c r="C161" s="2" t="s">
        <v>1510</v>
      </c>
      <c r="D161" s="7" t="s">
        <v>1511</v>
      </c>
      <c r="E161" s="1" t="s">
        <v>25</v>
      </c>
      <c r="F161" s="4" t="s">
        <v>1512</v>
      </c>
      <c r="G161" s="7" t="s">
        <v>1511</v>
      </c>
      <c r="H161" s="7" t="s">
        <v>1513</v>
      </c>
      <c r="I161" s="4" t="s">
        <v>1514</v>
      </c>
      <c r="J161" s="1" t="s">
        <v>1515</v>
      </c>
      <c r="L161" s="1" t="s">
        <v>1516</v>
      </c>
      <c r="M161" s="1" t="s">
        <v>1456</v>
      </c>
      <c r="N161" s="1" t="s">
        <v>51</v>
      </c>
      <c r="O161" s="1" t="s">
        <v>67</v>
      </c>
      <c r="P161" s="1" t="s">
        <v>81</v>
      </c>
      <c r="S161" s="1" t="s">
        <v>56</v>
      </c>
      <c r="T161" s="1" t="s">
        <v>1458</v>
      </c>
      <c r="U161" s="4" t="s">
        <v>1517</v>
      </c>
      <c r="V161" s="4" t="str">
        <f>IFERROR(__xludf.DUMMYFUNCTION("SPLIT(F161, "" "")"),"Германию")</f>
        <v>Германию</v>
      </c>
      <c r="W161" s="1" t="str">
        <f>IFERROR(__xludf.DUMMYFUNCTION("""COMPUTED_VALUE"""),"за")</f>
        <v>за</v>
      </c>
      <c r="X161" s="1" t="str">
        <f>IFERROR(__xludf.DUMMYFUNCTION("""COMPUTED_VALUE"""),"бюрократию,")</f>
        <v>бюрократию,</v>
      </c>
      <c r="Y161" s="1" t="str">
        <f>IFERROR(__xludf.DUMMYFUNCTION("""COMPUTED_VALUE"""),"педантичность")</f>
        <v>педантичность</v>
      </c>
      <c r="Z161" s="1" t="str">
        <f>IFERROR(__xludf.DUMMYFUNCTION("""COMPUTED_VALUE"""),"и")</f>
        <v>и</v>
      </c>
      <c r="AA161" s="1" t="str">
        <f>IFERROR(__xludf.DUMMYFUNCTION("""COMPUTED_VALUE"""),"высокие")</f>
        <v>высокие</v>
      </c>
    </row>
    <row r="162" ht="14.25" customHeight="1">
      <c r="A162" s="1" t="s">
        <v>1518</v>
      </c>
      <c r="B162" s="1" t="s">
        <v>1005</v>
      </c>
      <c r="C162" s="2" t="s">
        <v>1519</v>
      </c>
      <c r="D162" s="7" t="s">
        <v>1007</v>
      </c>
      <c r="E162" s="1" t="s">
        <v>25</v>
      </c>
      <c r="F162" s="4" t="s">
        <v>1520</v>
      </c>
      <c r="G162" s="7" t="s">
        <v>1007</v>
      </c>
      <c r="H162" s="7" t="s">
        <v>1521</v>
      </c>
      <c r="I162" s="4" t="s">
        <v>1522</v>
      </c>
      <c r="J162" s="1" t="s">
        <v>1523</v>
      </c>
      <c r="K162" s="1" t="s">
        <v>831</v>
      </c>
      <c r="L162" s="1" t="s">
        <v>1524</v>
      </c>
      <c r="M162" s="1" t="s">
        <v>1525</v>
      </c>
      <c r="N162" s="1" t="s">
        <v>51</v>
      </c>
      <c r="O162" s="1" t="s">
        <v>67</v>
      </c>
      <c r="P162" s="1" t="s">
        <v>114</v>
      </c>
      <c r="Q162" s="1" t="s">
        <v>1526</v>
      </c>
      <c r="R162" s="1" t="s">
        <v>1527</v>
      </c>
      <c r="S162" s="1" t="s">
        <v>56</v>
      </c>
      <c r="T162" s="1" t="s">
        <v>1458</v>
      </c>
      <c r="U162" s="4" t="s">
        <v>1528</v>
      </c>
      <c r="V162" s="4" t="str">
        <f>IFERROR(__xludf.DUMMYFUNCTION("SPLIT(F162, "" "")"),"тому,")</f>
        <v>тому,</v>
      </c>
      <c r="W162" s="1" t="str">
        <f>IFERROR(__xludf.DUMMYFUNCTION("""COMPUTED_VALUE"""),"что")</f>
        <v>что</v>
      </c>
      <c r="X162" s="1" t="str">
        <f>IFERROR(__xludf.DUMMYFUNCTION("""COMPUTED_VALUE"""),"происходит")</f>
        <v>происходит</v>
      </c>
      <c r="Y162" s="1" t="str">
        <f>IFERROR(__xludf.DUMMYFUNCTION("""COMPUTED_VALUE"""),"сейчас")</f>
        <v>сейчас</v>
      </c>
      <c r="Z162" s="1" t="str">
        <f>IFERROR(__xludf.DUMMYFUNCTION("""COMPUTED_VALUE"""),"между")</f>
        <v>между</v>
      </c>
      <c r="AA162" s="1" t="str">
        <f>IFERROR(__xludf.DUMMYFUNCTION("""COMPUTED_VALUE"""),"«малочисленными")</f>
        <v>«малочисленными</v>
      </c>
    </row>
    <row r="163" ht="14.25" customHeight="1">
      <c r="A163" s="1" t="s">
        <v>1529</v>
      </c>
      <c r="B163" s="1" t="s">
        <v>1530</v>
      </c>
      <c r="C163" s="2" t="s">
        <v>1531</v>
      </c>
      <c r="D163" s="7" t="s">
        <v>1532</v>
      </c>
      <c r="E163" s="1" t="s">
        <v>25</v>
      </c>
      <c r="F163" s="4" t="s">
        <v>1533</v>
      </c>
      <c r="G163" s="7" t="s">
        <v>1532</v>
      </c>
      <c r="H163" s="7" t="s">
        <v>1534</v>
      </c>
      <c r="I163" s="4" t="s">
        <v>1535</v>
      </c>
      <c r="J163" s="1" t="s">
        <v>1536</v>
      </c>
      <c r="K163" s="1" t="s">
        <v>1537</v>
      </c>
      <c r="L163" s="1" t="s">
        <v>1538</v>
      </c>
      <c r="M163" s="1" t="s">
        <v>1539</v>
      </c>
      <c r="N163" s="1" t="s">
        <v>51</v>
      </c>
      <c r="O163" s="1" t="s">
        <v>67</v>
      </c>
      <c r="P163" s="1" t="s">
        <v>1540</v>
      </c>
      <c r="Q163" s="1" t="s">
        <v>1526</v>
      </c>
      <c r="R163" s="1" t="s">
        <v>1527</v>
      </c>
      <c r="S163" s="1" t="s">
        <v>56</v>
      </c>
      <c r="T163" s="1" t="s">
        <v>1458</v>
      </c>
      <c r="U163" s="4" t="s">
        <v>1541</v>
      </c>
      <c r="V163" s="4" t="str">
        <f>IFERROR(__xludf.DUMMYFUNCTION("SPLIT(F163, "" "")"),"реакции")</f>
        <v>реакции</v>
      </c>
      <c r="W163" s="1" t="str">
        <f>IFERROR(__xludf.DUMMYFUNCTION("""COMPUTED_VALUE"""),"общественности.")</f>
        <v>общественности.</v>
      </c>
    </row>
    <row r="164" ht="14.25" customHeight="1">
      <c r="A164" s="1" t="s">
        <v>1542</v>
      </c>
      <c r="B164" s="1" t="s">
        <v>1448</v>
      </c>
      <c r="C164" s="2" t="s">
        <v>1543</v>
      </c>
      <c r="D164" s="7" t="s">
        <v>1450</v>
      </c>
      <c r="E164" s="1" t="s">
        <v>25</v>
      </c>
      <c r="F164" s="4" t="s">
        <v>1544</v>
      </c>
      <c r="G164" s="7" t="s">
        <v>1450</v>
      </c>
      <c r="H164" s="7" t="s">
        <v>1545</v>
      </c>
      <c r="I164" s="4" t="s">
        <v>1546</v>
      </c>
      <c r="J164" s="1" t="s">
        <v>1547</v>
      </c>
      <c r="K164" s="1" t="s">
        <v>455</v>
      </c>
      <c r="L164" s="1" t="s">
        <v>1548</v>
      </c>
      <c r="M164" s="1" t="s">
        <v>1527</v>
      </c>
      <c r="N164" s="1" t="s">
        <v>51</v>
      </c>
      <c r="O164" s="1" t="s">
        <v>67</v>
      </c>
      <c r="P164" s="1" t="s">
        <v>298</v>
      </c>
      <c r="Q164" s="1" t="s">
        <v>1549</v>
      </c>
      <c r="R164" s="1" t="s">
        <v>1527</v>
      </c>
      <c r="S164" s="1" t="s">
        <v>70</v>
      </c>
      <c r="T164" s="1" t="s">
        <v>1458</v>
      </c>
      <c r="U164" s="4" t="s">
        <v>1550</v>
      </c>
      <c r="V164" s="4" t="str">
        <f>IFERROR(__xludf.DUMMYFUNCTION("SPLIT(F164, "" "")"),"станции")</f>
        <v>станции</v>
      </c>
      <c r="W164" s="1" t="str">
        <f>IFERROR(__xludf.DUMMYFUNCTION("""COMPUTED_VALUE"""),"давным-давно")</f>
        <v>давным-давно</v>
      </c>
      <c r="X164" s="1" t="str">
        <f>IFERROR(__xludf.DUMMYFUNCTION("""COMPUTED_VALUE"""),"именуются")</f>
        <v>именуются</v>
      </c>
      <c r="Y164" s="1" t="str">
        <f>IFERROR(__xludf.DUMMYFUNCTION("""COMPUTED_VALUE"""),"иначе.")</f>
        <v>иначе.</v>
      </c>
    </row>
    <row r="165" ht="14.25" customHeight="1">
      <c r="A165" s="1" t="s">
        <v>1551</v>
      </c>
      <c r="B165" s="1" t="s">
        <v>1274</v>
      </c>
      <c r="C165" s="2" t="s">
        <v>1552</v>
      </c>
      <c r="D165" s="7" t="s">
        <v>1276</v>
      </c>
      <c r="E165" s="1" t="s">
        <v>25</v>
      </c>
      <c r="F165" s="8" t="s">
        <v>1553</v>
      </c>
      <c r="G165" s="7" t="s">
        <v>1276</v>
      </c>
      <c r="H165" s="7" t="s">
        <v>1553</v>
      </c>
      <c r="I165" s="4" t="s">
        <v>1554</v>
      </c>
      <c r="J165" s="1" t="s">
        <v>1555</v>
      </c>
      <c r="K165" s="1" t="s">
        <v>747</v>
      </c>
      <c r="L165" s="1" t="s">
        <v>1556</v>
      </c>
      <c r="M165" s="1" t="s">
        <v>1527</v>
      </c>
      <c r="N165" s="1" t="s">
        <v>51</v>
      </c>
      <c r="O165" s="1" t="s">
        <v>189</v>
      </c>
      <c r="P165" s="1" t="s">
        <v>34</v>
      </c>
      <c r="Q165" s="1" t="s">
        <v>1557</v>
      </c>
      <c r="R165" s="1" t="s">
        <v>1527</v>
      </c>
      <c r="S165" s="1" t="s">
        <v>56</v>
      </c>
      <c r="T165" s="1" t="s">
        <v>1458</v>
      </c>
      <c r="U165" s="4" t="s">
        <v>1558</v>
      </c>
      <c r="V165" s="4" t="str">
        <f>IFERROR(__xludf.DUMMYFUNCTION("SPLIT(F165, "" "")"),"делом")</f>
        <v>делом</v>
      </c>
    </row>
    <row r="166" ht="14.25" customHeight="1">
      <c r="A166" s="1" t="s">
        <v>1559</v>
      </c>
      <c r="B166" s="1" t="s">
        <v>1560</v>
      </c>
      <c r="C166" s="2" t="s">
        <v>1561</v>
      </c>
      <c r="D166" s="7" t="s">
        <v>1562</v>
      </c>
      <c r="E166" s="1" t="s">
        <v>25</v>
      </c>
      <c r="F166" s="4" t="s">
        <v>1563</v>
      </c>
      <c r="G166" s="7" t="s">
        <v>1562</v>
      </c>
      <c r="H166" s="7" t="s">
        <v>1564</v>
      </c>
      <c r="I166" s="4" t="s">
        <v>1565</v>
      </c>
      <c r="J166" s="1" t="s">
        <v>1566</v>
      </c>
      <c r="K166" s="1" t="s">
        <v>811</v>
      </c>
      <c r="L166" s="1" t="s">
        <v>1567</v>
      </c>
      <c r="M166" s="1" t="s">
        <v>1527</v>
      </c>
      <c r="N166" s="1" t="s">
        <v>139</v>
      </c>
      <c r="O166" s="1" t="s">
        <v>458</v>
      </c>
      <c r="Q166" s="1" t="s">
        <v>1549</v>
      </c>
      <c r="R166" s="1" t="s">
        <v>1527</v>
      </c>
      <c r="S166" s="1" t="s">
        <v>70</v>
      </c>
      <c r="T166" s="1" t="s">
        <v>1458</v>
      </c>
      <c r="U166" s="4" t="s">
        <v>1568</v>
      </c>
      <c r="V166" s="4" t="str">
        <f>IFERROR(__xludf.DUMMYFUNCTION("SPLIT(F166, "" "")"),"банальности")</f>
        <v>банальности</v>
      </c>
      <c r="W166" s="1" t="str">
        <f>IFERROR(__xludf.DUMMYFUNCTION("""COMPUTED_VALUE"""),"происходящего,")</f>
        <v>происходящего,</v>
      </c>
      <c r="X166" s="1" t="str">
        <f>IFERROR(__xludf.DUMMYFUNCTION("""COMPUTED_VALUE"""),"и")</f>
        <v>и</v>
      </c>
      <c r="Y166" s="1" t="str">
        <f>IFERROR(__xludf.DUMMYFUNCTION("""COMPUTED_VALUE"""),"Жена")</f>
        <v>Жена</v>
      </c>
      <c r="Z166" s="1" t="str">
        <f>IFERROR(__xludf.DUMMYFUNCTION("""COMPUTED_VALUE"""),"почему-то")</f>
        <v>почему-то</v>
      </c>
      <c r="AA166" s="1" t="str">
        <f>IFERROR(__xludf.DUMMYFUNCTION("""COMPUTED_VALUE"""),"не")</f>
        <v>не</v>
      </c>
    </row>
    <row r="167" ht="14.25" customHeight="1">
      <c r="A167" s="1" t="s">
        <v>1569</v>
      </c>
      <c r="B167" s="1" t="s">
        <v>1570</v>
      </c>
      <c r="C167" s="2" t="s">
        <v>1571</v>
      </c>
      <c r="D167" s="7" t="s">
        <v>1572</v>
      </c>
      <c r="E167" s="1" t="s">
        <v>25</v>
      </c>
      <c r="F167" s="4" t="s">
        <v>1573</v>
      </c>
      <c r="G167" s="7" t="s">
        <v>1572</v>
      </c>
      <c r="H167" s="7" t="s">
        <v>1574</v>
      </c>
      <c r="I167" s="4" t="s">
        <v>1565</v>
      </c>
      <c r="J167" s="1" t="s">
        <v>1566</v>
      </c>
      <c r="K167" s="1" t="s">
        <v>811</v>
      </c>
      <c r="L167" s="1" t="s">
        <v>1567</v>
      </c>
      <c r="M167" s="1" t="s">
        <v>1527</v>
      </c>
      <c r="N167" s="1" t="s">
        <v>139</v>
      </c>
      <c r="O167" s="1" t="s">
        <v>458</v>
      </c>
      <c r="Q167" s="1" t="s">
        <v>1549</v>
      </c>
      <c r="R167" s="1" t="s">
        <v>1527</v>
      </c>
      <c r="S167" s="1" t="s">
        <v>70</v>
      </c>
      <c r="T167" s="1" t="s">
        <v>1458</v>
      </c>
      <c r="U167" s="4" t="s">
        <v>1575</v>
      </c>
      <c r="V167" s="4" t="str">
        <f>IFERROR(__xludf.DUMMYFUNCTION("SPLIT(F167, "" "")"),"тишину.")</f>
        <v>тишину.</v>
      </c>
    </row>
    <row r="168" ht="14.25" customHeight="1">
      <c r="A168" s="1" t="s">
        <v>1576</v>
      </c>
      <c r="B168" s="1" t="s">
        <v>1577</v>
      </c>
      <c r="C168" s="2" t="s">
        <v>1578</v>
      </c>
      <c r="D168" s="7" t="s">
        <v>1579</v>
      </c>
      <c r="E168" s="1" t="s">
        <v>25</v>
      </c>
      <c r="F168" s="4" t="s">
        <v>1580</v>
      </c>
      <c r="G168" s="7" t="s">
        <v>1579</v>
      </c>
      <c r="H168" s="7" t="s">
        <v>1581</v>
      </c>
      <c r="I168" s="4" t="s">
        <v>1582</v>
      </c>
      <c r="J168" s="1" t="s">
        <v>1583</v>
      </c>
      <c r="K168" s="1" t="s">
        <v>1584</v>
      </c>
      <c r="L168" s="1" t="s">
        <v>1585</v>
      </c>
      <c r="M168" s="1" t="s">
        <v>1527</v>
      </c>
      <c r="N168" s="1" t="s">
        <v>139</v>
      </c>
      <c r="O168" s="1" t="s">
        <v>285</v>
      </c>
      <c r="Q168" s="1" t="s">
        <v>1549</v>
      </c>
      <c r="R168" s="1" t="s">
        <v>1527</v>
      </c>
      <c r="S168" s="1" t="s">
        <v>70</v>
      </c>
      <c r="T168" s="1" t="s">
        <v>1458</v>
      </c>
      <c r="U168" s="4" t="s">
        <v>1586</v>
      </c>
      <c r="V168" s="4" t="str">
        <f>IFERROR(__xludf.DUMMYFUNCTION("SPLIT(F168, "" "")"),"улыбчивости")</f>
        <v>улыбчивости</v>
      </c>
      <c r="W168" s="1" t="str">
        <f>IFERROR(__xludf.DUMMYFUNCTION("""COMPUTED_VALUE"""),"собаки")</f>
        <v>собаки</v>
      </c>
      <c r="X168" s="1" t="str">
        <f>IFERROR(__xludf.DUMMYFUNCTION("""COMPUTED_VALUE"""),"и")</f>
        <v>и</v>
      </c>
      <c r="Y168" s="1" t="str">
        <f>IFERROR(__xludf.DUMMYFUNCTION("""COMPUTED_VALUE"""),"её")</f>
        <v>её</v>
      </c>
      <c r="Z168" s="1" t="str">
        <f>IFERROR(__xludf.DUMMYFUNCTION("""COMPUTED_VALUE"""),"предпочтению")</f>
        <v>предпочтению</v>
      </c>
      <c r="AA168" s="1" t="str">
        <f>IFERROR(__xludf.DUMMYFUNCTION("""COMPUTED_VALUE"""),"хорошей")</f>
        <v>хорошей</v>
      </c>
    </row>
    <row r="169" ht="14.25" customHeight="1">
      <c r="A169" s="1" t="s">
        <v>1587</v>
      </c>
      <c r="B169" s="1" t="s">
        <v>414</v>
      </c>
      <c r="C169" s="2" t="s">
        <v>1588</v>
      </c>
      <c r="D169" s="7" t="s">
        <v>416</v>
      </c>
      <c r="E169" s="1" t="s">
        <v>25</v>
      </c>
      <c r="F169" s="4" t="s">
        <v>1589</v>
      </c>
      <c r="G169" s="7" t="s">
        <v>416</v>
      </c>
      <c r="H169" s="7" t="s">
        <v>827</v>
      </c>
      <c r="I169" s="4" t="s">
        <v>1582</v>
      </c>
      <c r="J169" s="1" t="s">
        <v>1583</v>
      </c>
      <c r="K169" s="1" t="s">
        <v>1584</v>
      </c>
      <c r="L169" s="1" t="s">
        <v>1585</v>
      </c>
      <c r="M169" s="1" t="s">
        <v>1527</v>
      </c>
      <c r="N169" s="1" t="s">
        <v>139</v>
      </c>
      <c r="O169" s="1" t="s">
        <v>285</v>
      </c>
      <c r="Q169" s="1" t="s">
        <v>1549</v>
      </c>
      <c r="R169" s="1" t="s">
        <v>1527</v>
      </c>
      <c r="S169" s="1" t="s">
        <v>70</v>
      </c>
      <c r="T169" s="1" t="s">
        <v>1458</v>
      </c>
      <c r="U169" s="4" t="s">
        <v>1590</v>
      </c>
      <c r="V169" s="4" t="str">
        <f>IFERROR(__xludf.DUMMYFUNCTION("SPLIT(F169, "" "")"),"встрече,")</f>
        <v>встрече,</v>
      </c>
      <c r="W169" s="1" t="str">
        <f>IFERROR(__xludf.DUMMYFUNCTION("""COMPUTED_VALUE"""),"и,")</f>
        <v>и,</v>
      </c>
      <c r="X169" s="1" t="str">
        <f>IFERROR(__xludf.DUMMYFUNCTION("""COMPUTED_VALUE"""),"выждав")</f>
        <v>выждав</v>
      </c>
      <c r="Y169" s="1" t="str">
        <f>IFERROR(__xludf.DUMMYFUNCTION("""COMPUTED_VALUE"""),"момент,")</f>
        <v>момент,</v>
      </c>
      <c r="Z169" s="1" t="str">
        <f>IFERROR(__xludf.DUMMYFUNCTION("""COMPUTED_VALUE"""),"как")</f>
        <v>как</v>
      </c>
      <c r="AA169" s="1" t="str">
        <f>IFERROR(__xludf.DUMMYFUNCTION("""COMPUTED_VALUE"""),"бы")</f>
        <v>бы</v>
      </c>
    </row>
    <row r="170" ht="14.25" customHeight="1">
      <c r="A170" s="1" t="s">
        <v>1591</v>
      </c>
      <c r="B170" s="1" t="s">
        <v>1592</v>
      </c>
      <c r="C170" s="2" t="s">
        <v>1593</v>
      </c>
      <c r="D170" s="7" t="s">
        <v>1594</v>
      </c>
      <c r="E170" s="1" t="s">
        <v>25</v>
      </c>
      <c r="F170" s="4" t="s">
        <v>1595</v>
      </c>
      <c r="G170" s="7" t="s">
        <v>1594</v>
      </c>
      <c r="H170" s="7" t="s">
        <v>1596</v>
      </c>
      <c r="I170" s="4" t="s">
        <v>1582</v>
      </c>
      <c r="J170" s="1" t="s">
        <v>1583</v>
      </c>
      <c r="K170" s="1" t="s">
        <v>1584</v>
      </c>
      <c r="L170" s="1" t="s">
        <v>1585</v>
      </c>
      <c r="M170" s="1" t="s">
        <v>1527</v>
      </c>
      <c r="N170" s="1" t="s">
        <v>139</v>
      </c>
      <c r="O170" s="1" t="s">
        <v>285</v>
      </c>
      <c r="Q170" s="1" t="s">
        <v>1549</v>
      </c>
      <c r="R170" s="1" t="s">
        <v>1527</v>
      </c>
      <c r="S170" s="1" t="s">
        <v>70</v>
      </c>
      <c r="T170" s="1" t="s">
        <v>1458</v>
      </c>
      <c r="U170" s="4" t="s">
        <v>1597</v>
      </c>
      <c r="V170" s="4" t="str">
        <f>IFERROR(__xludf.DUMMYFUNCTION("SPLIT(F170, "" "")"),"Ангелину,")</f>
        <v>Ангелину,</v>
      </c>
      <c r="W170" s="1" t="str">
        <f>IFERROR(__xludf.DUMMYFUNCTION("""COMPUTED_VALUE"""),"но")</f>
        <v>но</v>
      </c>
      <c r="X170" s="1" t="str">
        <f>IFERROR(__xludf.DUMMYFUNCTION("""COMPUTED_VALUE"""),"вышло")</f>
        <v>вышло</v>
      </c>
      <c r="Y170" s="1" t="str">
        <f>IFERROR(__xludf.DUMMYFUNCTION("""COMPUTED_VALUE"""),"наоборот,")</f>
        <v>наоборот,</v>
      </c>
      <c r="Z170" s="1" t="str">
        <f>IFERROR(__xludf.DUMMYFUNCTION("""COMPUTED_VALUE"""),"встречным")</f>
        <v>встречным</v>
      </c>
      <c r="AA170" s="1" t="str">
        <f>IFERROR(__xludf.DUMMYFUNCTION("""COMPUTED_VALUE"""),"вопросом")</f>
        <v>вопросом</v>
      </c>
    </row>
    <row r="171" ht="14.25" customHeight="1">
      <c r="A171" s="1" t="s">
        <v>1598</v>
      </c>
      <c r="B171" s="1" t="s">
        <v>1599</v>
      </c>
      <c r="C171" s="2" t="s">
        <v>1600</v>
      </c>
      <c r="D171" s="7" t="s">
        <v>1601</v>
      </c>
      <c r="E171" s="1" t="s">
        <v>25</v>
      </c>
      <c r="F171" s="4" t="s">
        <v>1602</v>
      </c>
      <c r="G171" s="7" t="s">
        <v>1601</v>
      </c>
      <c r="H171" s="7" t="s">
        <v>1603</v>
      </c>
      <c r="I171" s="4" t="s">
        <v>1582</v>
      </c>
      <c r="J171" s="1" t="s">
        <v>1583</v>
      </c>
      <c r="K171" s="1" t="s">
        <v>1584</v>
      </c>
      <c r="L171" s="1" t="s">
        <v>1585</v>
      </c>
      <c r="M171" s="1" t="s">
        <v>1527</v>
      </c>
      <c r="N171" s="1" t="s">
        <v>139</v>
      </c>
      <c r="O171" s="1" t="s">
        <v>285</v>
      </c>
      <c r="Q171" s="1" t="s">
        <v>1549</v>
      </c>
      <c r="R171" s="1" t="s">
        <v>1527</v>
      </c>
      <c r="S171" s="1" t="s">
        <v>70</v>
      </c>
      <c r="T171" s="1" t="s">
        <v>1458</v>
      </c>
      <c r="U171" s="4" t="s">
        <v>1604</v>
      </c>
      <c r="V171" s="4" t="str">
        <f>IFERROR(__xludf.DUMMYFUNCTION("SPLIT(F171, "" "")"),"чумовым")</f>
        <v>чумовым</v>
      </c>
      <c r="W171" s="1" t="str">
        <f>IFERROR(__xludf.DUMMYFUNCTION("""COMPUTED_VALUE"""),"поведением")</f>
        <v>поведением</v>
      </c>
      <c r="X171" s="1" t="str">
        <f>IFERROR(__xludf.DUMMYFUNCTION("""COMPUTED_VALUE"""),"хозяина")</f>
        <v>хозяина</v>
      </c>
      <c r="Y171" s="1" t="str">
        <f>IFERROR(__xludf.DUMMYFUNCTION("""COMPUTED_VALUE"""),"дома,")</f>
        <v>дома,</v>
      </c>
      <c r="Z171" s="1" t="str">
        <f>IFERROR(__xludf.DUMMYFUNCTION("""COMPUTED_VALUE"""),"напротив,")</f>
        <v>напротив,</v>
      </c>
      <c r="AA171" s="1" t="str">
        <f>IFERROR(__xludf.DUMMYFUNCTION("""COMPUTED_VALUE"""),"на")</f>
        <v>на</v>
      </c>
    </row>
    <row r="172" ht="14.25" customHeight="1">
      <c r="A172" s="1" t="s">
        <v>1605</v>
      </c>
      <c r="B172" s="1" t="s">
        <v>1448</v>
      </c>
      <c r="C172" s="2" t="s">
        <v>1606</v>
      </c>
      <c r="D172" s="7" t="s">
        <v>1450</v>
      </c>
      <c r="E172" s="1" t="s">
        <v>25</v>
      </c>
      <c r="F172" s="4" t="s">
        <v>1607</v>
      </c>
      <c r="G172" s="7" t="s">
        <v>1450</v>
      </c>
      <c r="H172" s="7" t="s">
        <v>1608</v>
      </c>
      <c r="I172" s="4" t="s">
        <v>1609</v>
      </c>
      <c r="J172" s="1" t="s">
        <v>1610</v>
      </c>
      <c r="K172" s="1" t="s">
        <v>584</v>
      </c>
      <c r="L172" s="1" t="s">
        <v>1611</v>
      </c>
      <c r="M172" s="1" t="s">
        <v>1527</v>
      </c>
      <c r="N172" s="1" t="s">
        <v>51</v>
      </c>
      <c r="O172" s="1" t="s">
        <v>297</v>
      </c>
      <c r="P172" s="1" t="s">
        <v>1612</v>
      </c>
      <c r="Q172" s="1" t="s">
        <v>1613</v>
      </c>
      <c r="R172" s="1" t="s">
        <v>1527</v>
      </c>
      <c r="S172" s="1" t="s">
        <v>56</v>
      </c>
      <c r="T172" s="1" t="s">
        <v>1458</v>
      </c>
      <c r="U172" s="4" t="s">
        <v>1614</v>
      </c>
      <c r="V172" s="4" t="str">
        <f>IFERROR(__xludf.DUMMYFUNCTION("SPLIT(F172, "" "")"),"экспедиции")</f>
        <v>экспедиции</v>
      </c>
      <c r="W172" s="1" t="str">
        <f>IFERROR(__xludf.DUMMYFUNCTION("""COMPUTED_VALUE"""),"в")</f>
        <v>в</v>
      </c>
      <c r="X172" s="1" t="str">
        <f>IFERROR(__xludf.DUMMYFUNCTION("""COMPUTED_VALUE"""),"поисках")</f>
        <v>поисках</v>
      </c>
      <c r="Y172" s="1" t="str">
        <f>IFERROR(__xludf.DUMMYFUNCTION("""COMPUTED_VALUE"""),"золотых")</f>
        <v>золотых</v>
      </c>
      <c r="Z172" s="1" t="str">
        <f>IFERROR(__xludf.DUMMYFUNCTION("""COMPUTED_VALUE"""),"и")</f>
        <v>и</v>
      </c>
      <c r="AA172" s="1" t="str">
        <f>IFERROR(__xludf.DUMMYFUNCTION("""COMPUTED_VALUE"""),"серебряных")</f>
        <v>серебряных</v>
      </c>
    </row>
    <row r="173" ht="14.25" customHeight="1">
      <c r="A173" s="1" t="s">
        <v>1615</v>
      </c>
      <c r="B173" s="1" t="s">
        <v>1616</v>
      </c>
      <c r="C173" s="2" t="s">
        <v>1617</v>
      </c>
      <c r="D173" s="7" t="s">
        <v>1618</v>
      </c>
      <c r="E173" s="1" t="s">
        <v>25</v>
      </c>
      <c r="F173" s="4" t="s">
        <v>1619</v>
      </c>
      <c r="G173" s="7" t="s">
        <v>1618</v>
      </c>
      <c r="H173" s="7" t="s">
        <v>1620</v>
      </c>
      <c r="I173" s="4" t="s">
        <v>1621</v>
      </c>
      <c r="J173" s="1" t="s">
        <v>1622</v>
      </c>
      <c r="K173" s="1" t="s">
        <v>811</v>
      </c>
      <c r="L173" s="1" t="s">
        <v>1623</v>
      </c>
      <c r="M173" s="1" t="s">
        <v>1527</v>
      </c>
      <c r="N173" s="1" t="s">
        <v>139</v>
      </c>
      <c r="O173" s="1" t="s">
        <v>458</v>
      </c>
      <c r="Q173" s="1" t="s">
        <v>1549</v>
      </c>
      <c r="R173" s="1" t="s">
        <v>1527</v>
      </c>
      <c r="S173" s="1" t="s">
        <v>70</v>
      </c>
      <c r="T173" s="1" t="s">
        <v>1458</v>
      </c>
      <c r="U173" s="4" t="s">
        <v>1624</v>
      </c>
      <c r="V173" s="4" t="str">
        <f>IFERROR(__xludf.DUMMYFUNCTION("SPLIT(F173, "" "")"),"молодой")</f>
        <v>молодой</v>
      </c>
      <c r="W173" s="1" t="str">
        <f>IFERROR(__xludf.DUMMYFUNCTION("""COMPUTED_VALUE"""),"нахал.")</f>
        <v>нахал.</v>
      </c>
    </row>
    <row r="174" ht="14.25" customHeight="1">
      <c r="A174" s="1" t="s">
        <v>1625</v>
      </c>
      <c r="B174" s="1" t="s">
        <v>1626</v>
      </c>
      <c r="C174" s="2" t="s">
        <v>1627</v>
      </c>
      <c r="D174" s="7" t="s">
        <v>1628</v>
      </c>
      <c r="E174" s="1" t="s">
        <v>25</v>
      </c>
      <c r="F174" s="4" t="s">
        <v>1629</v>
      </c>
      <c r="G174" s="7" t="s">
        <v>1628</v>
      </c>
      <c r="H174" s="7" t="s">
        <v>1630</v>
      </c>
      <c r="I174" s="4" t="s">
        <v>1621</v>
      </c>
      <c r="J174" s="1" t="s">
        <v>1622</v>
      </c>
      <c r="K174" s="1" t="s">
        <v>811</v>
      </c>
      <c r="L174" s="1" t="s">
        <v>1623</v>
      </c>
      <c r="M174" s="1" t="s">
        <v>1527</v>
      </c>
      <c r="N174" s="1" t="s">
        <v>139</v>
      </c>
      <c r="O174" s="1" t="s">
        <v>458</v>
      </c>
      <c r="Q174" s="1" t="s">
        <v>1549</v>
      </c>
      <c r="R174" s="1" t="s">
        <v>1527</v>
      </c>
      <c r="S174" s="1" t="s">
        <v>70</v>
      </c>
      <c r="T174" s="1" t="s">
        <v>1458</v>
      </c>
      <c r="U174" s="4" t="s">
        <v>1631</v>
      </c>
      <c r="V174" s="4" t="str">
        <f>IFERROR(__xludf.DUMMYFUNCTION("SPLIT(F174, "" "")"),"мамаше,")</f>
        <v>мамаше,</v>
      </c>
      <c r="W174" s="1" t="str">
        <f>IFERROR(__xludf.DUMMYFUNCTION("""COMPUTED_VALUE"""),"вернувшейся")</f>
        <v>вернувшейся</v>
      </c>
      <c r="X174" s="1" t="str">
        <f>IFERROR(__xludf.DUMMYFUNCTION("""COMPUTED_VALUE"""),"из")</f>
        <v>из</v>
      </c>
      <c r="Y174" s="1" t="str">
        <f>IFERROR(__xludf.DUMMYFUNCTION("""COMPUTED_VALUE"""),"магазина,")</f>
        <v>магазина,</v>
      </c>
      <c r="Z174" s="1" t="str">
        <f>IFERROR(__xludf.DUMMYFUNCTION("""COMPUTED_VALUE"""),"предысторию")</f>
        <v>предысторию</v>
      </c>
      <c r="AA174" s="1" t="str">
        <f>IFERROR(__xludf.DUMMYFUNCTION("""COMPUTED_VALUE"""),"своего")</f>
        <v>своего</v>
      </c>
    </row>
    <row r="175" ht="14.25" customHeight="1">
      <c r="A175" s="1" t="s">
        <v>1632</v>
      </c>
      <c r="B175" s="1" t="s">
        <v>1633</v>
      </c>
      <c r="C175" s="2" t="s">
        <v>1634</v>
      </c>
      <c r="D175" s="7" t="s">
        <v>1635</v>
      </c>
      <c r="E175" s="1" t="s">
        <v>25</v>
      </c>
      <c r="F175" s="4" t="s">
        <v>1636</v>
      </c>
      <c r="G175" s="7" t="s">
        <v>1635</v>
      </c>
      <c r="H175" s="7" t="s">
        <v>1637</v>
      </c>
      <c r="I175" s="4" t="s">
        <v>1638</v>
      </c>
      <c r="J175" s="1" t="s">
        <v>1639</v>
      </c>
      <c r="L175" s="1" t="s">
        <v>1640</v>
      </c>
      <c r="M175" s="1" t="s">
        <v>1527</v>
      </c>
      <c r="N175" s="1" t="s">
        <v>51</v>
      </c>
      <c r="O175" s="1" t="s">
        <v>1641</v>
      </c>
      <c r="P175" s="1" t="s">
        <v>1642</v>
      </c>
      <c r="S175" s="1" t="s">
        <v>56</v>
      </c>
      <c r="T175" s="1" t="s">
        <v>1458</v>
      </c>
      <c r="U175" s="4" t="s">
        <v>1643</v>
      </c>
      <c r="V175" s="4" t="str">
        <f>IFERROR(__xludf.DUMMYFUNCTION("SPLIT(F175, "" "")"),"теории")</f>
        <v>теории</v>
      </c>
      <c r="W175" s="1" t="str">
        <f>IFERROR(__xludf.DUMMYFUNCTION("""COMPUTED_VALUE"""),"пространства-времени)")</f>
        <v>пространства-времени)</v>
      </c>
      <c r="X175" s="1" t="str">
        <f>IFERROR(__xludf.DUMMYFUNCTION("""COMPUTED_VALUE"""),"сложилась")</f>
        <v>сложилась</v>
      </c>
      <c r="Y175" s="1" t="str">
        <f>IFERROR(__xludf.DUMMYFUNCTION("""COMPUTED_VALUE"""),"примерно")</f>
        <v>примерно</v>
      </c>
      <c r="Z175" s="1" t="str">
        <f>IFERROR(__xludf.DUMMYFUNCTION("""COMPUTED_VALUE"""),"та")</f>
        <v>та</v>
      </c>
    </row>
    <row r="176" ht="14.25" customHeight="1">
      <c r="A176" s="1" t="s">
        <v>1644</v>
      </c>
      <c r="B176" s="1" t="s">
        <v>1645</v>
      </c>
      <c r="C176" s="2" t="s">
        <v>1646</v>
      </c>
      <c r="D176" s="7" t="s">
        <v>1647</v>
      </c>
      <c r="E176" s="1" t="s">
        <v>25</v>
      </c>
      <c r="F176" s="4" t="s">
        <v>1648</v>
      </c>
      <c r="G176" s="7" t="s">
        <v>1647</v>
      </c>
      <c r="H176" s="7" t="s">
        <v>1649</v>
      </c>
      <c r="I176" s="4" t="s">
        <v>1650</v>
      </c>
      <c r="J176" s="1" t="s">
        <v>1651</v>
      </c>
      <c r="K176" s="1" t="s">
        <v>364</v>
      </c>
      <c r="L176" s="1" t="s">
        <v>1652</v>
      </c>
      <c r="M176" s="1" t="s">
        <v>1527</v>
      </c>
      <c r="N176" s="1" t="s">
        <v>139</v>
      </c>
      <c r="O176" s="1" t="s">
        <v>458</v>
      </c>
      <c r="Q176" s="1" t="s">
        <v>1549</v>
      </c>
      <c r="R176" s="1" t="s">
        <v>1527</v>
      </c>
      <c r="S176" s="1" t="s">
        <v>70</v>
      </c>
      <c r="T176" s="1" t="s">
        <v>1458</v>
      </c>
      <c r="U176" s="4" t="s">
        <v>1653</v>
      </c>
      <c r="V176" s="4" t="str">
        <f>IFERROR(__xludf.DUMMYFUNCTION("SPLIT(F176, "" "")"),"русским")</f>
        <v>русским</v>
      </c>
      <c r="W176" s="1" t="str">
        <f>IFERROR(__xludf.DUMMYFUNCTION("""COMPUTED_VALUE"""),"писателем")</f>
        <v>писателем</v>
      </c>
      <c r="X176" s="1" t="str">
        <f>IFERROR(__xludf.DUMMYFUNCTION("""COMPUTED_VALUE"""),"конца")</f>
        <v>конца</v>
      </c>
      <c r="Y176" s="1" t="str">
        <f>IFERROR(__xludf.DUMMYFUNCTION("""COMPUTED_VALUE"""),"девятнадцатого")</f>
        <v>девятнадцатого</v>
      </c>
      <c r="Z176" s="1" t="str">
        <f>IFERROR(__xludf.DUMMYFUNCTION("""COMPUTED_VALUE"""),"–")</f>
        <v>–</v>
      </c>
      <c r="AA176" s="1" t="str">
        <f>IFERROR(__xludf.DUMMYFUNCTION("""COMPUTED_VALUE"""),"начала")</f>
        <v>начала</v>
      </c>
      <c r="AB176" s="1" t="str">
        <f>IFERROR(__xludf.DUMMYFUNCTION("""COMPUTED_VALUE"""),"двадцатого")</f>
        <v>двадцатого</v>
      </c>
    </row>
    <row r="177" ht="14.25" customHeight="1">
      <c r="A177" s="1" t="s">
        <v>25</v>
      </c>
      <c r="B177" s="1" t="s">
        <v>1654</v>
      </c>
      <c r="C177" s="2"/>
      <c r="D177" s="7" t="s">
        <v>1655</v>
      </c>
      <c r="E177" s="1" t="s">
        <v>25</v>
      </c>
      <c r="F177" s="4" t="s">
        <v>1656</v>
      </c>
      <c r="G177" s="7" t="s">
        <v>1655</v>
      </c>
      <c r="H177" s="7" t="s">
        <v>1657</v>
      </c>
      <c r="I177" s="4" t="s">
        <v>1658</v>
      </c>
      <c r="J177" s="1" t="s">
        <v>1659</v>
      </c>
      <c r="K177" s="1" t="s">
        <v>1660</v>
      </c>
      <c r="L177" s="1" t="s">
        <v>1661</v>
      </c>
      <c r="M177" s="1" t="s">
        <v>1527</v>
      </c>
      <c r="N177" s="1" t="s">
        <v>51</v>
      </c>
      <c r="O177" s="1" t="s">
        <v>297</v>
      </c>
      <c r="P177" s="1" t="s">
        <v>1662</v>
      </c>
      <c r="R177" s="1" t="s">
        <v>1527</v>
      </c>
      <c r="S177" s="1" t="s">
        <v>56</v>
      </c>
      <c r="T177" s="1" t="s">
        <v>1458</v>
      </c>
      <c r="U177" s="4" t="s">
        <v>1663</v>
      </c>
      <c r="V177" s="4" t="str">
        <f>IFERROR(__xludf.DUMMYFUNCTION("SPLIT(F177, "" "")"),"проекту")</f>
        <v>проекту</v>
      </c>
      <c r="W177" s="1" t="str">
        <f>IFERROR(__xludf.DUMMYFUNCTION("""COMPUTED_VALUE"""),"Митина")</f>
        <v>Митина</v>
      </c>
      <c r="X177" s="1" t="str">
        <f>IFERROR(__xludf.DUMMYFUNCTION("""COMPUTED_VALUE"""),"и")</f>
        <v>и</v>
      </c>
      <c r="Y177" s="1" t="str">
        <f>IFERROR(__xludf.DUMMYFUNCTION("""COMPUTED_VALUE"""),"Гончарова")</f>
        <v>Гончарова</v>
      </c>
      <c r="Z177" s="1" t="str">
        <f>IFERROR(__xludf.DUMMYFUNCTION("""COMPUTED_VALUE"""),"даже")</f>
        <v>даже</v>
      </c>
      <c r="AA177" s="1" t="str">
        <f>IFERROR(__xludf.DUMMYFUNCTION("""COMPUTED_VALUE"""),"создали")</f>
        <v>создали</v>
      </c>
    </row>
    <row r="178" ht="14.25" customHeight="1">
      <c r="A178" s="1" t="s">
        <v>1664</v>
      </c>
      <c r="B178" s="1" t="s">
        <v>1665</v>
      </c>
      <c r="C178" s="2" t="s">
        <v>1666</v>
      </c>
      <c r="D178" s="7" t="s">
        <v>1667</v>
      </c>
      <c r="E178" s="1" t="s">
        <v>25</v>
      </c>
      <c r="F178" s="4" t="s">
        <v>1668</v>
      </c>
      <c r="G178" s="7" t="s">
        <v>1667</v>
      </c>
      <c r="H178" s="7" t="s">
        <v>1669</v>
      </c>
      <c r="I178" s="4" t="s">
        <v>1670</v>
      </c>
      <c r="J178" s="1" t="s">
        <v>1671</v>
      </c>
      <c r="K178" s="1" t="s">
        <v>733</v>
      </c>
      <c r="L178" s="1" t="s">
        <v>1672</v>
      </c>
      <c r="M178" s="1" t="s">
        <v>1527</v>
      </c>
      <c r="N178" s="1" t="s">
        <v>51</v>
      </c>
      <c r="O178" s="1" t="s">
        <v>891</v>
      </c>
      <c r="P178" s="1" t="s">
        <v>1673</v>
      </c>
      <c r="Q178" s="1" t="s">
        <v>1549</v>
      </c>
      <c r="R178" s="1" t="s">
        <v>1527</v>
      </c>
      <c r="S178" s="1" t="s">
        <v>70</v>
      </c>
      <c r="T178" s="1" t="s">
        <v>1458</v>
      </c>
      <c r="U178" s="4" t="s">
        <v>1674</v>
      </c>
      <c r="V178" s="4" t="str">
        <f>IFERROR(__xludf.DUMMYFUNCTION("SPLIT(F178, "" "")"),"были,")</f>
        <v>были,</v>
      </c>
      <c r="W178" s="1" t="str">
        <f>IFERROR(__xludf.DUMMYFUNCTION("""COMPUTED_VALUE"""),"мы")</f>
        <v>мы</v>
      </c>
      <c r="X178" s="1" t="str">
        <f>IFERROR(__xludf.DUMMYFUNCTION("""COMPUTED_VALUE"""),"ведь")</f>
        <v>ведь</v>
      </c>
      <c r="Y178" s="1" t="str">
        <f>IFERROR(__xludf.DUMMYFUNCTION("""COMPUTED_VALUE"""),"все")</f>
        <v>все</v>
      </c>
      <c r="Z178" s="1" t="str">
        <f>IFERROR(__xludf.DUMMYFUNCTION("""COMPUTED_VALUE"""),"для")</f>
        <v>для</v>
      </c>
      <c r="AA178" s="1" t="str">
        <f>IFERROR(__xludf.DUMMYFUNCTION("""COMPUTED_VALUE"""),"них")</f>
        <v>них</v>
      </c>
    </row>
    <row r="179" ht="14.25" customHeight="1">
      <c r="A179" s="1" t="s">
        <v>1675</v>
      </c>
      <c r="B179" s="1" t="s">
        <v>1288</v>
      </c>
      <c r="C179" s="2" t="s">
        <v>1676</v>
      </c>
      <c r="D179" s="7" t="s">
        <v>1290</v>
      </c>
      <c r="E179" s="1" t="s">
        <v>25</v>
      </c>
      <c r="F179" s="4" t="s">
        <v>1677</v>
      </c>
      <c r="G179" s="7" t="s">
        <v>1290</v>
      </c>
      <c r="H179" s="7" t="s">
        <v>1678</v>
      </c>
      <c r="I179" s="4" t="s">
        <v>1670</v>
      </c>
      <c r="J179" s="1" t="s">
        <v>1671</v>
      </c>
      <c r="K179" s="1" t="s">
        <v>733</v>
      </c>
      <c r="L179" s="1" t="s">
        <v>1672</v>
      </c>
      <c r="M179" s="1" t="s">
        <v>1527</v>
      </c>
      <c r="N179" s="1" t="s">
        <v>51</v>
      </c>
      <c r="O179" s="1" t="s">
        <v>891</v>
      </c>
      <c r="P179" s="1" t="s">
        <v>1673</v>
      </c>
      <c r="Q179" s="1" t="s">
        <v>1549</v>
      </c>
      <c r="R179" s="1" t="s">
        <v>1527</v>
      </c>
      <c r="S179" s="1" t="s">
        <v>70</v>
      </c>
      <c r="T179" s="1" t="s">
        <v>1458</v>
      </c>
      <c r="U179" s="4" t="s">
        <v>1679</v>
      </c>
      <c r="V179" s="4" t="str">
        <f>IFERROR(__xludf.DUMMYFUNCTION("SPLIT(F179, "" "")"),"крови!")</f>
        <v>крови!</v>
      </c>
    </row>
    <row r="180" ht="14.25" customHeight="1">
      <c r="A180" s="1" t="s">
        <v>1680</v>
      </c>
      <c r="B180" s="1" t="s">
        <v>777</v>
      </c>
      <c r="C180" s="2" t="s">
        <v>1681</v>
      </c>
      <c r="D180" s="7" t="s">
        <v>779</v>
      </c>
      <c r="E180" s="1" t="s">
        <v>25</v>
      </c>
      <c r="F180" s="4" t="s">
        <v>1682</v>
      </c>
      <c r="G180" s="7" t="s">
        <v>779</v>
      </c>
      <c r="H180" s="7" t="s">
        <v>1683</v>
      </c>
      <c r="I180" s="4" t="s">
        <v>1684</v>
      </c>
      <c r="J180" s="1" t="s">
        <v>1685</v>
      </c>
      <c r="K180" s="1" t="s">
        <v>1686</v>
      </c>
      <c r="L180" s="1" t="s">
        <v>1687</v>
      </c>
      <c r="M180" s="1" t="s">
        <v>1527</v>
      </c>
      <c r="N180" s="1" t="s">
        <v>51</v>
      </c>
      <c r="O180" s="1" t="s">
        <v>189</v>
      </c>
      <c r="P180" s="1" t="s">
        <v>234</v>
      </c>
      <c r="Q180" s="1" t="s">
        <v>1557</v>
      </c>
      <c r="R180" s="1" t="s">
        <v>1527</v>
      </c>
      <c r="S180" s="1" t="s">
        <v>56</v>
      </c>
      <c r="T180" s="1" t="s">
        <v>1458</v>
      </c>
      <c r="U180" s="4" t="s">
        <v>1688</v>
      </c>
      <c r="V180" s="4" t="str">
        <f>IFERROR(__xludf.DUMMYFUNCTION("SPLIT(F180, "" "")"),"спортсмену")</f>
        <v>спортсмену</v>
      </c>
      <c r="W180" s="1" t="str">
        <f>IFERROR(__xludf.DUMMYFUNCTION("""COMPUTED_VALUE"""),"или")</f>
        <v>или</v>
      </c>
      <c r="X180" s="1" t="str">
        <f>IFERROR(__xludf.DUMMYFUNCTION("""COMPUTED_VALUE"""),"чувствовать")</f>
        <v>чувствовать</v>
      </c>
      <c r="Y180" s="1" t="str">
        <f>IFERROR(__xludf.DUMMYFUNCTION("""COMPUTED_VALUE"""),"себя")</f>
        <v>себя</v>
      </c>
      <c r="Z180" s="1" t="str">
        <f>IFERROR(__xludf.DUMMYFUNCTION("""COMPUTED_VALUE"""),"частью")</f>
        <v>частью</v>
      </c>
      <c r="AA180" s="1" t="str">
        <f>IFERROR(__xludf.DUMMYFUNCTION("""COMPUTED_VALUE"""),"популярного")</f>
        <v>популярного</v>
      </c>
    </row>
    <row r="181" ht="14.25" customHeight="1">
      <c r="A181" s="1" t="s">
        <v>1689</v>
      </c>
      <c r="B181" s="1" t="s">
        <v>1690</v>
      </c>
      <c r="C181" s="2" t="s">
        <v>1691</v>
      </c>
      <c r="D181" s="7" t="s">
        <v>1692</v>
      </c>
      <c r="E181" s="1" t="s">
        <v>25</v>
      </c>
      <c r="F181" s="4" t="s">
        <v>1693</v>
      </c>
      <c r="G181" s="7" t="s">
        <v>1692</v>
      </c>
      <c r="H181" s="7" t="s">
        <v>1694</v>
      </c>
      <c r="I181" s="4" t="s">
        <v>1695</v>
      </c>
      <c r="J181" s="1" t="s">
        <v>29</v>
      </c>
      <c r="L181" s="1" t="s">
        <v>1696</v>
      </c>
      <c r="M181" s="1" t="s">
        <v>1527</v>
      </c>
      <c r="N181" s="1" t="s">
        <v>51</v>
      </c>
      <c r="O181" s="1" t="s">
        <v>189</v>
      </c>
      <c r="P181" s="1" t="s">
        <v>81</v>
      </c>
      <c r="Q181" s="1" t="s">
        <v>1557</v>
      </c>
      <c r="R181" s="1" t="s">
        <v>1527</v>
      </c>
      <c r="S181" s="1" t="s">
        <v>56</v>
      </c>
      <c r="T181" s="1" t="s">
        <v>1458</v>
      </c>
      <c r="U181" s="4" t="s">
        <v>1697</v>
      </c>
      <c r="V181" s="4" t="str">
        <f>IFERROR(__xludf.DUMMYFUNCTION("SPLIT(F181, "" "")"),"Валеру,")</f>
        <v>Валеру,</v>
      </c>
      <c r="W181" s="1" t="str">
        <f>IFERROR(__xludf.DUMMYFUNCTION("""COMPUTED_VALUE"""),"и")</f>
        <v>и</v>
      </c>
      <c r="X181" s="1" t="str">
        <f>IFERROR(__xludf.DUMMYFUNCTION("""COMPUTED_VALUE"""),"он")</f>
        <v>он</v>
      </c>
      <c r="Y181" s="1" t="str">
        <f>IFERROR(__xludf.DUMMYFUNCTION("""COMPUTED_VALUE"""),"дал")</f>
        <v>дал</v>
      </c>
      <c r="Z181" s="1" t="str">
        <f>IFERROR(__xludf.DUMMYFUNCTION("""COMPUTED_VALUE"""),"мне")</f>
        <v>мне</v>
      </c>
      <c r="AA181" s="1" t="str">
        <f>IFERROR(__xludf.DUMMYFUNCTION("""COMPUTED_VALUE"""),"возможность")</f>
        <v>возможность</v>
      </c>
    </row>
    <row r="182" ht="14.25" customHeight="1">
      <c r="B182" s="1" t="s">
        <v>217</v>
      </c>
      <c r="C182" s="2"/>
      <c r="D182" s="7" t="s">
        <v>218</v>
      </c>
      <c r="E182" s="1" t="s">
        <v>25</v>
      </c>
      <c r="F182" s="4" t="s">
        <v>1698</v>
      </c>
      <c r="G182" s="7" t="s">
        <v>218</v>
      </c>
      <c r="H182" s="7" t="s">
        <v>1699</v>
      </c>
      <c r="I182" s="4" t="s">
        <v>1700</v>
      </c>
      <c r="J182" s="1" t="s">
        <v>29</v>
      </c>
      <c r="L182" s="1" t="s">
        <v>1701</v>
      </c>
      <c r="M182" s="1" t="s">
        <v>1527</v>
      </c>
      <c r="N182" s="1" t="s">
        <v>51</v>
      </c>
      <c r="O182" s="1" t="s">
        <v>189</v>
      </c>
      <c r="P182" s="1" t="s">
        <v>1702</v>
      </c>
      <c r="Q182" s="1" t="s">
        <v>1557</v>
      </c>
      <c r="R182" s="1" t="s">
        <v>1527</v>
      </c>
      <c r="S182" s="1" t="s">
        <v>56</v>
      </c>
      <c r="T182" s="1" t="s">
        <v>1458</v>
      </c>
      <c r="U182" s="4" t="s">
        <v>1703</v>
      </c>
      <c r="V182" s="4" t="str">
        <f>IFERROR(__xludf.DUMMYFUNCTION("SPLIT(F182, "" "")"),"гостям")</f>
        <v>гостям</v>
      </c>
      <c r="W182" s="1" t="str">
        <f>IFERROR(__xludf.DUMMYFUNCTION("""COMPUTED_VALUE"""),"любого")</f>
        <v>любого</v>
      </c>
      <c r="X182" s="1" t="str">
        <f>IFERROR(__xludf.DUMMYFUNCTION("""COMPUTED_VALUE"""),"возраста,")</f>
        <v>возраста,</v>
      </c>
      <c r="Y182" s="1" t="str">
        <f>IFERROR(__xludf.DUMMYFUNCTION("""COMPUTED_VALUE"""),"статуса")</f>
        <v>статуса</v>
      </c>
      <c r="Z182" s="1" t="str">
        <f>IFERROR(__xludf.DUMMYFUNCTION("""COMPUTED_VALUE"""),"и")</f>
        <v>и</v>
      </c>
      <c r="AA182" s="1" t="str">
        <f>IFERROR(__xludf.DUMMYFUNCTION("""COMPUTED_VALUE"""),"происхождения")</f>
        <v>происхождения</v>
      </c>
    </row>
    <row r="183" ht="14.25" customHeight="1">
      <c r="A183" s="1" t="s">
        <v>1704</v>
      </c>
      <c r="B183" s="1" t="s">
        <v>462</v>
      </c>
      <c r="C183" s="2" t="s">
        <v>1705</v>
      </c>
      <c r="D183" s="7" t="s">
        <v>464</v>
      </c>
      <c r="E183" s="1" t="s">
        <v>25</v>
      </c>
      <c r="F183" s="4" t="s">
        <v>1706</v>
      </c>
      <c r="G183" s="7" t="s">
        <v>464</v>
      </c>
      <c r="H183" s="7" t="s">
        <v>1707</v>
      </c>
      <c r="I183" s="4" t="s">
        <v>1708</v>
      </c>
      <c r="J183" s="1" t="s">
        <v>1709</v>
      </c>
      <c r="K183" s="1" t="s">
        <v>1710</v>
      </c>
      <c r="L183" s="1" t="s">
        <v>1711</v>
      </c>
      <c r="M183" s="1" t="s">
        <v>1712</v>
      </c>
      <c r="N183" s="1" t="s">
        <v>51</v>
      </c>
      <c r="O183" s="1" t="s">
        <v>189</v>
      </c>
      <c r="P183" s="1" t="s">
        <v>1713</v>
      </c>
      <c r="Q183" s="1" t="s">
        <v>1526</v>
      </c>
      <c r="R183" s="1" t="s">
        <v>1714</v>
      </c>
      <c r="S183" s="1" t="s">
        <v>56</v>
      </c>
      <c r="T183" s="1" t="s">
        <v>1458</v>
      </c>
      <c r="U183" s="4" t="s">
        <v>1715</v>
      </c>
      <c r="V183" s="4" t="str">
        <f>IFERROR(__xludf.DUMMYFUNCTION("SPLIT(F183, "" "")"),"профессии,")</f>
        <v>профессии,</v>
      </c>
      <c r="W183" s="1" t="str">
        <f>IFERROR(__xludf.DUMMYFUNCTION("""COMPUTED_VALUE"""),"обеспеченности,")</f>
        <v>обеспеченности,</v>
      </c>
      <c r="X183" s="1" t="str">
        <f>IFERROR(__xludf.DUMMYFUNCTION("""COMPUTED_VALUE"""),"привычного")</f>
        <v>привычного</v>
      </c>
      <c r="Y183" s="1" t="str">
        <f>IFERROR(__xludf.DUMMYFUNCTION("""COMPUTED_VALUE"""),"статуса")</f>
        <v>статуса</v>
      </c>
      <c r="Z183" s="1" t="str">
        <f>IFERROR(__xludf.DUMMYFUNCTION("""COMPUTED_VALUE"""),"―")</f>
        <v>―</v>
      </c>
      <c r="AA183" s="1" t="str">
        <f>IFERROR(__xludf.DUMMYFUNCTION("""COMPUTED_VALUE"""),"это")</f>
        <v>это</v>
      </c>
      <c r="AB183" s="1" t="str">
        <f>IFERROR(__xludf.DUMMYFUNCTION("""COMPUTED_VALUE"""),"серьезный")</f>
        <v>серьезный</v>
      </c>
    </row>
    <row r="184" ht="14.25" customHeight="1">
      <c r="A184" s="1" t="s">
        <v>1716</v>
      </c>
      <c r="B184" s="1" t="s">
        <v>632</v>
      </c>
      <c r="C184" s="2" t="s">
        <v>1717</v>
      </c>
      <c r="D184" s="7" t="s">
        <v>634</v>
      </c>
      <c r="E184" s="1" t="s">
        <v>197</v>
      </c>
      <c r="F184" s="4" t="s">
        <v>1718</v>
      </c>
      <c r="G184" s="7" t="s">
        <v>634</v>
      </c>
      <c r="H184" s="7" t="s">
        <v>1719</v>
      </c>
      <c r="I184" s="4" t="s">
        <v>1720</v>
      </c>
      <c r="J184" s="1" t="s">
        <v>1721</v>
      </c>
      <c r="L184" s="1" t="s">
        <v>1722</v>
      </c>
      <c r="M184" s="1" t="s">
        <v>1723</v>
      </c>
      <c r="N184" s="1" t="s">
        <v>51</v>
      </c>
      <c r="O184" s="1" t="s">
        <v>189</v>
      </c>
      <c r="P184" s="1" t="s">
        <v>1724</v>
      </c>
      <c r="S184" s="1" t="s">
        <v>1725</v>
      </c>
      <c r="T184" s="1" t="s">
        <v>1458</v>
      </c>
      <c r="U184" s="4" t="s">
        <v>1726</v>
      </c>
      <c r="V184" s="4" t="str">
        <f>IFERROR(__xludf.DUMMYFUNCTION("SPLIT(F184, "" "")"),"настоящим,")</f>
        <v>настоящим,</v>
      </c>
      <c r="W184" s="1" t="str">
        <f>IFERROR(__xludf.DUMMYFUNCTION("""COMPUTED_VALUE"""),"здоровым,")</f>
        <v>здоровым,</v>
      </c>
      <c r="X184" s="1" t="str">
        <f>IFERROR(__xludf.DUMMYFUNCTION("""COMPUTED_VALUE"""),"веселым,")</f>
        <v>веселым,</v>
      </c>
      <c r="Y184" s="1" t="str">
        <f>IFERROR(__xludf.DUMMYFUNCTION("""COMPUTED_VALUE"""),"жизнерадостным.")</f>
        <v>жизнерадостным.</v>
      </c>
    </row>
    <row r="185" ht="14.25" customHeight="1">
      <c r="A185" s="1" t="s">
        <v>1727</v>
      </c>
      <c r="B185" s="1" t="s">
        <v>1728</v>
      </c>
      <c r="C185" s="2" t="s">
        <v>1729</v>
      </c>
      <c r="D185" s="7" t="s">
        <v>1730</v>
      </c>
      <c r="E185" s="1" t="s">
        <v>25</v>
      </c>
      <c r="F185" s="4" t="s">
        <v>1731</v>
      </c>
      <c r="G185" s="7" t="s">
        <v>1730</v>
      </c>
      <c r="H185" s="7" t="s">
        <v>1732</v>
      </c>
      <c r="I185" s="4" t="s">
        <v>1733</v>
      </c>
      <c r="J185" s="1" t="s">
        <v>1734</v>
      </c>
      <c r="L185" s="1" t="s">
        <v>1735</v>
      </c>
      <c r="M185" s="1" t="s">
        <v>1736</v>
      </c>
      <c r="N185" s="1" t="s">
        <v>51</v>
      </c>
      <c r="O185" s="1" t="s">
        <v>1737</v>
      </c>
      <c r="P185" s="1" t="s">
        <v>53</v>
      </c>
      <c r="S185" s="1" t="s">
        <v>1725</v>
      </c>
      <c r="T185" s="1" t="s">
        <v>1458</v>
      </c>
      <c r="U185" s="4" t="s">
        <v>1738</v>
      </c>
      <c r="V185" s="4" t="str">
        <f>IFERROR(__xludf.DUMMYFUNCTION("SPLIT(F185, "" "")"),"Русским")</f>
        <v>Русским</v>
      </c>
      <c r="W185" s="1" t="str">
        <f>IFERROR(__xludf.DUMMYFUNCTION("""COMPUTED_VALUE"""),"музеем")</f>
        <v>музеем</v>
      </c>
      <c r="X185" s="1" t="str">
        <f>IFERROR(__xludf.DUMMYFUNCTION("""COMPUTED_VALUE"""),"жанре")</f>
        <v>жанре</v>
      </c>
      <c r="Y185" s="1" t="str">
        <f>IFERROR(__xludf.DUMMYFUNCTION("""COMPUTED_VALUE"""),"эклектики:")</f>
        <v>эклектики:</v>
      </c>
      <c r="Z185" s="1" t="str">
        <f>IFERROR(__xludf.DUMMYFUNCTION("""COMPUTED_VALUE"""),"все,")</f>
        <v>все,</v>
      </c>
      <c r="AA185" s="1" t="str">
        <f>IFERROR(__xludf.DUMMYFUNCTION("""COMPUTED_VALUE"""),"что")</f>
        <v>что</v>
      </c>
    </row>
    <row r="186" ht="14.25" customHeight="1">
      <c r="A186" s="1" t="s">
        <v>1739</v>
      </c>
      <c r="B186" s="1" t="s">
        <v>1740</v>
      </c>
      <c r="C186" s="2" t="s">
        <v>1741</v>
      </c>
      <c r="D186" s="7" t="s">
        <v>1742</v>
      </c>
      <c r="E186" s="1" t="s">
        <v>25</v>
      </c>
      <c r="F186" s="4" t="s">
        <v>1743</v>
      </c>
      <c r="G186" s="7" t="s">
        <v>1742</v>
      </c>
      <c r="H186" s="7" t="s">
        <v>1744</v>
      </c>
      <c r="I186" s="4" t="s">
        <v>1745</v>
      </c>
      <c r="J186" s="1" t="s">
        <v>1746</v>
      </c>
      <c r="K186" s="1" t="s">
        <v>694</v>
      </c>
      <c r="L186" s="1" t="s">
        <v>1747</v>
      </c>
      <c r="M186" s="1" t="s">
        <v>1748</v>
      </c>
      <c r="N186" s="1" t="s">
        <v>51</v>
      </c>
      <c r="O186" s="1" t="s">
        <v>67</v>
      </c>
      <c r="P186" s="1" t="s">
        <v>53</v>
      </c>
      <c r="S186" s="1" t="s">
        <v>56</v>
      </c>
      <c r="T186" s="1" t="s">
        <v>1458</v>
      </c>
      <c r="U186" s="4" t="s">
        <v>1749</v>
      </c>
      <c r="V186" s="4" t="str">
        <f>IFERROR(__xludf.DUMMYFUNCTION("SPLIT(F186, "" "")"),"оперу,")</f>
        <v>оперу,</v>
      </c>
      <c r="W186" s="1" t="str">
        <f>IFERROR(__xludf.DUMMYFUNCTION("""COMPUTED_VALUE"""),"поэтому")</f>
        <v>поэтому</v>
      </c>
      <c r="X186" s="1" t="str">
        <f>IFERROR(__xludf.DUMMYFUNCTION("""COMPUTED_VALUE"""),"описывает")</f>
        <v>описывает</v>
      </c>
      <c r="Y186" s="1" t="str">
        <f>IFERROR(__xludf.DUMMYFUNCTION("""COMPUTED_VALUE"""),"ее")</f>
        <v>ее</v>
      </c>
      <c r="Z186" s="1" t="str">
        <f>IFERROR(__xludf.DUMMYFUNCTION("""COMPUTED_VALUE"""),"бессмысленность")</f>
        <v>бессмысленность</v>
      </c>
      <c r="AA186" s="1" t="str">
        <f>IFERROR(__xludf.DUMMYFUNCTION("""COMPUTED_VALUE"""),"глазами")</f>
        <v>глазами</v>
      </c>
    </row>
    <row r="187" ht="14.25" customHeight="1">
      <c r="A187" s="1" t="s">
        <v>1750</v>
      </c>
      <c r="B187" s="1" t="s">
        <v>1751</v>
      </c>
      <c r="C187" s="2" t="s">
        <v>1752</v>
      </c>
      <c r="D187" s="7" t="s">
        <v>1753</v>
      </c>
      <c r="E187" s="1" t="s">
        <v>25</v>
      </c>
      <c r="F187" s="4" t="s">
        <v>1754</v>
      </c>
      <c r="G187" s="7" t="s">
        <v>1753</v>
      </c>
      <c r="H187" s="7" t="s">
        <v>1755</v>
      </c>
      <c r="I187" s="4" t="s">
        <v>1756</v>
      </c>
      <c r="J187" s="1" t="s">
        <v>1757</v>
      </c>
      <c r="L187" s="1" t="s">
        <v>1758</v>
      </c>
      <c r="M187" s="1" t="s">
        <v>1759</v>
      </c>
      <c r="N187" s="1" t="s">
        <v>51</v>
      </c>
      <c r="O187" s="1" t="s">
        <v>1760</v>
      </c>
      <c r="P187" s="1" t="s">
        <v>34</v>
      </c>
      <c r="S187" s="1" t="s">
        <v>56</v>
      </c>
      <c r="T187" s="1" t="s">
        <v>1458</v>
      </c>
      <c r="U187" s="4" t="s">
        <v>1761</v>
      </c>
      <c r="V187" s="4" t="str">
        <f>IFERROR(__xludf.DUMMYFUNCTION("SPLIT(F187, "" "")"),"Вирджинии")</f>
        <v>Вирджинии</v>
      </c>
      <c r="W187" s="1" t="str">
        <f>IFERROR(__xludf.DUMMYFUNCTION("""COMPUTED_VALUE"""),"Вулф?»")</f>
        <v>Вулф?»</v>
      </c>
    </row>
    <row r="188" ht="14.25" customHeight="1">
      <c r="A188" s="1" t="s">
        <v>1762</v>
      </c>
      <c r="B188" s="1" t="s">
        <v>996</v>
      </c>
      <c r="C188" s="2" t="s">
        <v>1763</v>
      </c>
      <c r="D188" s="7" t="s">
        <v>998</v>
      </c>
      <c r="E188" s="1" t="s">
        <v>25</v>
      </c>
      <c r="F188" s="4" t="s">
        <v>1764</v>
      </c>
      <c r="G188" s="7" t="s">
        <v>998</v>
      </c>
      <c r="H188" s="7" t="s">
        <v>1521</v>
      </c>
      <c r="I188" s="4" t="s">
        <v>1765</v>
      </c>
      <c r="J188" s="1" t="s">
        <v>1766</v>
      </c>
      <c r="K188" s="1" t="s">
        <v>620</v>
      </c>
      <c r="L188" s="1" t="s">
        <v>1767</v>
      </c>
      <c r="M188" s="1" t="s">
        <v>1768</v>
      </c>
      <c r="N188" s="1" t="s">
        <v>51</v>
      </c>
      <c r="O188" s="1" t="s">
        <v>1760</v>
      </c>
      <c r="P188" s="1" t="s">
        <v>53</v>
      </c>
      <c r="S188" s="1" t="s">
        <v>56</v>
      </c>
      <c r="T188" s="1" t="s">
        <v>1458</v>
      </c>
      <c r="U188" s="4" t="s">
        <v>1769</v>
      </c>
      <c r="V188" s="4" t="str">
        <f>IFERROR(__xludf.DUMMYFUNCTION("SPLIT(F188, "" "")"),"тому,")</f>
        <v>тому,</v>
      </c>
      <c r="W188" s="1" t="str">
        <f>IFERROR(__xludf.DUMMYFUNCTION("""COMPUTED_VALUE"""),"что")</f>
        <v>что</v>
      </c>
      <c r="X188" s="1" t="str">
        <f>IFERROR(__xludf.DUMMYFUNCTION("""COMPUTED_VALUE"""),"«Обратный")</f>
        <v>«Обратный</v>
      </c>
      <c r="Y188" s="1" t="str">
        <f>IFERROR(__xludf.DUMMYFUNCTION("""COMPUTED_VALUE"""),"адрес»")</f>
        <v>адрес»</v>
      </c>
      <c r="Z188" s="1" t="str">
        <f>IFERROR(__xludf.DUMMYFUNCTION("""COMPUTED_VALUE"""),"искупает")</f>
        <v>искупает</v>
      </c>
      <c r="AA188" s="1" t="str">
        <f>IFERROR(__xludf.DUMMYFUNCTION("""COMPUTED_VALUE"""),"монотонность")</f>
        <v>монотонность</v>
      </c>
    </row>
    <row r="189" ht="14.25" customHeight="1">
      <c r="A189" s="1" t="s">
        <v>1770</v>
      </c>
      <c r="B189" s="1" t="s">
        <v>398</v>
      </c>
      <c r="C189" s="2" t="s">
        <v>1771</v>
      </c>
      <c r="D189" s="7" t="s">
        <v>400</v>
      </c>
      <c r="E189" s="1" t="s">
        <v>25</v>
      </c>
      <c r="F189" s="4" t="s">
        <v>1772</v>
      </c>
      <c r="G189" s="7" t="s">
        <v>400</v>
      </c>
      <c r="H189" s="7" t="s">
        <v>1773</v>
      </c>
      <c r="I189" s="4" t="s">
        <v>1774</v>
      </c>
      <c r="J189" s="1" t="s">
        <v>1766</v>
      </c>
      <c r="K189" s="1" t="s">
        <v>620</v>
      </c>
      <c r="L189" s="1" t="s">
        <v>1775</v>
      </c>
      <c r="M189" s="1" t="s">
        <v>1776</v>
      </c>
      <c r="N189" s="1" t="s">
        <v>51</v>
      </c>
      <c r="O189" s="1" t="s">
        <v>1760</v>
      </c>
      <c r="P189" s="1" t="s">
        <v>53</v>
      </c>
      <c r="S189" s="1" t="s">
        <v>56</v>
      </c>
      <c r="T189" s="1" t="s">
        <v>1458</v>
      </c>
      <c r="U189" s="4" t="s">
        <v>1777</v>
      </c>
      <c r="V189" s="4" t="str">
        <f>IFERROR(__xludf.DUMMYFUNCTION("SPLIT(F189, "" "")"),"цитатам")</f>
        <v>цитатам</v>
      </c>
      <c r="W189" s="1" t="str">
        <f>IFERROR(__xludf.DUMMYFUNCTION("""COMPUTED_VALUE"""),"из")</f>
        <v>из</v>
      </c>
      <c r="X189" s="1" t="str">
        <f>IFERROR(__xludf.DUMMYFUNCTION("""COMPUTED_VALUE"""),"эротических")</f>
        <v>эротических</v>
      </c>
      <c r="Y189" s="1" t="str">
        <f>IFERROR(__xludf.DUMMYFUNCTION("""COMPUTED_VALUE"""),"романов")</f>
        <v>романов</v>
      </c>
      <c r="Z189" s="1" t="str">
        <f>IFERROR(__xludf.DUMMYFUNCTION("""COMPUTED_VALUE"""),"Ирады")</f>
        <v>Ирады</v>
      </c>
      <c r="AA189" s="1" t="str">
        <f>IFERROR(__xludf.DUMMYFUNCTION("""COMPUTED_VALUE"""),"Вовненко")</f>
        <v>Вовненко</v>
      </c>
    </row>
    <row r="190" ht="14.25" customHeight="1">
      <c r="A190" s="1" t="s">
        <v>1778</v>
      </c>
      <c r="B190" s="1" t="s">
        <v>1779</v>
      </c>
      <c r="C190" s="2" t="s">
        <v>1780</v>
      </c>
      <c r="D190" s="7" t="s">
        <v>1781</v>
      </c>
      <c r="E190" s="1" t="s">
        <v>25</v>
      </c>
      <c r="F190" s="4" t="s">
        <v>1782</v>
      </c>
      <c r="G190" s="7" t="s">
        <v>1781</v>
      </c>
      <c r="H190" s="7" t="s">
        <v>1783</v>
      </c>
      <c r="I190" s="4" t="s">
        <v>1784</v>
      </c>
      <c r="J190" s="1" t="s">
        <v>1766</v>
      </c>
      <c r="K190" s="1" t="s">
        <v>620</v>
      </c>
      <c r="L190" s="1" t="s">
        <v>1785</v>
      </c>
      <c r="M190" s="1" t="s">
        <v>1786</v>
      </c>
      <c r="N190" s="1" t="s">
        <v>51</v>
      </c>
      <c r="O190" s="1" t="s">
        <v>1760</v>
      </c>
      <c r="P190" s="1" t="s">
        <v>34</v>
      </c>
      <c r="S190" s="1" t="s">
        <v>56</v>
      </c>
      <c r="T190" s="1" t="s">
        <v>1458</v>
      </c>
      <c r="U190" s="4" t="s">
        <v>1787</v>
      </c>
      <c r="V190" s="4" t="str">
        <f>IFERROR(__xludf.DUMMYFUNCTION("SPLIT(F190, "" "")"),"экстраполяции,")</f>
        <v>экстраполяции,</v>
      </c>
      <c r="W190" s="1" t="str">
        <f>IFERROR(__xludf.DUMMYFUNCTION("""COMPUTED_VALUE"""),"рассуждая")</f>
        <v>рассуждая</v>
      </c>
      <c r="X190" s="1" t="str">
        <f>IFERROR(__xludf.DUMMYFUNCTION("""COMPUTED_VALUE"""),"об")</f>
        <v>об</v>
      </c>
      <c r="Y190" s="1" t="str">
        <f>IFERROR(__xludf.DUMMYFUNCTION("""COMPUTED_VALUE"""),"отношении")</f>
        <v>отношении</v>
      </c>
      <c r="Z190" s="1" t="str">
        <f>IFERROR(__xludf.DUMMYFUNCTION("""COMPUTED_VALUE"""),"людей")</f>
        <v>людей</v>
      </c>
      <c r="AA190" s="1" t="str">
        <f>IFERROR(__xludf.DUMMYFUNCTION("""COMPUTED_VALUE"""),"прошлого")</f>
        <v>прошлого</v>
      </c>
    </row>
    <row r="191" ht="14.25" customHeight="1">
      <c r="A191" s="1" t="s">
        <v>1788</v>
      </c>
      <c r="B191" s="1" t="s">
        <v>1789</v>
      </c>
      <c r="C191" s="2" t="s">
        <v>1790</v>
      </c>
      <c r="D191" s="7" t="s">
        <v>1791</v>
      </c>
      <c r="E191" s="1" t="s">
        <v>25</v>
      </c>
      <c r="F191" s="4" t="s">
        <v>1792</v>
      </c>
      <c r="G191" s="7" t="s">
        <v>1791</v>
      </c>
      <c r="H191" s="7" t="s">
        <v>1793</v>
      </c>
      <c r="I191" s="4" t="s">
        <v>1794</v>
      </c>
      <c r="J191" s="1" t="s">
        <v>1795</v>
      </c>
      <c r="L191" s="1" t="s">
        <v>1796</v>
      </c>
      <c r="M191" s="1" t="s">
        <v>1797</v>
      </c>
      <c r="N191" s="1" t="s">
        <v>51</v>
      </c>
      <c r="O191" s="1" t="s">
        <v>1798</v>
      </c>
      <c r="P191" s="1" t="s">
        <v>1799</v>
      </c>
      <c r="S191" s="1" t="s">
        <v>1725</v>
      </c>
      <c r="T191" s="1" t="s">
        <v>1458</v>
      </c>
      <c r="U191" s="4" t="s">
        <v>1800</v>
      </c>
      <c r="V191" s="4" t="str">
        <f>IFERROR(__xludf.DUMMYFUNCTION("SPLIT(F191, "" "")"),"Юрку.")</f>
        <v>Юрку.</v>
      </c>
    </row>
    <row r="192" ht="14.25" customHeight="1">
      <c r="A192" s="1" t="s">
        <v>1801</v>
      </c>
      <c r="B192" s="1" t="s">
        <v>1802</v>
      </c>
      <c r="C192" s="2" t="s">
        <v>1803</v>
      </c>
      <c r="D192" s="7" t="s">
        <v>1804</v>
      </c>
      <c r="E192" s="1" t="s">
        <v>25</v>
      </c>
      <c r="F192" s="4" t="s">
        <v>1805</v>
      </c>
      <c r="G192" s="7" t="s">
        <v>1804</v>
      </c>
      <c r="H192" s="7" t="s">
        <v>1806</v>
      </c>
      <c r="I192" s="4" t="s">
        <v>1807</v>
      </c>
      <c r="J192" s="1" t="s">
        <v>1808</v>
      </c>
      <c r="K192" s="1" t="s">
        <v>1809</v>
      </c>
      <c r="L192" s="1" t="s">
        <v>1810</v>
      </c>
      <c r="M192" s="1" t="s">
        <v>1714</v>
      </c>
      <c r="N192" s="1" t="s">
        <v>51</v>
      </c>
      <c r="O192" s="1" t="s">
        <v>189</v>
      </c>
      <c r="P192" s="1" t="s">
        <v>1713</v>
      </c>
      <c r="Q192" s="1" t="s">
        <v>1557</v>
      </c>
      <c r="R192" s="1" t="s">
        <v>1714</v>
      </c>
      <c r="S192" s="1" t="s">
        <v>56</v>
      </c>
      <c r="T192" s="1" t="s">
        <v>1458</v>
      </c>
      <c r="U192" s="4" t="s">
        <v>1811</v>
      </c>
      <c r="V192" s="4" t="str">
        <f>IFERROR(__xludf.DUMMYFUNCTION("SPLIT(F192, "" "")"),"Таратуту.")</f>
        <v>Таратуту.</v>
      </c>
    </row>
    <row r="193" ht="14.25" customHeight="1">
      <c r="A193" s="1" t="s">
        <v>1812</v>
      </c>
      <c r="B193" s="1" t="s">
        <v>1802</v>
      </c>
      <c r="C193" s="2" t="s">
        <v>1813</v>
      </c>
      <c r="D193" s="7" t="s">
        <v>1804</v>
      </c>
      <c r="E193" s="1" t="s">
        <v>25</v>
      </c>
      <c r="F193" s="4" t="s">
        <v>1814</v>
      </c>
      <c r="G193" s="7" t="s">
        <v>1804</v>
      </c>
      <c r="H193" s="7" t="s">
        <v>1815</v>
      </c>
      <c r="I193" s="4" t="s">
        <v>1807</v>
      </c>
      <c r="J193" s="1" t="s">
        <v>1808</v>
      </c>
      <c r="K193" s="1" t="s">
        <v>1809</v>
      </c>
      <c r="L193" s="1" t="s">
        <v>1810</v>
      </c>
      <c r="M193" s="1" t="s">
        <v>1714</v>
      </c>
      <c r="N193" s="1" t="s">
        <v>51</v>
      </c>
      <c r="O193" s="1" t="s">
        <v>189</v>
      </c>
      <c r="P193" s="1" t="s">
        <v>1713</v>
      </c>
      <c r="Q193" s="1" t="s">
        <v>1557</v>
      </c>
      <c r="R193" s="1" t="s">
        <v>1714</v>
      </c>
      <c r="S193" s="1" t="s">
        <v>56</v>
      </c>
      <c r="T193" s="1" t="s">
        <v>1458</v>
      </c>
      <c r="U193" s="4" t="s">
        <v>1816</v>
      </c>
      <c r="V193" s="4" t="str">
        <f>IFERROR(__xludf.DUMMYFUNCTION("SPLIT(F193, "" "")"),"Юлию")</f>
        <v>Юлию</v>
      </c>
      <c r="W193" s="1" t="str">
        <f>IFERROR(__xludf.DUMMYFUNCTION("""COMPUTED_VALUE"""),"Таратуту,")</f>
        <v>Таратуту,</v>
      </c>
      <c r="X193" s="1" t="str">
        <f>IFERROR(__xludf.DUMMYFUNCTION("""COMPUTED_VALUE"""),"но")</f>
        <v>но</v>
      </c>
      <c r="Y193" s="1" t="str">
        <f>IFERROR(__xludf.DUMMYFUNCTION("""COMPUTED_VALUE"""),"я")</f>
        <v>я</v>
      </c>
      <c r="Z193" s="1" t="str">
        <f>IFERROR(__xludf.DUMMYFUNCTION("""COMPUTED_VALUE"""),"очень")</f>
        <v>очень</v>
      </c>
      <c r="AA193" s="1" t="str">
        <f>IFERROR(__xludf.DUMMYFUNCTION("""COMPUTED_VALUE"""),"не")</f>
        <v>не</v>
      </c>
    </row>
    <row r="194" ht="14.25" customHeight="1">
      <c r="A194" s="1" t="s">
        <v>1817</v>
      </c>
      <c r="B194" s="1" t="s">
        <v>1818</v>
      </c>
      <c r="C194" s="2" t="s">
        <v>1819</v>
      </c>
      <c r="D194" s="7" t="s">
        <v>1820</v>
      </c>
      <c r="E194" s="1" t="s">
        <v>25</v>
      </c>
      <c r="F194" s="4" t="s">
        <v>1821</v>
      </c>
      <c r="G194" s="7" t="s">
        <v>1820</v>
      </c>
      <c r="H194" s="7" t="s">
        <v>1822</v>
      </c>
      <c r="I194" s="4" t="s">
        <v>1807</v>
      </c>
      <c r="J194" s="1" t="s">
        <v>1808</v>
      </c>
      <c r="K194" s="1" t="s">
        <v>1809</v>
      </c>
      <c r="L194" s="1" t="s">
        <v>1810</v>
      </c>
      <c r="M194" s="1" t="s">
        <v>1714</v>
      </c>
      <c r="N194" s="1" t="s">
        <v>51</v>
      </c>
      <c r="O194" s="1" t="s">
        <v>189</v>
      </c>
      <c r="P194" s="1" t="s">
        <v>1713</v>
      </c>
      <c r="Q194" s="1" t="s">
        <v>1557</v>
      </c>
      <c r="R194" s="1" t="s">
        <v>1714</v>
      </c>
      <c r="S194" s="1" t="s">
        <v>56</v>
      </c>
      <c r="T194" s="1" t="s">
        <v>1458</v>
      </c>
      <c r="U194" s="4" t="s">
        <v>1823</v>
      </c>
      <c r="V194" s="4" t="str">
        <f>IFERROR(__xludf.DUMMYFUNCTION("SPLIT(F194, "" "")"),"коррупции,")</f>
        <v>коррупции,</v>
      </c>
      <c r="W194" s="1" t="str">
        <f>IFERROR(__xludf.DUMMYFUNCTION("""COMPUTED_VALUE"""),"но")</f>
        <v>но</v>
      </c>
      <c r="X194" s="1" t="str">
        <f>IFERROR(__xludf.DUMMYFUNCTION("""COMPUTED_VALUE"""),"в")</f>
        <v>в</v>
      </c>
      <c r="Y194" s="1" t="str">
        <f>IFERROR(__xludf.DUMMYFUNCTION("""COMPUTED_VALUE"""),"то")</f>
        <v>то</v>
      </c>
      <c r="Z194" s="1" t="str">
        <f>IFERROR(__xludf.DUMMYFUNCTION("""COMPUTED_VALUE"""),"же")</f>
        <v>же</v>
      </c>
      <c r="AA194" s="1" t="str">
        <f>IFERROR(__xludf.DUMMYFUNCTION("""COMPUTED_VALUE"""),"время")</f>
        <v>время</v>
      </c>
    </row>
    <row r="195" ht="14.25" customHeight="1">
      <c r="A195" s="1" t="s">
        <v>1824</v>
      </c>
      <c r="B195" s="1" t="s">
        <v>1005</v>
      </c>
      <c r="C195" s="2" t="s">
        <v>1825</v>
      </c>
      <c r="D195" s="7" t="s">
        <v>1007</v>
      </c>
      <c r="E195" s="1" t="s">
        <v>25</v>
      </c>
      <c r="F195" s="4" t="s">
        <v>1826</v>
      </c>
      <c r="G195" s="7" t="s">
        <v>1007</v>
      </c>
      <c r="H195" s="7" t="s">
        <v>1827</v>
      </c>
      <c r="I195" s="4" t="s">
        <v>1828</v>
      </c>
      <c r="J195" s="1" t="s">
        <v>1829</v>
      </c>
      <c r="L195" s="1" t="s">
        <v>1830</v>
      </c>
      <c r="M195" s="1" t="s">
        <v>1714</v>
      </c>
      <c r="N195" s="1" t="s">
        <v>51</v>
      </c>
      <c r="O195" s="1" t="s">
        <v>67</v>
      </c>
      <c r="P195" s="1" t="s">
        <v>1831</v>
      </c>
      <c r="Q195" s="1" t="s">
        <v>1832</v>
      </c>
      <c r="R195" s="1" t="s">
        <v>1714</v>
      </c>
      <c r="S195" s="1" t="s">
        <v>70</v>
      </c>
      <c r="T195" s="1" t="s">
        <v>1458</v>
      </c>
      <c r="U195" s="4" t="s">
        <v>1833</v>
      </c>
      <c r="V195" s="4" t="str">
        <f>IFERROR(__xludf.DUMMYFUNCTION("SPLIT(F195, "" "")"),"установке")</f>
        <v>установке</v>
      </c>
      <c r="W195" s="1" t="str">
        <f>IFERROR(__xludf.DUMMYFUNCTION("""COMPUTED_VALUE"""),"нового")</f>
        <v>нового</v>
      </c>
      <c r="X195" s="1" t="str">
        <f>IFERROR(__xludf.DUMMYFUNCTION("""COMPUTED_VALUE"""),"прибора,")</f>
        <v>прибора,</v>
      </c>
      <c r="Y195" s="1" t="str">
        <f>IFERROR(__xludf.DUMMYFUNCTION("""COMPUTED_VALUE"""),"размахивают")</f>
        <v>размахивают</v>
      </c>
      <c r="Z195" s="1" t="str">
        <f>IFERROR(__xludf.DUMMYFUNCTION("""COMPUTED_VALUE"""),"флагом")</f>
        <v>флагом</v>
      </c>
      <c r="AA195" s="1" t="str">
        <f>IFERROR(__xludf.DUMMYFUNCTION("""COMPUTED_VALUE"""),"России")</f>
        <v>России</v>
      </c>
    </row>
    <row r="196" ht="14.25" customHeight="1">
      <c r="A196" s="1" t="s">
        <v>1834</v>
      </c>
      <c r="B196" s="1" t="s">
        <v>494</v>
      </c>
      <c r="C196" s="2" t="s">
        <v>1835</v>
      </c>
      <c r="D196" s="7" t="s">
        <v>496</v>
      </c>
      <c r="E196" s="1" t="s">
        <v>25</v>
      </c>
      <c r="F196" s="4" t="s">
        <v>1836</v>
      </c>
      <c r="G196" s="7" t="s">
        <v>496</v>
      </c>
      <c r="H196" s="7" t="s">
        <v>1521</v>
      </c>
      <c r="I196" s="4" t="s">
        <v>1837</v>
      </c>
      <c r="J196" s="1" t="s">
        <v>1838</v>
      </c>
      <c r="L196" s="1" t="s">
        <v>1839</v>
      </c>
      <c r="M196" s="1" t="s">
        <v>1714</v>
      </c>
      <c r="N196" s="1" t="s">
        <v>51</v>
      </c>
      <c r="O196" s="1" t="s">
        <v>1375</v>
      </c>
      <c r="P196" s="1" t="s">
        <v>81</v>
      </c>
      <c r="Q196" s="1" t="s">
        <v>1557</v>
      </c>
      <c r="R196" s="1" t="s">
        <v>1714</v>
      </c>
      <c r="S196" s="1" t="s">
        <v>56</v>
      </c>
      <c r="T196" s="1" t="s">
        <v>1458</v>
      </c>
      <c r="U196" s="4" t="s">
        <v>1840</v>
      </c>
      <c r="V196" s="4" t="str">
        <f>IFERROR(__xludf.DUMMYFUNCTION("SPLIT(F196, "" "")"),"тому,")</f>
        <v>тому,</v>
      </c>
      <c r="W196" s="1" t="str">
        <f>IFERROR(__xludf.DUMMYFUNCTION("""COMPUTED_VALUE"""),"что")</f>
        <v>что</v>
      </c>
      <c r="X196" s="1" t="str">
        <f>IFERROR(__xludf.DUMMYFUNCTION("""COMPUTED_VALUE"""),"в")</f>
        <v>в</v>
      </c>
      <c r="Y196" s="1" t="str">
        <f>IFERROR(__xludf.DUMMYFUNCTION("""COMPUTED_VALUE"""),"огромной")</f>
        <v>огромной</v>
      </c>
      <c r="Z196" s="1" t="str">
        <f>IFERROR(__xludf.DUMMYFUNCTION("""COMPUTED_VALUE"""),"очереди")</f>
        <v>очереди</v>
      </c>
      <c r="AA196" s="1" t="str">
        <f>IFERROR(__xludf.DUMMYFUNCTION("""COMPUTED_VALUE"""),"к")</f>
        <v>к</v>
      </c>
    </row>
    <row r="197" ht="14.25" customHeight="1">
      <c r="A197" s="1" t="s">
        <v>1841</v>
      </c>
      <c r="B197" s="1" t="s">
        <v>494</v>
      </c>
      <c r="C197" s="2" t="s">
        <v>1842</v>
      </c>
      <c r="D197" s="7" t="s">
        <v>496</v>
      </c>
      <c r="E197" s="1" t="s">
        <v>25</v>
      </c>
      <c r="F197" s="8" t="s">
        <v>1843</v>
      </c>
      <c r="G197" s="7" t="s">
        <v>496</v>
      </c>
      <c r="H197" s="7" t="s">
        <v>1843</v>
      </c>
      <c r="I197" s="4" t="s">
        <v>1844</v>
      </c>
      <c r="J197" s="1" t="s">
        <v>1845</v>
      </c>
      <c r="K197" s="1" t="s">
        <v>1846</v>
      </c>
      <c r="L197" s="1" t="s">
        <v>1847</v>
      </c>
      <c r="M197" s="1" t="s">
        <v>1714</v>
      </c>
      <c r="N197" s="1" t="s">
        <v>51</v>
      </c>
      <c r="O197" s="1" t="s">
        <v>1848</v>
      </c>
      <c r="P197" s="1" t="s">
        <v>1849</v>
      </c>
      <c r="R197" s="1" t="s">
        <v>1714</v>
      </c>
      <c r="S197" s="1" t="s">
        <v>56</v>
      </c>
      <c r="T197" s="1" t="s">
        <v>1458</v>
      </c>
      <c r="U197" s="4" t="s">
        <v>1850</v>
      </c>
      <c r="V197" s="4" t="str">
        <f>IFERROR(__xludf.DUMMYFUNCTION("SPLIT(F197, "" "")"),"агрессии")</f>
        <v>агрессии</v>
      </c>
    </row>
    <row r="198" ht="14.25" customHeight="1">
      <c r="A198" s="1" t="s">
        <v>1851</v>
      </c>
      <c r="B198" s="1" t="s">
        <v>777</v>
      </c>
      <c r="C198" s="2" t="s">
        <v>1852</v>
      </c>
      <c r="D198" s="7" t="s">
        <v>779</v>
      </c>
      <c r="E198" s="1" t="s">
        <v>25</v>
      </c>
      <c r="F198" s="4" t="s">
        <v>1853</v>
      </c>
      <c r="G198" s="7" t="s">
        <v>779</v>
      </c>
      <c r="H198" s="7" t="s">
        <v>1854</v>
      </c>
      <c r="I198" s="4" t="s">
        <v>1855</v>
      </c>
      <c r="J198" s="1" t="s">
        <v>1856</v>
      </c>
      <c r="L198" s="1" t="s">
        <v>1857</v>
      </c>
      <c r="M198" s="1" t="s">
        <v>1714</v>
      </c>
      <c r="N198" s="1" t="s">
        <v>51</v>
      </c>
      <c r="O198" s="1" t="s">
        <v>1848</v>
      </c>
      <c r="P198" s="1" t="s">
        <v>1858</v>
      </c>
      <c r="R198" s="1" t="s">
        <v>1714</v>
      </c>
      <c r="S198" s="1" t="s">
        <v>56</v>
      </c>
      <c r="T198" s="1" t="s">
        <v>1458</v>
      </c>
      <c r="U198" s="4" t="s">
        <v>1859</v>
      </c>
      <c r="V198" s="4" t="str">
        <f>IFERROR(__xludf.DUMMYFUNCTION("SPLIT(F198, "" "")"),"святому,")</f>
        <v>святому,</v>
      </c>
      <c r="W198" s="1" t="str">
        <f>IFERROR(__xludf.DUMMYFUNCTION("""COMPUTED_VALUE"""),"не")</f>
        <v>не</v>
      </c>
      <c r="X198" s="1" t="str">
        <f>IFERROR(__xludf.DUMMYFUNCTION("""COMPUTED_VALUE"""),"претендующее")</f>
        <v>претендующее</v>
      </c>
      <c r="Y198" s="1" t="str">
        <f>IFERROR(__xludf.DUMMYFUNCTION("""COMPUTED_VALUE"""),"на")</f>
        <v>на</v>
      </c>
      <c r="Z198" s="1" t="str">
        <f>IFERROR(__xludf.DUMMYFUNCTION("""COMPUTED_VALUE"""),"то,")</f>
        <v>то,</v>
      </c>
      <c r="AA198" s="1" t="str">
        <f>IFERROR(__xludf.DUMMYFUNCTION("""COMPUTED_VALUE"""),"что")</f>
        <v>что</v>
      </c>
    </row>
    <row r="199" ht="14.25" customHeight="1">
      <c r="A199" s="1" t="s">
        <v>1860</v>
      </c>
      <c r="B199" s="1" t="s">
        <v>1448</v>
      </c>
      <c r="C199" s="2" t="s">
        <v>1861</v>
      </c>
      <c r="D199" s="7" t="s">
        <v>1450</v>
      </c>
      <c r="E199" s="1" t="s">
        <v>197</v>
      </c>
      <c r="F199" s="4" t="s">
        <v>1862</v>
      </c>
      <c r="G199" s="7" t="s">
        <v>1450</v>
      </c>
      <c r="H199" s="7" t="s">
        <v>1863</v>
      </c>
      <c r="I199" s="4" t="s">
        <v>1864</v>
      </c>
      <c r="J199" s="1" t="s">
        <v>1865</v>
      </c>
      <c r="L199" s="1" t="s">
        <v>1866</v>
      </c>
      <c r="M199" s="1" t="s">
        <v>1714</v>
      </c>
      <c r="N199" s="1" t="s">
        <v>51</v>
      </c>
      <c r="O199" s="1" t="s">
        <v>52</v>
      </c>
      <c r="P199" s="1" t="s">
        <v>1867</v>
      </c>
      <c r="R199" s="1" t="s">
        <v>1714</v>
      </c>
      <c r="S199" s="1" t="s">
        <v>56</v>
      </c>
      <c r="T199" s="1" t="s">
        <v>1458</v>
      </c>
      <c r="U199" s="4" t="s">
        <v>1868</v>
      </c>
      <c r="V199" s="4" t="str">
        <f>IFERROR(__xludf.DUMMYFUNCTION("SPLIT(F199, "" "")"),"чаще")</f>
        <v>чаще</v>
      </c>
      <c r="W199" s="1" t="str">
        <f>IFERROR(__xludf.DUMMYFUNCTION("""COMPUTED_VALUE"""),"всего,")</f>
        <v>всего,</v>
      </c>
      <c r="X199" s="1" t="str">
        <f>IFERROR(__xludf.DUMMYFUNCTION("""COMPUTED_VALUE"""),"походный")</f>
        <v>походный</v>
      </c>
      <c r="Y199" s="1" t="str">
        <f>IFERROR(__xludf.DUMMYFUNCTION("""COMPUTED_VALUE"""),"опыт")</f>
        <v>опыт</v>
      </c>
      <c r="Z199" s="1" t="str">
        <f>IFERROR(__xludf.DUMMYFUNCTION("""COMPUTED_VALUE"""),"хорошо")</f>
        <v>хорошо</v>
      </c>
      <c r="AA199" s="1" t="str">
        <f>IFERROR(__xludf.DUMMYFUNCTION("""COMPUTED_VALUE"""),"сказывается")</f>
        <v>сказывается</v>
      </c>
    </row>
    <row r="200" ht="14.25" customHeight="1">
      <c r="A200" s="1" t="s">
        <v>1869</v>
      </c>
      <c r="B200" s="1" t="s">
        <v>1448</v>
      </c>
      <c r="C200" s="2" t="s">
        <v>1870</v>
      </c>
      <c r="D200" s="7" t="s">
        <v>1450</v>
      </c>
      <c r="E200" s="1" t="s">
        <v>25</v>
      </c>
      <c r="F200" s="4" t="s">
        <v>1871</v>
      </c>
      <c r="G200" s="7" t="s">
        <v>1450</v>
      </c>
      <c r="H200" s="7" t="s">
        <v>1872</v>
      </c>
      <c r="I200" s="4" t="s">
        <v>1873</v>
      </c>
      <c r="J200" s="1" t="s">
        <v>1874</v>
      </c>
      <c r="L200" s="1" t="s">
        <v>1875</v>
      </c>
      <c r="M200" s="1" t="s">
        <v>1714</v>
      </c>
      <c r="N200" s="1" t="s">
        <v>126</v>
      </c>
      <c r="O200" s="1" t="s">
        <v>67</v>
      </c>
      <c r="P200" s="1" t="s">
        <v>1876</v>
      </c>
      <c r="Q200" s="1" t="s">
        <v>1877</v>
      </c>
      <c r="R200" s="1" t="s">
        <v>1714</v>
      </c>
      <c r="S200" s="1" t="s">
        <v>70</v>
      </c>
      <c r="T200" s="1" t="s">
        <v>1458</v>
      </c>
      <c r="U200" s="4" t="s">
        <v>1878</v>
      </c>
      <c r="V200" s="4" t="str">
        <f>IFERROR(__xludf.DUMMYFUNCTION("SPLIT(F200, "" "")"),"были")</f>
        <v>были</v>
      </c>
      <c r="W200" s="1" t="str">
        <f>IFERROR(__xludf.DUMMYFUNCTION("""COMPUTED_VALUE"""),"гораздо")</f>
        <v>гораздо</v>
      </c>
      <c r="X200" s="1" t="str">
        <f>IFERROR(__xludf.DUMMYFUNCTION("""COMPUTED_VALUE"""),"моложе")</f>
        <v>моложе</v>
      </c>
      <c r="Y200" s="1" t="str">
        <f>IFERROR(__xludf.DUMMYFUNCTION("""COMPUTED_VALUE"""),"документов")</f>
        <v>документов</v>
      </c>
      <c r="Z200" s="1" t="str">
        <f>IFERROR(__xludf.DUMMYFUNCTION("""COMPUTED_VALUE"""),"на")</f>
        <v>на</v>
      </c>
      <c r="AA200" s="1" t="str">
        <f>IFERROR(__xludf.DUMMYFUNCTION("""COMPUTED_VALUE"""),"бумаге.")</f>
        <v>бумаге.</v>
      </c>
    </row>
    <row r="201" ht="14.25" customHeight="1">
      <c r="A201" s="1" t="s">
        <v>25</v>
      </c>
      <c r="B201" s="1" t="s">
        <v>1879</v>
      </c>
      <c r="C201" s="2"/>
      <c r="D201" s="7" t="s">
        <v>1880</v>
      </c>
      <c r="E201" s="1" t="s">
        <v>25</v>
      </c>
      <c r="F201" s="4" t="s">
        <v>1881</v>
      </c>
      <c r="G201" s="7" t="s">
        <v>1880</v>
      </c>
      <c r="H201" s="7" t="s">
        <v>523</v>
      </c>
      <c r="I201" s="4" t="s">
        <v>1882</v>
      </c>
      <c r="J201" s="1" t="s">
        <v>1883</v>
      </c>
      <c r="K201" s="1" t="s">
        <v>811</v>
      </c>
      <c r="L201" s="1" t="s">
        <v>1884</v>
      </c>
      <c r="M201" s="1" t="s">
        <v>1714</v>
      </c>
      <c r="N201" s="1" t="s">
        <v>51</v>
      </c>
      <c r="O201" s="1" t="s">
        <v>67</v>
      </c>
      <c r="P201" s="1" t="s">
        <v>1376</v>
      </c>
      <c r="Q201" s="1" t="s">
        <v>1832</v>
      </c>
      <c r="R201" s="1" t="s">
        <v>1714</v>
      </c>
      <c r="S201" s="1" t="s">
        <v>70</v>
      </c>
      <c r="T201" s="1" t="s">
        <v>1458</v>
      </c>
      <c r="U201" s="4" t="s">
        <v>1885</v>
      </c>
      <c r="V201" s="4" t="str">
        <f>IFERROR(__xludf.DUMMYFUNCTION("SPLIT(F201, "" "")"),"успехам")</f>
        <v>успехам</v>
      </c>
      <c r="W201" s="1" t="str">
        <f>IFERROR(__xludf.DUMMYFUNCTION("""COMPUTED_VALUE"""),"российских")</f>
        <v>российских</v>
      </c>
      <c r="X201" s="1" t="str">
        <f>IFERROR(__xludf.DUMMYFUNCTION("""COMPUTED_VALUE"""),"школьников,")</f>
        <v>школьников,</v>
      </c>
      <c r="Y201" s="1" t="str">
        <f>IFERROR(__xludf.DUMMYFUNCTION("""COMPUTED_VALUE"""),"погордились.")</f>
        <v>погордились.</v>
      </c>
    </row>
    <row r="202" ht="14.25" customHeight="1">
      <c r="A202" s="1" t="s">
        <v>1886</v>
      </c>
      <c r="B202" s="1" t="s">
        <v>1887</v>
      </c>
      <c r="C202" s="2" t="s">
        <v>1888</v>
      </c>
      <c r="D202" s="7" t="s">
        <v>1889</v>
      </c>
      <c r="E202" s="1" t="s">
        <v>25</v>
      </c>
      <c r="F202" s="4" t="s">
        <v>1890</v>
      </c>
      <c r="G202" s="7" t="s">
        <v>1889</v>
      </c>
      <c r="H202" s="7" t="s">
        <v>1891</v>
      </c>
      <c r="I202" s="4" t="s">
        <v>1892</v>
      </c>
      <c r="J202" s="1" t="s">
        <v>1893</v>
      </c>
      <c r="L202" s="1" t="s">
        <v>1894</v>
      </c>
      <c r="M202" s="1" t="s">
        <v>1714</v>
      </c>
      <c r="N202" s="1" t="s">
        <v>51</v>
      </c>
      <c r="O202" s="1" t="s">
        <v>1798</v>
      </c>
      <c r="P202" s="1" t="s">
        <v>1895</v>
      </c>
      <c r="Q202" s="1" t="s">
        <v>1832</v>
      </c>
      <c r="R202" s="1" t="s">
        <v>1714</v>
      </c>
      <c r="S202" s="1" t="s">
        <v>70</v>
      </c>
      <c r="T202" s="1" t="s">
        <v>1458</v>
      </c>
      <c r="U202" s="4" t="s">
        <v>1896</v>
      </c>
      <c r="V202" s="4" t="str">
        <f>IFERROR(__xludf.DUMMYFUNCTION("SPLIT(F202, "" "")"),"баню,")</f>
        <v>баню,</v>
      </c>
      <c r="W202" s="1" t="str">
        <f>IFERROR(__xludf.DUMMYFUNCTION("""COMPUTED_VALUE"""),"их")</f>
        <v>их</v>
      </c>
      <c r="X202" s="1" t="str">
        <f>IFERROR(__xludf.DUMMYFUNCTION("""COMPUTED_VALUE"""),"бы")</f>
        <v>бы</v>
      </c>
      <c r="Y202" s="1" t="str">
        <f>IFERROR(__xludf.DUMMYFUNCTION("""COMPUTED_VALUE"""),"наш")</f>
        <v>наш</v>
      </c>
      <c r="Z202" s="1" t="str">
        <f>IFERROR(__xludf.DUMMYFUNCTION("""COMPUTED_VALUE"""),"университетский")</f>
        <v>университетский</v>
      </c>
      <c r="AA202" s="1" t="str">
        <f>IFERROR(__xludf.DUMMYFUNCTION("""COMPUTED_VALUE"""),"душ")</f>
        <v>душ</v>
      </c>
    </row>
    <row r="203" ht="14.25" customHeight="1">
      <c r="A203" s="1" t="s">
        <v>1897</v>
      </c>
      <c r="B203" s="1" t="s">
        <v>156</v>
      </c>
      <c r="C203" s="2" t="s">
        <v>1898</v>
      </c>
      <c r="D203" s="7" t="s">
        <v>158</v>
      </c>
      <c r="E203" s="1" t="s">
        <v>25</v>
      </c>
      <c r="F203" s="4" t="s">
        <v>1899</v>
      </c>
      <c r="G203" s="7" t="s">
        <v>158</v>
      </c>
      <c r="H203" s="7" t="s">
        <v>1900</v>
      </c>
      <c r="I203" s="4" t="s">
        <v>1901</v>
      </c>
      <c r="J203" s="1" t="s">
        <v>1902</v>
      </c>
      <c r="L203" s="1" t="s">
        <v>1903</v>
      </c>
      <c r="M203" s="1" t="s">
        <v>1904</v>
      </c>
      <c r="N203" s="1" t="s">
        <v>51</v>
      </c>
      <c r="O203" s="1" t="s">
        <v>1848</v>
      </c>
      <c r="P203" s="1" t="s">
        <v>53</v>
      </c>
      <c r="S203" s="1" t="s">
        <v>56</v>
      </c>
      <c r="T203" s="1" t="s">
        <v>1458</v>
      </c>
      <c r="U203" s="4" t="s">
        <v>1905</v>
      </c>
      <c r="V203" s="4" t="str">
        <f>IFERROR(__xludf.DUMMYFUNCTION("SPLIT(F203, "" "")"),"популярности,")</f>
        <v>популярности,</v>
      </c>
      <c r="W203" s="1" t="str">
        <f>IFERROR(__xludf.DUMMYFUNCTION("""COMPUTED_VALUE"""),"продавать")</f>
        <v>продавать</v>
      </c>
      <c r="X203" s="1" t="str">
        <f>IFERROR(__xludf.DUMMYFUNCTION("""COMPUTED_VALUE"""),"электронные")</f>
        <v>электронные</v>
      </c>
      <c r="Y203" s="1" t="str">
        <f>IFERROR(__xludf.DUMMYFUNCTION("""COMPUTED_VALUE"""),"копии.")</f>
        <v>копии.</v>
      </c>
    </row>
    <row r="204" ht="14.25" customHeight="1">
      <c r="A204" s="1" t="s">
        <v>1906</v>
      </c>
      <c r="B204" s="1" t="s">
        <v>156</v>
      </c>
      <c r="C204" s="2" t="s">
        <v>1907</v>
      </c>
      <c r="D204" s="7" t="s">
        <v>158</v>
      </c>
      <c r="E204" s="1" t="s">
        <v>25</v>
      </c>
      <c r="F204" s="4" t="s">
        <v>1908</v>
      </c>
      <c r="G204" s="7" t="s">
        <v>158</v>
      </c>
      <c r="H204" s="7" t="s">
        <v>1909</v>
      </c>
      <c r="I204" s="4" t="s">
        <v>1910</v>
      </c>
      <c r="J204" s="1" t="s">
        <v>1911</v>
      </c>
      <c r="K204" s="1" t="s">
        <v>1912</v>
      </c>
      <c r="L204" s="1" t="s">
        <v>1913</v>
      </c>
      <c r="M204" s="1" t="s">
        <v>1914</v>
      </c>
      <c r="N204" s="1" t="s">
        <v>51</v>
      </c>
      <c r="O204" s="1" t="s">
        <v>67</v>
      </c>
      <c r="P204" s="1" t="s">
        <v>1915</v>
      </c>
      <c r="Q204" s="1" t="s">
        <v>1916</v>
      </c>
      <c r="R204" s="1" t="s">
        <v>1914</v>
      </c>
      <c r="S204" s="1" t="s">
        <v>70</v>
      </c>
      <c r="T204" s="1" t="s">
        <v>1458</v>
      </c>
      <c r="U204" s="4" t="s">
        <v>1917</v>
      </c>
      <c r="V204" s="4" t="str">
        <f>IFERROR(__xludf.DUMMYFUNCTION("SPLIT(F204, "" "")"),"промахам")</f>
        <v>промахам</v>
      </c>
      <c r="W204" s="1" t="str">
        <f>IFERROR(__xludf.DUMMYFUNCTION("""COMPUTED_VALUE"""),"―")</f>
        <v>―</v>
      </c>
      <c r="X204" s="1" t="str">
        <f>IFERROR(__xludf.DUMMYFUNCTION("""COMPUTED_VALUE"""),"критиковать")</f>
        <v>критиковать</v>
      </c>
      <c r="Y204" s="1" t="str">
        <f>IFERROR(__xludf.DUMMYFUNCTION("""COMPUTED_VALUE"""),"принципиально")</f>
        <v>принципиально</v>
      </c>
      <c r="Z204" s="1" t="str">
        <f>IFERROR(__xludf.DUMMYFUNCTION("""COMPUTED_VALUE"""),"без")</f>
        <v>без</v>
      </c>
      <c r="AA204" s="1" t="str">
        <f>IFERROR(__xludf.DUMMYFUNCTION("""COMPUTED_VALUE"""),"панибратства,")</f>
        <v>панибратства,</v>
      </c>
      <c r="AB204" s="1" t="str">
        <f>IFERROR(__xludf.DUMMYFUNCTION("""COMPUTED_VALUE"""),"помогать")</f>
        <v>помогать</v>
      </c>
    </row>
    <row r="205" ht="14.25" customHeight="1">
      <c r="A205" s="1" t="s">
        <v>1918</v>
      </c>
      <c r="B205" s="1" t="s">
        <v>443</v>
      </c>
      <c r="C205" s="2" t="s">
        <v>1919</v>
      </c>
      <c r="D205" s="7" t="s">
        <v>445</v>
      </c>
      <c r="E205" s="1" t="s">
        <v>25</v>
      </c>
      <c r="F205" s="4" t="s">
        <v>1920</v>
      </c>
      <c r="G205" s="7" t="s">
        <v>445</v>
      </c>
      <c r="H205" s="7" t="s">
        <v>1553</v>
      </c>
      <c r="I205" s="4" t="s">
        <v>1921</v>
      </c>
      <c r="J205" s="1" t="s">
        <v>1911</v>
      </c>
      <c r="K205" s="1" t="s">
        <v>1912</v>
      </c>
      <c r="L205" s="1" t="s">
        <v>1922</v>
      </c>
      <c r="M205" s="1" t="s">
        <v>1914</v>
      </c>
      <c r="N205" s="1" t="s">
        <v>51</v>
      </c>
      <c r="O205" s="1" t="s">
        <v>67</v>
      </c>
      <c r="P205" s="1" t="s">
        <v>1915</v>
      </c>
      <c r="Q205" s="1" t="s">
        <v>1916</v>
      </c>
      <c r="R205" s="1" t="s">
        <v>1914</v>
      </c>
      <c r="S205" s="1" t="s">
        <v>70</v>
      </c>
      <c r="T205" s="1" t="s">
        <v>1458</v>
      </c>
      <c r="U205" s="4" t="s">
        <v>1923</v>
      </c>
      <c r="V205" s="4" t="str">
        <f>IFERROR(__xludf.DUMMYFUNCTION("SPLIT(F205, "" "")"),"делом")</f>
        <v>делом</v>
      </c>
      <c r="W205" s="1" t="str">
        <f>IFERROR(__xludf.DUMMYFUNCTION("""COMPUTED_VALUE"""),"доказать")</f>
        <v>доказать</v>
      </c>
      <c r="X205" s="1" t="str">
        <f>IFERROR(__xludf.DUMMYFUNCTION("""COMPUTED_VALUE"""),"преданность")</f>
        <v>преданность</v>
      </c>
      <c r="Y205" s="1" t="str">
        <f>IFERROR(__xludf.DUMMYFUNCTION("""COMPUTED_VALUE"""),"Родине.")</f>
        <v>Родине.</v>
      </c>
    </row>
    <row r="206" ht="14.25" customHeight="1">
      <c r="A206" s="1" t="s">
        <v>25</v>
      </c>
      <c r="B206" s="1" t="s">
        <v>1477</v>
      </c>
      <c r="C206" s="2"/>
      <c r="D206" s="7" t="s">
        <v>1478</v>
      </c>
      <c r="E206" s="1" t="s">
        <v>25</v>
      </c>
      <c r="F206" s="4" t="s">
        <v>1924</v>
      </c>
      <c r="G206" s="7" t="s">
        <v>1478</v>
      </c>
      <c r="H206" s="7" t="s">
        <v>1925</v>
      </c>
      <c r="I206" s="4" t="s">
        <v>1926</v>
      </c>
      <c r="J206" s="1" t="s">
        <v>1927</v>
      </c>
      <c r="K206" s="1" t="s">
        <v>1912</v>
      </c>
      <c r="L206" s="1" t="s">
        <v>1928</v>
      </c>
      <c r="M206" s="1" t="s">
        <v>1914</v>
      </c>
      <c r="N206" s="1" t="s">
        <v>51</v>
      </c>
      <c r="O206" s="1" t="s">
        <v>271</v>
      </c>
      <c r="P206" s="1" t="s">
        <v>1929</v>
      </c>
      <c r="Q206" s="1" t="s">
        <v>1916</v>
      </c>
      <c r="R206" s="1" t="s">
        <v>1914</v>
      </c>
      <c r="S206" s="1" t="s">
        <v>70</v>
      </c>
      <c r="T206" s="1" t="s">
        <v>1458</v>
      </c>
      <c r="U206" s="4" t="s">
        <v>1930</v>
      </c>
      <c r="V206" s="4" t="str">
        <f>IFERROR(__xludf.DUMMYFUNCTION("SPLIT(F206, "" "")"),"пару")</f>
        <v>пару</v>
      </c>
      <c r="W206" s="1" t="str">
        <f>IFERROR(__xludf.DUMMYFUNCTION("""COMPUTED_VALUE"""),"раз")</f>
        <v>раз</v>
      </c>
      <c r="X206" s="1" t="str">
        <f>IFERROR(__xludf.DUMMYFUNCTION("""COMPUTED_VALUE"""),"ходили")</f>
        <v>ходили</v>
      </c>
      <c r="Y206" s="1" t="str">
        <f>IFERROR(__xludf.DUMMYFUNCTION("""COMPUTED_VALUE"""),"красивые")</f>
        <v>красивые</v>
      </c>
      <c r="Z206" s="1" t="str">
        <f>IFERROR(__xludf.DUMMYFUNCTION("""COMPUTED_VALUE"""),"и")</f>
        <v>и</v>
      </c>
      <c r="AA206" s="1" t="str">
        <f>IFERROR(__xludf.DUMMYFUNCTION("""COMPUTED_VALUE"""),"певучие")</f>
        <v>певучие</v>
      </c>
    </row>
    <row r="207" ht="14.25" customHeight="1">
      <c r="A207" s="1" t="s">
        <v>1931</v>
      </c>
      <c r="B207" s="1" t="s">
        <v>853</v>
      </c>
      <c r="C207" s="2" t="s">
        <v>1932</v>
      </c>
      <c r="D207" s="7" t="s">
        <v>855</v>
      </c>
      <c r="E207" s="1" t="s">
        <v>25</v>
      </c>
      <c r="F207" s="4" t="s">
        <v>1933</v>
      </c>
      <c r="G207" s="7" t="s">
        <v>855</v>
      </c>
      <c r="H207" s="7" t="s">
        <v>1934</v>
      </c>
      <c r="I207" s="4" t="s">
        <v>1935</v>
      </c>
      <c r="J207" s="1" t="s">
        <v>1936</v>
      </c>
      <c r="K207" s="1" t="s">
        <v>364</v>
      </c>
      <c r="L207" s="1" t="s">
        <v>1937</v>
      </c>
      <c r="M207" s="1" t="s">
        <v>1914</v>
      </c>
      <c r="N207" s="1" t="s">
        <v>51</v>
      </c>
      <c r="O207" s="1" t="s">
        <v>891</v>
      </c>
      <c r="P207" s="1" t="s">
        <v>81</v>
      </c>
      <c r="Q207" s="1" t="s">
        <v>1916</v>
      </c>
      <c r="R207" s="1" t="s">
        <v>1914</v>
      </c>
      <c r="S207" s="1" t="s">
        <v>70</v>
      </c>
      <c r="T207" s="1" t="s">
        <v>1458</v>
      </c>
      <c r="U207" s="4" t="s">
        <v>1938</v>
      </c>
      <c r="V207" s="4" t="str">
        <f>IFERROR(__xludf.DUMMYFUNCTION("SPLIT(F207, "" "")"),"многообразию")</f>
        <v>многообразию</v>
      </c>
      <c r="W207" s="1" t="str">
        <f>IFERROR(__xludf.DUMMYFUNCTION("""COMPUTED_VALUE"""),"и")</f>
        <v>и</v>
      </c>
      <c r="X207" s="1" t="str">
        <f>IFERROR(__xludf.DUMMYFUNCTION("""COMPUTED_VALUE"""),"неповторяемости")</f>
        <v>неповторяемости</v>
      </c>
      <c r="Y207" s="1" t="str">
        <f>IFERROR(__xludf.DUMMYFUNCTION("""COMPUTED_VALUE"""),"каждого")</f>
        <v>каждого</v>
      </c>
      <c r="Z207" s="1" t="str">
        <f>IFERROR(__xludf.DUMMYFUNCTION("""COMPUTED_VALUE"""),"дня.")</f>
        <v>дня.</v>
      </c>
    </row>
    <row r="208" ht="14.25" customHeight="1">
      <c r="A208" s="1" t="s">
        <v>1939</v>
      </c>
      <c r="B208" s="1" t="s">
        <v>1940</v>
      </c>
      <c r="C208" s="2" t="s">
        <v>1941</v>
      </c>
      <c r="D208" s="7" t="s">
        <v>1942</v>
      </c>
      <c r="E208" s="1" t="s">
        <v>25</v>
      </c>
      <c r="F208" s="4" t="s">
        <v>1943</v>
      </c>
      <c r="G208" s="7" t="s">
        <v>1942</v>
      </c>
      <c r="H208" s="7" t="s">
        <v>1944</v>
      </c>
      <c r="I208" s="4" t="s">
        <v>1935</v>
      </c>
      <c r="J208" s="1" t="s">
        <v>1936</v>
      </c>
      <c r="K208" s="1" t="s">
        <v>364</v>
      </c>
      <c r="L208" s="1" t="s">
        <v>1937</v>
      </c>
      <c r="M208" s="1" t="s">
        <v>1914</v>
      </c>
      <c r="N208" s="1" t="s">
        <v>51</v>
      </c>
      <c r="O208" s="1" t="s">
        <v>891</v>
      </c>
      <c r="P208" s="1" t="s">
        <v>81</v>
      </c>
      <c r="Q208" s="1" t="s">
        <v>1916</v>
      </c>
      <c r="R208" s="1" t="s">
        <v>1914</v>
      </c>
      <c r="S208" s="1" t="s">
        <v>70</v>
      </c>
      <c r="T208" s="1" t="s">
        <v>1458</v>
      </c>
      <c r="U208" s="4" t="s">
        <v>1945</v>
      </c>
      <c r="V208" s="4" t="str">
        <f>IFERROR(__xludf.DUMMYFUNCTION("SPLIT(F208, "" "")"),"одинокой")</f>
        <v>одинокой</v>
      </c>
      <c r="W208" s="1" t="str">
        <f>IFERROR(__xludf.DUMMYFUNCTION("""COMPUTED_VALUE"""),"женщины,")</f>
        <v>женщины,</v>
      </c>
      <c r="X208" s="1" t="str">
        <f>IFERROR(__xludf.DUMMYFUNCTION("""COMPUTED_VALUE"""),"―")</f>
        <v>―</v>
      </c>
      <c r="Y208" s="1" t="str">
        <f>IFERROR(__xludf.DUMMYFUNCTION("""COMPUTED_VALUE"""),"однако,")</f>
        <v>однако,</v>
      </c>
      <c r="Z208" s="1" t="str">
        <f>IFERROR(__xludf.DUMMYFUNCTION("""COMPUTED_VALUE"""),"шмыгнув")</f>
        <v>шмыгнув</v>
      </c>
      <c r="AA208" s="1" t="str">
        <f>IFERROR(__xludf.DUMMYFUNCTION("""COMPUTED_VALUE"""),"пару")</f>
        <v>пару</v>
      </c>
      <c r="AB208" s="1" t="str">
        <f>IFERROR(__xludf.DUMMYFUNCTION("""COMPUTED_VALUE"""),"раз")</f>
        <v>раз</v>
      </c>
    </row>
    <row r="209" ht="14.25" customHeight="1">
      <c r="A209" s="1" t="s">
        <v>1946</v>
      </c>
      <c r="B209" s="1" t="s">
        <v>1645</v>
      </c>
      <c r="C209" s="2" t="s">
        <v>1947</v>
      </c>
      <c r="D209" s="7" t="s">
        <v>1647</v>
      </c>
      <c r="E209" s="1" t="s">
        <v>25</v>
      </c>
      <c r="F209" s="4" t="s">
        <v>1948</v>
      </c>
      <c r="G209" s="7" t="s">
        <v>1647</v>
      </c>
      <c r="H209" s="7" t="s">
        <v>1949</v>
      </c>
      <c r="I209" s="4" t="s">
        <v>1935</v>
      </c>
      <c r="J209" s="1" t="s">
        <v>1936</v>
      </c>
      <c r="K209" s="1" t="s">
        <v>364</v>
      </c>
      <c r="L209" s="1" t="s">
        <v>1937</v>
      </c>
      <c r="M209" s="1" t="s">
        <v>1914</v>
      </c>
      <c r="N209" s="1" t="s">
        <v>51</v>
      </c>
      <c r="O209" s="1" t="s">
        <v>891</v>
      </c>
      <c r="P209" s="1" t="s">
        <v>81</v>
      </c>
      <c r="Q209" s="1" t="s">
        <v>1916</v>
      </c>
      <c r="R209" s="1" t="s">
        <v>1914</v>
      </c>
      <c r="S209" s="1" t="s">
        <v>70</v>
      </c>
      <c r="T209" s="1" t="s">
        <v>1458</v>
      </c>
      <c r="U209" s="4" t="s">
        <v>1950</v>
      </c>
      <c r="V209" s="4" t="str">
        <f>IFERROR(__xludf.DUMMYFUNCTION("SPLIT(F209, "" "")"),"цветам")</f>
        <v>цветам</v>
      </c>
      <c r="W209" s="1" t="str">
        <f>IFERROR(__xludf.DUMMYFUNCTION("""COMPUTED_VALUE"""),"на")</f>
        <v>на</v>
      </c>
      <c r="X209" s="1" t="str">
        <f>IFERROR(__xludf.DUMMYFUNCTION("""COMPUTED_VALUE"""),"подоконнике.")</f>
        <v>подоконнике.</v>
      </c>
    </row>
    <row r="210" ht="14.25" customHeight="1">
      <c r="A210" s="1" t="s">
        <v>1951</v>
      </c>
      <c r="B210" s="1" t="s">
        <v>414</v>
      </c>
      <c r="C210" s="2" t="s">
        <v>1952</v>
      </c>
      <c r="D210" s="7" t="s">
        <v>416</v>
      </c>
      <c r="E210" s="1" t="s">
        <v>25</v>
      </c>
      <c r="F210" s="4" t="s">
        <v>1953</v>
      </c>
      <c r="G210" s="7" t="s">
        <v>416</v>
      </c>
      <c r="H210" s="7" t="s">
        <v>1954</v>
      </c>
      <c r="I210" s="4" t="s">
        <v>1935</v>
      </c>
      <c r="J210" s="1" t="s">
        <v>1936</v>
      </c>
      <c r="K210" s="1" t="s">
        <v>364</v>
      </c>
      <c r="L210" s="1" t="s">
        <v>1937</v>
      </c>
      <c r="M210" s="1" t="s">
        <v>1914</v>
      </c>
      <c r="N210" s="1" t="s">
        <v>51</v>
      </c>
      <c r="O210" s="1" t="s">
        <v>891</v>
      </c>
      <c r="P210" s="1" t="s">
        <v>81</v>
      </c>
      <c r="Q210" s="1" t="s">
        <v>1916</v>
      </c>
      <c r="R210" s="1" t="s">
        <v>1914</v>
      </c>
      <c r="S210" s="1" t="s">
        <v>70</v>
      </c>
      <c r="T210" s="1" t="s">
        <v>1458</v>
      </c>
      <c r="U210" s="4" t="s">
        <v>1955</v>
      </c>
      <c r="V210" s="4" t="str">
        <f>IFERROR(__xludf.DUMMYFUNCTION("SPLIT(F210, "" "")"),"случайности")</f>
        <v>случайности</v>
      </c>
      <c r="W210" s="1" t="str">
        <f>IFERROR(__xludf.DUMMYFUNCTION("""COMPUTED_VALUE"""),"своего")</f>
        <v>своего</v>
      </c>
      <c r="X210" s="1" t="str">
        <f>IFERROR(__xludf.DUMMYFUNCTION("""COMPUTED_VALUE"""),"появления")</f>
        <v>появления</v>
      </c>
      <c r="Y210" s="1" t="str">
        <f>IFERROR(__xludf.DUMMYFUNCTION("""COMPUTED_VALUE"""),"в")</f>
        <v>в</v>
      </c>
      <c r="Z210" s="1" t="str">
        <f>IFERROR(__xludf.DUMMYFUNCTION("""COMPUTED_VALUE"""),"этом")</f>
        <v>этом</v>
      </c>
      <c r="AA210" s="1" t="str">
        <f>IFERROR(__xludf.DUMMYFUNCTION("""COMPUTED_VALUE"""),"месте")</f>
        <v>месте</v>
      </c>
    </row>
    <row r="211" ht="14.25" customHeight="1">
      <c r="A211" s="1" t="s">
        <v>1956</v>
      </c>
      <c r="B211" s="1" t="s">
        <v>1957</v>
      </c>
      <c r="C211" s="2" t="s">
        <v>1958</v>
      </c>
      <c r="D211" s="7" t="s">
        <v>1959</v>
      </c>
      <c r="E211" s="1" t="s">
        <v>197</v>
      </c>
      <c r="F211" s="4" t="s">
        <v>1960</v>
      </c>
      <c r="G211" s="7" t="s">
        <v>1959</v>
      </c>
      <c r="H211" s="7" t="s">
        <v>1961</v>
      </c>
      <c r="I211" s="4" t="s">
        <v>1962</v>
      </c>
      <c r="J211" s="1" t="s">
        <v>1963</v>
      </c>
      <c r="K211" s="1" t="s">
        <v>269</v>
      </c>
      <c r="L211" s="1" t="s">
        <v>1964</v>
      </c>
      <c r="M211" s="1" t="s">
        <v>1914</v>
      </c>
      <c r="N211" s="1" t="s">
        <v>139</v>
      </c>
      <c r="O211" s="1" t="s">
        <v>458</v>
      </c>
      <c r="Q211" s="1" t="s">
        <v>1916</v>
      </c>
      <c r="R211" s="1" t="s">
        <v>1914</v>
      </c>
      <c r="S211" s="1" t="s">
        <v>70</v>
      </c>
      <c r="T211" s="1" t="s">
        <v>1458</v>
      </c>
      <c r="U211" s="4" t="s">
        <v>1965</v>
      </c>
      <c r="V211" s="4" t="str">
        <f>IFERROR(__xludf.DUMMYFUNCTION("SPLIT(F211, "" "")"),"человеку")</f>
        <v>человеку</v>
      </c>
      <c r="W211" s="1" t="str">
        <f>IFERROR(__xludf.DUMMYFUNCTION("""COMPUTED_VALUE"""),"надо")</f>
        <v>надо</v>
      </c>
      <c r="X211" s="1" t="str">
        <f>IFERROR(__xludf.DUMMYFUNCTION("""COMPUTED_VALUE"""),"мучиться.")</f>
        <v>мучиться.</v>
      </c>
    </row>
    <row r="212" ht="14.25" customHeight="1">
      <c r="A212" s="1" t="s">
        <v>1966</v>
      </c>
      <c r="B212" s="1" t="s">
        <v>1967</v>
      </c>
      <c r="C212" s="2" t="s">
        <v>1968</v>
      </c>
      <c r="D212" s="7" t="s">
        <v>1969</v>
      </c>
      <c r="E212" s="1" t="s">
        <v>25</v>
      </c>
      <c r="F212" s="4" t="s">
        <v>1970</v>
      </c>
      <c r="G212" s="7" t="s">
        <v>1969</v>
      </c>
      <c r="H212" s="7" t="s">
        <v>1971</v>
      </c>
      <c r="I212" s="4" t="s">
        <v>1972</v>
      </c>
      <c r="J212" s="1" t="s">
        <v>1963</v>
      </c>
      <c r="K212" s="1" t="s">
        <v>269</v>
      </c>
      <c r="L212" s="1" t="s">
        <v>1973</v>
      </c>
      <c r="M212" s="1" t="s">
        <v>1914</v>
      </c>
      <c r="N212" s="1" t="s">
        <v>139</v>
      </c>
      <c r="O212" s="1" t="s">
        <v>458</v>
      </c>
      <c r="Q212" s="1" t="s">
        <v>1916</v>
      </c>
      <c r="R212" s="1" t="s">
        <v>1914</v>
      </c>
      <c r="S212" s="1" t="s">
        <v>70</v>
      </c>
      <c r="T212" s="1" t="s">
        <v>1458</v>
      </c>
      <c r="U212" s="4" t="s">
        <v>1974</v>
      </c>
      <c r="V212" s="4" t="str">
        <f>IFERROR(__xludf.DUMMYFUNCTION("SPLIT(F212, "" "")"),"инвалиду")</f>
        <v>инвалиду</v>
      </c>
      <c r="W212" s="1" t="str">
        <f>IFERROR(__xludf.DUMMYFUNCTION("""COMPUTED_VALUE"""),"мелочь")</f>
        <v>мелочь</v>
      </c>
      <c r="X212" s="1" t="str">
        <f>IFERROR(__xludf.DUMMYFUNCTION("""COMPUTED_VALUE"""),"в")</f>
        <v>в</v>
      </c>
      <c r="Y212" s="1" t="str">
        <f>IFERROR(__xludf.DUMMYFUNCTION("""COMPUTED_VALUE"""),"котомку,")</f>
        <v>котомку,</v>
      </c>
      <c r="Z212" s="1" t="str">
        <f>IFERROR(__xludf.DUMMYFUNCTION("""COMPUTED_VALUE"""),"а")</f>
        <v>а</v>
      </c>
      <c r="AA212" s="1" t="str">
        <f>IFERROR(__xludf.DUMMYFUNCTION("""COMPUTED_VALUE"""),"то")</f>
        <v>то</v>
      </c>
    </row>
    <row r="213" ht="14.25" customHeight="1">
      <c r="A213" s="1" t="s">
        <v>1975</v>
      </c>
      <c r="B213" s="1" t="s">
        <v>1976</v>
      </c>
      <c r="C213" s="2" t="s">
        <v>1977</v>
      </c>
      <c r="D213" s="7" t="s">
        <v>1978</v>
      </c>
      <c r="E213" s="1" t="s">
        <v>25</v>
      </c>
      <c r="F213" s="4" t="s">
        <v>1979</v>
      </c>
      <c r="G213" s="7" t="s">
        <v>1978</v>
      </c>
      <c r="H213" s="7" t="s">
        <v>1980</v>
      </c>
      <c r="I213" s="4" t="s">
        <v>1981</v>
      </c>
      <c r="J213" s="1" t="s">
        <v>1982</v>
      </c>
      <c r="K213" s="1" t="s">
        <v>1983</v>
      </c>
      <c r="L213" s="1" t="s">
        <v>1984</v>
      </c>
      <c r="M213" s="1" t="s">
        <v>1914</v>
      </c>
      <c r="N213" s="1" t="s">
        <v>51</v>
      </c>
      <c r="O213" s="1" t="s">
        <v>1798</v>
      </c>
      <c r="P213" s="1" t="s">
        <v>1985</v>
      </c>
      <c r="Q213" s="1" t="s">
        <v>1916</v>
      </c>
      <c r="R213" s="1" t="s">
        <v>1914</v>
      </c>
      <c r="S213" s="1" t="s">
        <v>70</v>
      </c>
      <c r="T213" s="1" t="s">
        <v>1458</v>
      </c>
      <c r="U213" s="4" t="s">
        <v>1986</v>
      </c>
      <c r="V213" s="4" t="str">
        <f>IFERROR(__xludf.DUMMYFUNCTION("SPLIT(F213, "" "")"),"тени,")</f>
        <v>тени,</v>
      </c>
      <c r="W213" s="1" t="str">
        <f>IFERROR(__xludf.DUMMYFUNCTION("""COMPUTED_VALUE"""),"вспугивая")</f>
        <v>вспугивая</v>
      </c>
      <c r="X213" s="1" t="str">
        <f>IFERROR(__xludf.DUMMYFUNCTION("""COMPUTED_VALUE"""),"стайки")</f>
        <v>стайки</v>
      </c>
      <c r="Y213" s="1" t="str">
        <f>IFERROR(__xludf.DUMMYFUNCTION("""COMPUTED_VALUE"""),"оводеневших")</f>
        <v>оводеневших</v>
      </c>
      <c r="Z213" s="1" t="str">
        <f>IFERROR(__xludf.DUMMYFUNCTION("""COMPUTED_VALUE"""),"солнечных")</f>
        <v>солнечных</v>
      </c>
      <c r="AA213" s="1" t="str">
        <f>IFERROR(__xludf.DUMMYFUNCTION("""COMPUTED_VALUE"""),"зайчиков")</f>
        <v>зайчиков</v>
      </c>
    </row>
    <row r="214" ht="14.25" customHeight="1">
      <c r="A214" s="1" t="s">
        <v>1987</v>
      </c>
      <c r="B214" s="1" t="s">
        <v>1072</v>
      </c>
      <c r="C214" s="2" t="s">
        <v>1988</v>
      </c>
      <c r="D214" s="7" t="s">
        <v>1074</v>
      </c>
      <c r="E214" s="1" t="s">
        <v>197</v>
      </c>
      <c r="F214" s="4" t="s">
        <v>1989</v>
      </c>
      <c r="G214" s="7" t="s">
        <v>1074</v>
      </c>
      <c r="H214" s="7" t="s">
        <v>1990</v>
      </c>
      <c r="I214" s="4" t="s">
        <v>1981</v>
      </c>
      <c r="J214" s="1" t="s">
        <v>1982</v>
      </c>
      <c r="K214" s="1" t="s">
        <v>1983</v>
      </c>
      <c r="L214" s="1" t="s">
        <v>1984</v>
      </c>
      <c r="M214" s="1" t="s">
        <v>1914</v>
      </c>
      <c r="N214" s="1" t="s">
        <v>51</v>
      </c>
      <c r="O214" s="1" t="s">
        <v>1798</v>
      </c>
      <c r="P214" s="1" t="s">
        <v>1985</v>
      </c>
      <c r="Q214" s="1" t="s">
        <v>1916</v>
      </c>
      <c r="R214" s="1" t="s">
        <v>1914</v>
      </c>
      <c r="S214" s="1" t="s">
        <v>70</v>
      </c>
      <c r="T214" s="1" t="s">
        <v>1458</v>
      </c>
      <c r="U214" s="4" t="s">
        <v>1991</v>
      </c>
      <c r="V214" s="4" t="str">
        <f>IFERROR(__xludf.DUMMYFUNCTION("SPLIT(F214, "" "")"),"зренью")</f>
        <v>зренью</v>
      </c>
      <c r="W214" s="1" t="str">
        <f>IFERROR(__xludf.DUMMYFUNCTION("""COMPUTED_VALUE"""),"не")</f>
        <v>не</v>
      </c>
      <c r="X214" s="1" t="str">
        <f>IFERROR(__xludf.DUMMYFUNCTION("""COMPUTED_VALUE"""),"стать")</f>
        <v>стать</v>
      </c>
      <c r="Y214" s="1" t="str">
        <f>IFERROR(__xludf.DUMMYFUNCTION("""COMPUTED_VALUE"""),"бы")</f>
        <v>бы</v>
      </c>
      <c r="Z214" s="1" t="str">
        <f>IFERROR(__xludf.DUMMYFUNCTION("""COMPUTED_VALUE"""),"нескромным")</f>
        <v>нескромным</v>
      </c>
      <c r="AA214" s="1" t="str">
        <f>IFERROR(__xludf.DUMMYFUNCTION("""COMPUTED_VALUE"""),"обжоркой")</f>
        <v>обжоркой</v>
      </c>
    </row>
    <row r="215" ht="14.25" customHeight="1">
      <c r="A215" s="1" t="s">
        <v>1992</v>
      </c>
      <c r="B215" s="1" t="s">
        <v>1993</v>
      </c>
      <c r="C215" s="2" t="s">
        <v>1994</v>
      </c>
      <c r="D215" s="7" t="s">
        <v>1995</v>
      </c>
      <c r="E215" s="1" t="s">
        <v>25</v>
      </c>
      <c r="F215" s="4" t="s">
        <v>1996</v>
      </c>
      <c r="G215" s="7" t="s">
        <v>1995</v>
      </c>
      <c r="H215" s="7" t="s">
        <v>1997</v>
      </c>
      <c r="I215" s="4" t="s">
        <v>1998</v>
      </c>
      <c r="J215" s="1" t="s">
        <v>1999</v>
      </c>
      <c r="K215" s="1" t="s">
        <v>1362</v>
      </c>
      <c r="L215" s="1" t="s">
        <v>2000</v>
      </c>
      <c r="M215" s="1" t="s">
        <v>1914</v>
      </c>
      <c r="N215" s="1" t="s">
        <v>51</v>
      </c>
      <c r="O215" s="1" t="s">
        <v>67</v>
      </c>
      <c r="P215" s="1" t="s">
        <v>2001</v>
      </c>
      <c r="Q215" s="1" t="s">
        <v>2002</v>
      </c>
      <c r="R215" s="1" t="s">
        <v>1914</v>
      </c>
      <c r="S215" s="1" t="s">
        <v>70</v>
      </c>
      <c r="T215" s="1" t="s">
        <v>1458</v>
      </c>
      <c r="U215" s="4" t="s">
        <v>2003</v>
      </c>
      <c r="V215" s="4" t="str">
        <f>IFERROR(__xludf.DUMMYFUNCTION("SPLIT(F215, "" "")"),"откровенности")</f>
        <v>откровенности</v>
      </c>
      <c r="W215" s="1" t="str">
        <f>IFERROR(__xludf.DUMMYFUNCTION("""COMPUTED_VALUE"""),"по")</f>
        <v>по</v>
      </c>
      <c r="X215" s="1" t="str">
        <f>IFERROR(__xludf.DUMMYFUNCTION("""COMPUTED_VALUE"""),"части")</f>
        <v>части</v>
      </c>
      <c r="Y215" s="1" t="str">
        <f>IFERROR(__xludf.DUMMYFUNCTION("""COMPUTED_VALUE"""),"разных")</f>
        <v>разных</v>
      </c>
      <c r="Z215" s="1" t="str">
        <f>IFERROR(__xludf.DUMMYFUNCTION("""COMPUTED_VALUE"""),"личных")</f>
        <v>личных</v>
      </c>
      <c r="AA215" s="1" t="str">
        <f>IFERROR(__xludf.DUMMYFUNCTION("""COMPUTED_VALUE"""),"проблем")</f>
        <v>проблем</v>
      </c>
    </row>
    <row r="216" ht="14.25" customHeight="1">
      <c r="A216" s="1" t="s">
        <v>2004</v>
      </c>
      <c r="B216" s="1" t="s">
        <v>2005</v>
      </c>
      <c r="C216" s="2" t="s">
        <v>2006</v>
      </c>
      <c r="D216" s="7" t="s">
        <v>2007</v>
      </c>
      <c r="E216" s="1" t="s">
        <v>25</v>
      </c>
      <c r="F216" s="4" t="s">
        <v>2008</v>
      </c>
      <c r="G216" s="7" t="s">
        <v>2007</v>
      </c>
      <c r="H216" s="7" t="s">
        <v>2009</v>
      </c>
      <c r="I216" s="4" t="s">
        <v>2010</v>
      </c>
      <c r="J216" s="1" t="s">
        <v>2011</v>
      </c>
      <c r="K216" s="1" t="s">
        <v>2012</v>
      </c>
      <c r="L216" s="1" t="s">
        <v>2013</v>
      </c>
      <c r="M216" s="1" t="s">
        <v>1914</v>
      </c>
      <c r="N216" s="1" t="s">
        <v>51</v>
      </c>
      <c r="O216" s="1" t="s">
        <v>67</v>
      </c>
      <c r="P216" s="1" t="s">
        <v>2014</v>
      </c>
      <c r="Q216" s="1" t="s">
        <v>2002</v>
      </c>
      <c r="R216" s="1" t="s">
        <v>1914</v>
      </c>
      <c r="S216" s="1" t="s">
        <v>70</v>
      </c>
      <c r="T216" s="1" t="s">
        <v>1458</v>
      </c>
      <c r="U216" s="4" t="s">
        <v>2015</v>
      </c>
      <c r="V216" s="4" t="str">
        <f>IFERROR(__xludf.DUMMYFUNCTION("SPLIT(F216, "" "")"),"русской")</f>
        <v>русской</v>
      </c>
      <c r="W216" s="1" t="str">
        <f>IFERROR(__xludf.DUMMYFUNCTION("""COMPUTED_VALUE"""),"крови")</f>
        <v>крови</v>
      </c>
      <c r="X216" s="1" t="str">
        <f>IFERROR(__xludf.DUMMYFUNCTION("""COMPUTED_VALUE"""),"ради")</f>
        <v>ради</v>
      </c>
      <c r="Y216" s="1" t="str">
        <f>IFERROR(__xludf.DUMMYFUNCTION("""COMPUTED_VALUE"""),"спасения")</f>
        <v>спасения</v>
      </c>
      <c r="Z216" s="1" t="str">
        <f>IFERROR(__xludf.DUMMYFUNCTION("""COMPUTED_VALUE"""),"союзных")</f>
        <v>союзных</v>
      </c>
      <c r="AA216" s="1" t="str">
        <f>IFERROR(__xludf.DUMMYFUNCTION("""COMPUTED_VALUE"""),"армий")</f>
        <v>армий</v>
      </c>
    </row>
    <row r="217" ht="14.25" customHeight="1">
      <c r="A217" s="1" t="s">
        <v>2016</v>
      </c>
      <c r="B217" s="1" t="s">
        <v>1118</v>
      </c>
      <c r="C217" s="2" t="s">
        <v>2017</v>
      </c>
      <c r="D217" s="7" t="s">
        <v>1120</v>
      </c>
      <c r="E217" s="1" t="s">
        <v>25</v>
      </c>
      <c r="F217" s="4" t="s">
        <v>2018</v>
      </c>
      <c r="G217" s="7" t="s">
        <v>1120</v>
      </c>
      <c r="H217" s="7" t="s">
        <v>2019</v>
      </c>
      <c r="I217" s="4" t="s">
        <v>2020</v>
      </c>
      <c r="J217" s="1" t="s">
        <v>2021</v>
      </c>
      <c r="K217" s="1" t="s">
        <v>890</v>
      </c>
      <c r="L217" s="1" t="s">
        <v>2022</v>
      </c>
      <c r="M217" s="1" t="s">
        <v>1914</v>
      </c>
      <c r="N217" s="1" t="s">
        <v>139</v>
      </c>
      <c r="O217" s="1" t="s">
        <v>458</v>
      </c>
      <c r="Q217" s="1" t="s">
        <v>1916</v>
      </c>
      <c r="R217" s="1" t="s">
        <v>1914</v>
      </c>
      <c r="S217" s="1" t="s">
        <v>70</v>
      </c>
      <c r="T217" s="1" t="s">
        <v>1458</v>
      </c>
      <c r="U217" s="4" t="s">
        <v>2023</v>
      </c>
      <c r="V217" s="4" t="str">
        <f>IFERROR(__xludf.DUMMYFUNCTION("SPLIT(F217, "" "")"),"душе")</f>
        <v>душе</v>
      </c>
      <c r="W217" s="1" t="str">
        <f>IFERROR(__xludf.DUMMYFUNCTION("""COMPUTED_VALUE"""),"Млехи.")</f>
        <v>Млехи.</v>
      </c>
    </row>
    <row r="218" ht="14.25" customHeight="1">
      <c r="A218" s="1" t="s">
        <v>25</v>
      </c>
      <c r="B218" s="1" t="s">
        <v>2024</v>
      </c>
      <c r="C218" s="2"/>
      <c r="D218" s="7" t="s">
        <v>2025</v>
      </c>
      <c r="E218" s="1" t="s">
        <v>25</v>
      </c>
      <c r="F218" s="4" t="s">
        <v>2026</v>
      </c>
      <c r="G218" s="7" t="s">
        <v>2025</v>
      </c>
      <c r="H218" s="7" t="s">
        <v>2027</v>
      </c>
      <c r="I218" s="4" t="s">
        <v>2028</v>
      </c>
      <c r="J218" s="1" t="s">
        <v>2029</v>
      </c>
      <c r="K218" s="1" t="s">
        <v>1660</v>
      </c>
      <c r="L218" s="1" t="s">
        <v>2030</v>
      </c>
      <c r="M218" s="1" t="s">
        <v>1914</v>
      </c>
      <c r="N218" s="1" t="s">
        <v>139</v>
      </c>
      <c r="O218" s="1" t="s">
        <v>458</v>
      </c>
      <c r="Q218" s="1" t="s">
        <v>1916</v>
      </c>
      <c r="R218" s="1" t="s">
        <v>1914</v>
      </c>
      <c r="S218" s="1" t="s">
        <v>70</v>
      </c>
      <c r="T218" s="1" t="s">
        <v>1458</v>
      </c>
      <c r="U218" s="4" t="s">
        <v>2031</v>
      </c>
      <c r="V218" s="4" t="str">
        <f>IFERROR(__xludf.DUMMYFUNCTION("SPLIT(F218, "" "")"),"Боженьке")</f>
        <v>Боженьке</v>
      </c>
      <c r="W218" s="1" t="str">
        <f>IFERROR(__xludf.DUMMYFUNCTION("""COMPUTED_VALUE"""),"услужить,")</f>
        <v>услужить,</v>
      </c>
      <c r="X218" s="1" t="str">
        <f>IFERROR(__xludf.DUMMYFUNCTION("""COMPUTED_VALUE"""),"наверное.")</f>
        <v>наверное.</v>
      </c>
    </row>
    <row r="219" ht="14.25" customHeight="1">
      <c r="A219" s="1" t="s">
        <v>2032</v>
      </c>
      <c r="B219" s="1" t="s">
        <v>699</v>
      </c>
      <c r="C219" s="2" t="s">
        <v>2033</v>
      </c>
      <c r="D219" s="7" t="s">
        <v>701</v>
      </c>
      <c r="E219" s="1" t="s">
        <v>25</v>
      </c>
      <c r="F219" s="4" t="s">
        <v>2034</v>
      </c>
      <c r="G219" s="7" t="s">
        <v>701</v>
      </c>
      <c r="H219" s="7" t="s">
        <v>2035</v>
      </c>
      <c r="I219" s="4" t="s">
        <v>2036</v>
      </c>
      <c r="J219" s="1" t="s">
        <v>2037</v>
      </c>
      <c r="K219" s="1" t="s">
        <v>905</v>
      </c>
      <c r="L219" s="1" t="s">
        <v>2038</v>
      </c>
      <c r="M219" s="1" t="s">
        <v>1914</v>
      </c>
      <c r="N219" s="1" t="s">
        <v>139</v>
      </c>
      <c r="O219" s="1" t="s">
        <v>458</v>
      </c>
      <c r="Q219" s="1" t="s">
        <v>1916</v>
      </c>
      <c r="R219" s="1" t="s">
        <v>1914</v>
      </c>
      <c r="S219" s="1" t="s">
        <v>70</v>
      </c>
      <c r="T219" s="1" t="s">
        <v>1458</v>
      </c>
      <c r="U219" s="4" t="s">
        <v>2039</v>
      </c>
      <c r="V219" s="4" t="str">
        <f>IFERROR(__xludf.DUMMYFUNCTION("SPLIT(F219, "" "")"),"России")</f>
        <v>России</v>
      </c>
      <c r="W219" s="1" t="str">
        <f>IFERROR(__xludf.DUMMYFUNCTION("""COMPUTED_VALUE"""),"и")</f>
        <v>и</v>
      </c>
      <c r="X219" s="1" t="str">
        <f>IFERROR(__xludf.DUMMYFUNCTION("""COMPUTED_VALUE"""),"был")</f>
        <v>был</v>
      </c>
      <c r="Y219" s="1" t="str">
        <f>IFERROR(__xludf.DUMMYFUNCTION("""COMPUTED_VALUE"""),"готов")</f>
        <v>готов</v>
      </c>
      <c r="Z219" s="1" t="str">
        <f>IFERROR(__xludf.DUMMYFUNCTION("""COMPUTED_VALUE"""),"поделиться")</f>
        <v>поделиться</v>
      </c>
      <c r="AA219" s="1" t="str">
        <f>IFERROR(__xludf.DUMMYFUNCTION("""COMPUTED_VALUE"""),"местом")</f>
        <v>местом</v>
      </c>
    </row>
    <row r="220" ht="14.25" customHeight="1">
      <c r="A220" s="1" t="s">
        <v>2040</v>
      </c>
      <c r="B220" s="1" t="s">
        <v>546</v>
      </c>
      <c r="C220" s="2" t="s">
        <v>2041</v>
      </c>
      <c r="D220" s="7" t="s">
        <v>548</v>
      </c>
      <c r="E220" s="1" t="s">
        <v>25</v>
      </c>
      <c r="F220" s="4" t="s">
        <v>2042</v>
      </c>
      <c r="G220" s="7" t="s">
        <v>548</v>
      </c>
      <c r="H220" s="7" t="s">
        <v>402</v>
      </c>
      <c r="I220" s="4" t="s">
        <v>2043</v>
      </c>
      <c r="J220" s="1" t="s">
        <v>2044</v>
      </c>
      <c r="K220" s="1" t="s">
        <v>1537</v>
      </c>
      <c r="L220" s="1" t="s">
        <v>2045</v>
      </c>
      <c r="M220" s="1" t="s">
        <v>1914</v>
      </c>
      <c r="N220" s="1" t="s">
        <v>51</v>
      </c>
      <c r="O220" s="1" t="s">
        <v>67</v>
      </c>
      <c r="P220" s="1" t="s">
        <v>2046</v>
      </c>
      <c r="Q220" s="1" t="s">
        <v>2047</v>
      </c>
      <c r="R220" s="1" t="s">
        <v>1914</v>
      </c>
      <c r="S220" s="1" t="s">
        <v>70</v>
      </c>
      <c r="T220" s="1" t="s">
        <v>1458</v>
      </c>
      <c r="U220" s="4" t="s">
        <v>2048</v>
      </c>
      <c r="V220" s="4" t="str">
        <f>IFERROR(__xludf.DUMMYFUNCTION("SPLIT(F220, "" "")"),"возможности")</f>
        <v>возможности</v>
      </c>
      <c r="W220" s="1" t="str">
        <f>IFERROR(__xludf.DUMMYFUNCTION("""COMPUTED_VALUE"""),"нового,")</f>
        <v>нового,</v>
      </c>
      <c r="X220" s="1" t="str">
        <f>IFERROR(__xludf.DUMMYFUNCTION("""COMPUTED_VALUE"""),"однако")</f>
        <v>однако</v>
      </c>
      <c r="Y220" s="1" t="str">
        <f>IFERROR(__xludf.DUMMYFUNCTION("""COMPUTED_VALUE"""),"временного,")</f>
        <v>временного,</v>
      </c>
      <c r="Z220" s="1" t="str">
        <f>IFERROR(__xludf.DUMMYFUNCTION("""COMPUTED_VALUE"""),"урегулирования")</f>
        <v>урегулирования</v>
      </c>
      <c r="AA220" s="1" t="str">
        <f>IFERROR(__xludf.DUMMYFUNCTION("""COMPUTED_VALUE"""),"социальных")</f>
        <v>социальных</v>
      </c>
    </row>
    <row r="221" ht="14.25" customHeight="1">
      <c r="A221" s="1" t="s">
        <v>2049</v>
      </c>
      <c r="B221" s="1" t="s">
        <v>699</v>
      </c>
      <c r="C221" s="2" t="s">
        <v>2050</v>
      </c>
      <c r="D221" s="7" t="s">
        <v>701</v>
      </c>
      <c r="E221" s="1" t="s">
        <v>25</v>
      </c>
      <c r="F221" s="4" t="s">
        <v>2051</v>
      </c>
      <c r="G221" s="7" t="s">
        <v>701</v>
      </c>
      <c r="H221" s="7" t="s">
        <v>2052</v>
      </c>
      <c r="I221" s="4" t="s">
        <v>2053</v>
      </c>
      <c r="J221" s="1" t="s">
        <v>2054</v>
      </c>
      <c r="K221" s="1" t="s">
        <v>2055</v>
      </c>
      <c r="L221" s="1" t="s">
        <v>2056</v>
      </c>
      <c r="M221" s="1" t="s">
        <v>1914</v>
      </c>
      <c r="N221" s="1" t="s">
        <v>51</v>
      </c>
      <c r="O221" s="1" t="s">
        <v>67</v>
      </c>
      <c r="P221" s="1" t="s">
        <v>2057</v>
      </c>
      <c r="Q221" s="1" t="s">
        <v>2002</v>
      </c>
      <c r="R221" s="1" t="s">
        <v>1914</v>
      </c>
      <c r="S221" s="1" t="s">
        <v>70</v>
      </c>
      <c r="T221" s="1" t="s">
        <v>1458</v>
      </c>
      <c r="U221" s="4" t="s">
        <v>2058</v>
      </c>
      <c r="V221" s="4" t="str">
        <f>IFERROR(__xludf.DUMMYFUNCTION("SPLIT(F221, "" "")"),"декабристам,")</f>
        <v>декабристам,</v>
      </c>
      <c r="W221" s="1" t="str">
        <f>IFERROR(__xludf.DUMMYFUNCTION("""COMPUTED_VALUE"""),"резко")</f>
        <v>резко</v>
      </c>
      <c r="X221" s="1" t="str">
        <f>IFERROR(__xludf.DUMMYFUNCTION("""COMPUTED_VALUE"""),"отзывался")</f>
        <v>отзывался</v>
      </c>
      <c r="Y221" s="1" t="str">
        <f>IFERROR(__xludf.DUMMYFUNCTION("""COMPUTED_VALUE"""),"об")</f>
        <v>об</v>
      </c>
      <c r="Z221" s="1" t="str">
        <f>IFERROR(__xludf.DUMMYFUNCTION("""COMPUTED_VALUE"""),"их")</f>
        <v>их</v>
      </c>
      <c r="AA221" s="1" t="str">
        <f>IFERROR(__xludf.DUMMYFUNCTION("""COMPUTED_VALUE"""),"казни")</f>
        <v>казни</v>
      </c>
    </row>
    <row r="222" ht="14.25" customHeight="1">
      <c r="A222" s="1" t="s">
        <v>2059</v>
      </c>
      <c r="B222" s="1" t="s">
        <v>59</v>
      </c>
      <c r="C222" s="2" t="s">
        <v>2060</v>
      </c>
      <c r="D222" s="7" t="s">
        <v>61</v>
      </c>
      <c r="E222" s="1" t="s">
        <v>25</v>
      </c>
      <c r="F222" s="4" t="s">
        <v>2061</v>
      </c>
      <c r="G222" s="7" t="s">
        <v>61</v>
      </c>
      <c r="H222" s="7" t="s">
        <v>2062</v>
      </c>
      <c r="I222" s="4" t="s">
        <v>2063</v>
      </c>
      <c r="J222" s="1" t="s">
        <v>2064</v>
      </c>
      <c r="L222" s="1" t="s">
        <v>2065</v>
      </c>
      <c r="M222" s="1" t="s">
        <v>1914</v>
      </c>
      <c r="N222" s="1" t="s">
        <v>51</v>
      </c>
      <c r="O222" s="1" t="s">
        <v>2066</v>
      </c>
      <c r="P222" s="1" t="s">
        <v>2067</v>
      </c>
      <c r="Q222" s="1" t="s">
        <v>1832</v>
      </c>
      <c r="R222" s="1" t="s">
        <v>1914</v>
      </c>
      <c r="S222" s="1" t="s">
        <v>70</v>
      </c>
      <c r="T222" s="1" t="s">
        <v>1458</v>
      </c>
      <c r="U222" s="4" t="s">
        <v>2068</v>
      </c>
      <c r="V222" s="4" t="str">
        <f>IFERROR(__xludf.DUMMYFUNCTION("SPLIT(F222, "" "")"),"организациям,")</f>
        <v>организациям,</v>
      </c>
      <c r="W222" s="1" t="str">
        <f>IFERROR(__xludf.DUMMYFUNCTION("""COMPUTED_VALUE"""),"включая")</f>
        <v>включая</v>
      </c>
      <c r="X222" s="1" t="str">
        <f>IFERROR(__xludf.DUMMYFUNCTION("""COMPUTED_VALUE"""),"бюро")</f>
        <v>бюро</v>
      </c>
      <c r="Y222" s="1" t="str">
        <f>IFERROR(__xludf.DUMMYFUNCTION("""COMPUTED_VALUE"""),"Сергея")</f>
        <v>Сергея</v>
      </c>
      <c r="Z222" s="1" t="str">
        <f>IFERROR(__xludf.DUMMYFUNCTION("""COMPUTED_VALUE"""),"Королёва.")</f>
        <v>Королёва.</v>
      </c>
    </row>
    <row r="223" ht="14.25" customHeight="1">
      <c r="A223" s="1" t="s">
        <v>2069</v>
      </c>
      <c r="B223" s="1" t="s">
        <v>2070</v>
      </c>
      <c r="C223" s="2" t="s">
        <v>2071</v>
      </c>
      <c r="D223" s="7" t="s">
        <v>2072</v>
      </c>
      <c r="E223" s="1" t="s">
        <v>25</v>
      </c>
      <c r="F223" s="4" t="s">
        <v>2073</v>
      </c>
      <c r="G223" s="7" t="s">
        <v>2072</v>
      </c>
      <c r="H223" s="7" t="s">
        <v>2074</v>
      </c>
      <c r="I223" s="4" t="s">
        <v>2075</v>
      </c>
      <c r="J223" s="1" t="s">
        <v>2076</v>
      </c>
      <c r="K223" s="1" t="s">
        <v>1809</v>
      </c>
      <c r="L223" s="1" t="s">
        <v>2077</v>
      </c>
      <c r="M223" s="1" t="s">
        <v>1914</v>
      </c>
      <c r="N223" s="1" t="s">
        <v>51</v>
      </c>
      <c r="O223" s="1" t="s">
        <v>2078</v>
      </c>
      <c r="P223" s="1" t="s">
        <v>2079</v>
      </c>
      <c r="Q223" s="1" t="s">
        <v>2080</v>
      </c>
      <c r="R223" s="1" t="s">
        <v>1914</v>
      </c>
      <c r="S223" s="1" t="s">
        <v>70</v>
      </c>
      <c r="T223" s="1" t="s">
        <v>1458</v>
      </c>
      <c r="U223" s="4" t="s">
        <v>2081</v>
      </c>
      <c r="V223" s="4" t="str">
        <f>IFERROR(__xludf.DUMMYFUNCTION("SPLIT(F223, "" "")"),"невостребованности,")</f>
        <v>невостребованности,</v>
      </c>
      <c r="W223" s="1" t="str">
        <f>IFERROR(__xludf.DUMMYFUNCTION("""COMPUTED_VALUE"""),"переживал,")</f>
        <v>переживал,</v>
      </c>
      <c r="X223" s="1" t="str">
        <f>IFERROR(__xludf.DUMMYFUNCTION("""COMPUTED_VALUE"""),"что")</f>
        <v>что</v>
      </c>
      <c r="Y223" s="1" t="str">
        <f>IFERROR(__xludf.DUMMYFUNCTION("""COMPUTED_VALUE"""),"недостаточно")</f>
        <v>недостаточно</v>
      </c>
      <c r="Z223" s="1" t="str">
        <f>IFERROR(__xludf.DUMMYFUNCTION("""COMPUTED_VALUE"""),"остро")</f>
        <v>остро</v>
      </c>
      <c r="AA223" s="1" t="str">
        <f>IFERROR(__xludf.DUMMYFUNCTION("""COMPUTED_VALUE"""),"написал")</f>
        <v>написал</v>
      </c>
    </row>
    <row r="224" ht="14.25" customHeight="1">
      <c r="A224" s="1" t="s">
        <v>25</v>
      </c>
      <c r="B224" s="1" t="s">
        <v>2082</v>
      </c>
      <c r="C224" s="2"/>
      <c r="D224" s="7" t="s">
        <v>2083</v>
      </c>
      <c r="E224" s="1" t="s">
        <v>25</v>
      </c>
      <c r="F224" s="4" t="s">
        <v>2084</v>
      </c>
      <c r="G224" s="7" t="s">
        <v>2083</v>
      </c>
      <c r="H224" s="7" t="s">
        <v>2085</v>
      </c>
      <c r="I224" s="4" t="s">
        <v>2086</v>
      </c>
      <c r="J224" s="1" t="s">
        <v>2087</v>
      </c>
      <c r="K224" s="1" t="s">
        <v>745</v>
      </c>
      <c r="L224" s="1" t="s">
        <v>2088</v>
      </c>
      <c r="M224" s="1" t="s">
        <v>1914</v>
      </c>
      <c r="N224" s="1" t="s">
        <v>139</v>
      </c>
      <c r="O224" s="1" t="s">
        <v>367</v>
      </c>
      <c r="Q224" s="1" t="s">
        <v>1916</v>
      </c>
      <c r="R224" s="1" t="s">
        <v>1914</v>
      </c>
      <c r="S224" s="1" t="s">
        <v>70</v>
      </c>
      <c r="T224" s="1" t="s">
        <v>1458</v>
      </c>
      <c r="U224" s="4" t="s">
        <v>2089</v>
      </c>
      <c r="V224" s="4" t="str">
        <f>IFERROR(__xludf.DUMMYFUNCTION("SPLIT(F224, "" "")"),"холодной")</f>
        <v>холодной</v>
      </c>
      <c r="W224" s="1" t="str">
        <f>IFERROR(__xludf.DUMMYFUNCTION("""COMPUTED_VALUE"""),"газированной")</f>
        <v>газированной</v>
      </c>
      <c r="X224" s="1" t="str">
        <f>IFERROR(__xludf.DUMMYFUNCTION("""COMPUTED_VALUE"""),"воды,")</f>
        <v>воды,</v>
      </c>
      <c r="Y224" s="1" t="str">
        <f>IFERROR(__xludf.DUMMYFUNCTION("""COMPUTED_VALUE"""),"и")</f>
        <v>и</v>
      </c>
      <c r="Z224" s="1" t="str">
        <f>IFERROR(__xludf.DUMMYFUNCTION("""COMPUTED_VALUE"""),"закурить,")</f>
        <v>закурить,</v>
      </c>
      <c r="AA224" s="1" t="str">
        <f>IFERROR(__xludf.DUMMYFUNCTION("""COMPUTED_VALUE"""),"и")</f>
        <v>и</v>
      </c>
    </row>
    <row r="225" ht="14.25" customHeight="1">
      <c r="A225" s="1" t="s">
        <v>2090</v>
      </c>
      <c r="B225" s="1" t="s">
        <v>639</v>
      </c>
      <c r="C225" s="2" t="s">
        <v>2091</v>
      </c>
      <c r="D225" s="7" t="s">
        <v>641</v>
      </c>
      <c r="E225" s="1" t="s">
        <v>25</v>
      </c>
      <c r="F225" s="4" t="s">
        <v>2092</v>
      </c>
      <c r="G225" s="7" t="s">
        <v>641</v>
      </c>
      <c r="H225" s="7" t="s">
        <v>1521</v>
      </c>
      <c r="I225" s="4" t="s">
        <v>2086</v>
      </c>
      <c r="J225" s="1" t="s">
        <v>2087</v>
      </c>
      <c r="K225" s="1" t="s">
        <v>745</v>
      </c>
      <c r="L225" s="1" t="s">
        <v>2088</v>
      </c>
      <c r="M225" s="1" t="s">
        <v>1914</v>
      </c>
      <c r="N225" s="1" t="s">
        <v>139</v>
      </c>
      <c r="O225" s="1" t="s">
        <v>367</v>
      </c>
      <c r="Q225" s="1" t="s">
        <v>1916</v>
      </c>
      <c r="R225" s="1" t="s">
        <v>1914</v>
      </c>
      <c r="S225" s="1" t="s">
        <v>70</v>
      </c>
      <c r="T225" s="1" t="s">
        <v>1458</v>
      </c>
      <c r="U225" s="4" t="s">
        <v>2093</v>
      </c>
      <c r="V225" s="4" t="str">
        <f>IFERROR(__xludf.DUMMYFUNCTION("SPLIT(F225, "" "")"),"тому,")</f>
        <v>тому,</v>
      </c>
      <c r="W225" s="1" t="str">
        <f>IFERROR(__xludf.DUMMYFUNCTION("""COMPUTED_VALUE"""),"что")</f>
        <v>что</v>
      </c>
      <c r="X225" s="1" t="str">
        <f>IFERROR(__xludf.DUMMYFUNCTION("""COMPUTED_VALUE"""),"в")</f>
        <v>в</v>
      </c>
      <c r="Y225" s="1" t="str">
        <f>IFERROR(__xludf.DUMMYFUNCTION("""COMPUTED_VALUE"""),"кошельке")</f>
        <v>кошельке</v>
      </c>
      <c r="Z225" s="1" t="str">
        <f>IFERROR(__xludf.DUMMYFUNCTION("""COMPUTED_VALUE"""),"у")</f>
        <v>у</v>
      </c>
      <c r="AA225" s="1" t="str">
        <f>IFERROR(__xludf.DUMMYFUNCTION("""COMPUTED_VALUE"""),"него")</f>
        <v>него</v>
      </c>
    </row>
    <row r="226" ht="14.25" customHeight="1">
      <c r="A226" s="1" t="s">
        <v>2094</v>
      </c>
      <c r="B226" s="1" t="s">
        <v>2095</v>
      </c>
      <c r="C226" s="2" t="s">
        <v>2096</v>
      </c>
      <c r="D226" s="7" t="s">
        <v>2097</v>
      </c>
      <c r="E226" s="1" t="s">
        <v>25</v>
      </c>
      <c r="F226" s="4" t="s">
        <v>2098</v>
      </c>
      <c r="G226" s="7" t="s">
        <v>2097</v>
      </c>
      <c r="H226" s="7" t="s">
        <v>910</v>
      </c>
      <c r="I226" s="4" t="s">
        <v>2086</v>
      </c>
      <c r="J226" s="1" t="s">
        <v>2087</v>
      </c>
      <c r="K226" s="1" t="s">
        <v>745</v>
      </c>
      <c r="L226" s="1" t="s">
        <v>2088</v>
      </c>
      <c r="M226" s="1" t="s">
        <v>1914</v>
      </c>
      <c r="N226" s="1" t="s">
        <v>139</v>
      </c>
      <c r="O226" s="1" t="s">
        <v>367</v>
      </c>
      <c r="Q226" s="1" t="s">
        <v>1916</v>
      </c>
      <c r="R226" s="1" t="s">
        <v>1914</v>
      </c>
      <c r="S226" s="1" t="s">
        <v>70</v>
      </c>
      <c r="T226" s="1" t="s">
        <v>1458</v>
      </c>
      <c r="U226" s="4" t="s">
        <v>2099</v>
      </c>
      <c r="V226" s="4" t="str">
        <f>IFERROR(__xludf.DUMMYFUNCTION("SPLIT(F226, "" "")"),"чувству")</f>
        <v>чувству</v>
      </c>
      <c r="W226" s="1" t="str">
        <f>IFERROR(__xludf.DUMMYFUNCTION("""COMPUTED_VALUE"""),"юмора")</f>
        <v>юмора</v>
      </c>
      <c r="X226" s="1" t="str">
        <f>IFERROR(__xludf.DUMMYFUNCTION("""COMPUTED_VALUE"""),"своего")</f>
        <v>своего</v>
      </c>
      <c r="Y226" s="1" t="str">
        <f>IFERROR(__xludf.DUMMYFUNCTION("""COMPUTED_VALUE"""),"сына;")</f>
        <v>сына;</v>
      </c>
      <c r="Z226" s="1" t="str">
        <f>IFERROR(__xludf.DUMMYFUNCTION("""COMPUTED_VALUE"""),"успели")</f>
        <v>успели</v>
      </c>
      <c r="AA226" s="1" t="str">
        <f>IFERROR(__xludf.DUMMYFUNCTION("""COMPUTED_VALUE"""),"уже")</f>
        <v>уже</v>
      </c>
    </row>
    <row r="227" ht="14.25" customHeight="1">
      <c r="A227" s="1" t="s">
        <v>2100</v>
      </c>
      <c r="B227" s="1" t="s">
        <v>2101</v>
      </c>
      <c r="C227" s="2" t="s">
        <v>2102</v>
      </c>
      <c r="D227" s="7" t="s">
        <v>2103</v>
      </c>
      <c r="E227" s="1" t="s">
        <v>25</v>
      </c>
      <c r="F227" s="4" t="s">
        <v>2104</v>
      </c>
      <c r="G227" s="7" t="s">
        <v>2103</v>
      </c>
      <c r="H227" s="7" t="s">
        <v>2105</v>
      </c>
      <c r="I227" s="4" t="s">
        <v>2086</v>
      </c>
      <c r="J227" s="1" t="s">
        <v>2087</v>
      </c>
      <c r="K227" s="1" t="s">
        <v>745</v>
      </c>
      <c r="L227" s="1" t="s">
        <v>2088</v>
      </c>
      <c r="M227" s="1" t="s">
        <v>1914</v>
      </c>
      <c r="N227" s="1" t="s">
        <v>139</v>
      </c>
      <c r="O227" s="1" t="s">
        <v>367</v>
      </c>
      <c r="Q227" s="1" t="s">
        <v>1916</v>
      </c>
      <c r="R227" s="1" t="s">
        <v>1914</v>
      </c>
      <c r="S227" s="1" t="s">
        <v>70</v>
      </c>
      <c r="T227" s="1" t="s">
        <v>1458</v>
      </c>
      <c r="U227" s="4" t="s">
        <v>2106</v>
      </c>
      <c r="V227" s="4" t="str">
        <f>IFERROR(__xludf.DUMMYFUNCTION("SPLIT(F227, "" "")"),"Петрову,")</f>
        <v>Петрову,</v>
      </c>
      <c r="W227" s="1" t="str">
        <f>IFERROR(__xludf.DUMMYFUNCTION("""COMPUTED_VALUE"""),"ей")</f>
        <v>ей</v>
      </c>
      <c r="X227" s="1" t="str">
        <f>IFERROR(__xludf.DUMMYFUNCTION("""COMPUTED_VALUE"""),"захотелось")</f>
        <v>захотелось</v>
      </c>
      <c r="Y227" s="1" t="str">
        <f>IFERROR(__xludf.DUMMYFUNCTION("""COMPUTED_VALUE"""),"познакомиться")</f>
        <v>познакомиться</v>
      </c>
      <c r="Z227" s="1" t="str">
        <f>IFERROR(__xludf.DUMMYFUNCTION("""COMPUTED_VALUE"""),"с")</f>
        <v>с</v>
      </c>
      <c r="AA227" s="1" t="str">
        <f>IFERROR(__xludf.DUMMYFUNCTION("""COMPUTED_VALUE"""),"таким")</f>
        <v>таким</v>
      </c>
    </row>
    <row r="228" ht="14.25" customHeight="1">
      <c r="A228" s="1" t="s">
        <v>2107</v>
      </c>
      <c r="B228" s="1" t="s">
        <v>2108</v>
      </c>
      <c r="C228" s="2" t="s">
        <v>2109</v>
      </c>
      <c r="D228" s="7" t="s">
        <v>2110</v>
      </c>
      <c r="E228" s="1" t="s">
        <v>25</v>
      </c>
      <c r="F228" s="4" t="s">
        <v>2111</v>
      </c>
      <c r="G228" s="7" t="s">
        <v>2110</v>
      </c>
      <c r="H228" s="7" t="s">
        <v>2112</v>
      </c>
      <c r="I228" s="4" t="s">
        <v>2086</v>
      </c>
      <c r="J228" s="1" t="s">
        <v>2087</v>
      </c>
      <c r="K228" s="1" t="s">
        <v>745</v>
      </c>
      <c r="L228" s="1" t="s">
        <v>2088</v>
      </c>
      <c r="M228" s="1" t="s">
        <v>1914</v>
      </c>
      <c r="N228" s="1" t="s">
        <v>139</v>
      </c>
      <c r="O228" s="1" t="s">
        <v>367</v>
      </c>
      <c r="Q228" s="1" t="s">
        <v>1916</v>
      </c>
      <c r="R228" s="1" t="s">
        <v>1914</v>
      </c>
      <c r="S228" s="1" t="s">
        <v>70</v>
      </c>
      <c r="T228" s="1" t="s">
        <v>1458</v>
      </c>
      <c r="U228" s="4" t="s">
        <v>2113</v>
      </c>
      <c r="V228" s="4" t="str">
        <f>IFERROR(__xludf.DUMMYFUNCTION("SPLIT(F228, "" "")"),"Петрову")</f>
        <v>Петрову</v>
      </c>
      <c r="W228" s="1" t="str">
        <f>IFERROR(__xludf.DUMMYFUNCTION("""COMPUTED_VALUE"""),"и")</f>
        <v>и</v>
      </c>
      <c r="X228" s="1" t="str">
        <f>IFERROR(__xludf.DUMMYFUNCTION("""COMPUTED_VALUE"""),"не")</f>
        <v>не</v>
      </c>
      <c r="Y228" s="1" t="str">
        <f>IFERROR(__xludf.DUMMYFUNCTION("""COMPUTED_VALUE"""),"дававшая")</f>
        <v>дававшая</v>
      </c>
      <c r="Z228" s="1" t="str">
        <f>IFERROR(__xludf.DUMMYFUNCTION("""COMPUTED_VALUE"""),"ей")</f>
        <v>ей</v>
      </c>
      <c r="AA228" s="1" t="str">
        <f>IFERROR(__xludf.DUMMYFUNCTION("""COMPUTED_VALUE"""),"прочитать")</f>
        <v>прочитать</v>
      </c>
    </row>
    <row r="229" ht="14.25" customHeight="1">
      <c r="A229" s="1" t="s">
        <v>2114</v>
      </c>
      <c r="B229" s="1" t="s">
        <v>73</v>
      </c>
      <c r="C229" s="2" t="s">
        <v>2115</v>
      </c>
      <c r="D229" s="7" t="s">
        <v>75</v>
      </c>
      <c r="E229" s="1" t="s">
        <v>197</v>
      </c>
      <c r="F229" s="4" t="s">
        <v>2116</v>
      </c>
      <c r="G229" s="7" t="s">
        <v>75</v>
      </c>
      <c r="H229" s="7" t="s">
        <v>2117</v>
      </c>
      <c r="I229" s="4" t="s">
        <v>2086</v>
      </c>
      <c r="J229" s="1" t="s">
        <v>2087</v>
      </c>
      <c r="K229" s="1" t="s">
        <v>745</v>
      </c>
      <c r="L229" s="1" t="s">
        <v>2088</v>
      </c>
      <c r="M229" s="1" t="s">
        <v>1914</v>
      </c>
      <c r="N229" s="1" t="s">
        <v>139</v>
      </c>
      <c r="O229" s="1" t="s">
        <v>367</v>
      </c>
      <c r="Q229" s="1" t="s">
        <v>1916</v>
      </c>
      <c r="R229" s="1" t="s">
        <v>1914</v>
      </c>
      <c r="S229" s="1" t="s">
        <v>70</v>
      </c>
      <c r="T229" s="1" t="s">
        <v>1458</v>
      </c>
      <c r="U229" s="4" t="s">
        <v>2118</v>
      </c>
      <c r="V229" s="4" t="str">
        <f>IFERROR(__xludf.DUMMYFUNCTION("SPLIT(F229, "" "")"),"стали")</f>
        <v>стали</v>
      </c>
      <c r="W229" s="1" t="str">
        <f>IFERROR(__xludf.DUMMYFUNCTION("""COMPUTED_VALUE"""),"расспрашивать,")</f>
        <v>расспрашивать,</v>
      </c>
      <c r="X229" s="1" t="str">
        <f>IFERROR(__xludf.DUMMYFUNCTION("""COMPUTED_VALUE"""),"не")</f>
        <v>не</v>
      </c>
      <c r="Y229" s="1" t="str">
        <f>IFERROR(__xludf.DUMMYFUNCTION("""COMPUTED_VALUE"""),"занималась")</f>
        <v>занималась</v>
      </c>
      <c r="Z229" s="1" t="str">
        <f>IFERROR(__xludf.DUMMYFUNCTION("""COMPUTED_VALUE"""),"ли")</f>
        <v>ли</v>
      </c>
      <c r="AA229" s="1" t="str">
        <f>IFERROR(__xludf.DUMMYFUNCTION("""COMPUTED_VALUE"""),"Петрова")</f>
        <v>Петрова</v>
      </c>
    </row>
    <row r="230" ht="14.25" customHeight="1">
      <c r="A230" s="1" t="s">
        <v>2119</v>
      </c>
      <c r="B230" s="1" t="s">
        <v>2120</v>
      </c>
      <c r="C230" s="2" t="s">
        <v>2121</v>
      </c>
      <c r="D230" s="7" t="s">
        <v>2122</v>
      </c>
      <c r="E230" s="1" t="s">
        <v>25</v>
      </c>
      <c r="F230" s="4" t="s">
        <v>2123</v>
      </c>
      <c r="G230" s="7" t="s">
        <v>2122</v>
      </c>
      <c r="H230" s="7" t="s">
        <v>2124</v>
      </c>
      <c r="I230" s="4" t="s">
        <v>2086</v>
      </c>
      <c r="J230" s="1" t="s">
        <v>2087</v>
      </c>
      <c r="K230" s="1" t="s">
        <v>745</v>
      </c>
      <c r="L230" s="1" t="s">
        <v>2088</v>
      </c>
      <c r="M230" s="1" t="s">
        <v>1914</v>
      </c>
      <c r="N230" s="1" t="s">
        <v>139</v>
      </c>
      <c r="O230" s="1" t="s">
        <v>367</v>
      </c>
      <c r="Q230" s="1" t="s">
        <v>1916</v>
      </c>
      <c r="R230" s="1" t="s">
        <v>1914</v>
      </c>
      <c r="S230" s="1" t="s">
        <v>70</v>
      </c>
      <c r="T230" s="1" t="s">
        <v>1458</v>
      </c>
      <c r="U230" s="4" t="s">
        <v>2125</v>
      </c>
      <c r="V230" s="4" t="str">
        <f>IFERROR(__xludf.DUMMYFUNCTION("SPLIT(F230, "" "")"),"Петрову),")</f>
        <v>Петрову),</v>
      </c>
      <c r="W230" s="1" t="str">
        <f>IFERROR(__xludf.DUMMYFUNCTION("""COMPUTED_VALUE"""),"―")</f>
        <v>―</v>
      </c>
      <c r="X230" s="1" t="str">
        <f>IFERROR(__xludf.DUMMYFUNCTION("""COMPUTED_VALUE"""),"отнеси")</f>
        <v>отнеси</v>
      </c>
      <c r="Y230" s="1" t="str">
        <f>IFERROR(__xludf.DUMMYFUNCTION("""COMPUTED_VALUE"""),"пакет")</f>
        <v>пакет</v>
      </c>
      <c r="Z230" s="1" t="str">
        <f>IFERROR(__xludf.DUMMYFUNCTION("""COMPUTED_VALUE"""),"на")</f>
        <v>на</v>
      </c>
      <c r="AA230" s="1" t="str">
        <f>IFERROR(__xludf.DUMMYFUNCTION("""COMPUTED_VALUE"""),"кухню.")</f>
        <v>кухню.</v>
      </c>
    </row>
    <row r="231" ht="14.25" customHeight="1">
      <c r="A231" s="1" t="s">
        <v>2126</v>
      </c>
      <c r="B231" s="1" t="s">
        <v>2127</v>
      </c>
      <c r="C231" s="2" t="s">
        <v>2128</v>
      </c>
      <c r="D231" s="7" t="s">
        <v>2129</v>
      </c>
      <c r="E231" s="1" t="s">
        <v>25</v>
      </c>
      <c r="F231" s="4" t="s">
        <v>2130</v>
      </c>
      <c r="G231" s="7" t="s">
        <v>2129</v>
      </c>
      <c r="H231" s="7" t="s">
        <v>2105</v>
      </c>
      <c r="I231" s="4" t="s">
        <v>2086</v>
      </c>
      <c r="J231" s="1" t="s">
        <v>2087</v>
      </c>
      <c r="K231" s="1" t="s">
        <v>745</v>
      </c>
      <c r="L231" s="1" t="s">
        <v>2088</v>
      </c>
      <c r="M231" s="1" t="s">
        <v>1914</v>
      </c>
      <c r="N231" s="1" t="s">
        <v>139</v>
      </c>
      <c r="O231" s="1" t="s">
        <v>367</v>
      </c>
      <c r="Q231" s="1" t="s">
        <v>1916</v>
      </c>
      <c r="R231" s="1" t="s">
        <v>1914</v>
      </c>
      <c r="S231" s="1" t="s">
        <v>70</v>
      </c>
      <c r="T231" s="1" t="s">
        <v>1458</v>
      </c>
      <c r="U231" s="4" t="s">
        <v>2131</v>
      </c>
      <c r="V231" s="4" t="str">
        <f>IFERROR(__xludf.DUMMYFUNCTION("SPLIT(F231, "" "")"),"Петрову,")</f>
        <v>Петрову,</v>
      </c>
      <c r="W231" s="1" t="str">
        <f>IFERROR(__xludf.DUMMYFUNCTION("""COMPUTED_VALUE"""),"но")</f>
        <v>но</v>
      </c>
      <c r="X231" s="1" t="str">
        <f>IFERROR(__xludf.DUMMYFUNCTION("""COMPUTED_VALUE"""),"доставляли")</f>
        <v>доставляли</v>
      </c>
      <c r="Y231" s="1" t="str">
        <f>IFERROR(__xludf.DUMMYFUNCTION("""COMPUTED_VALUE"""),"ей")</f>
        <v>ей</v>
      </c>
      <c r="Z231" s="1" t="str">
        <f>IFERROR(__xludf.DUMMYFUNCTION("""COMPUTED_VALUE"""),"неудобство.")</f>
        <v>неудобство.</v>
      </c>
    </row>
    <row r="232" ht="14.25" customHeight="1">
      <c r="A232" s="1" t="s">
        <v>2132</v>
      </c>
      <c r="B232" s="1" t="s">
        <v>2133</v>
      </c>
      <c r="C232" s="2" t="s">
        <v>2134</v>
      </c>
      <c r="D232" s="7" t="s">
        <v>2135</v>
      </c>
      <c r="E232" s="1" t="s">
        <v>25</v>
      </c>
      <c r="F232" s="4" t="s">
        <v>2136</v>
      </c>
      <c r="G232" s="7" t="s">
        <v>2135</v>
      </c>
      <c r="H232" s="7" t="s">
        <v>2112</v>
      </c>
      <c r="I232" s="4" t="s">
        <v>2086</v>
      </c>
      <c r="J232" s="1" t="s">
        <v>2087</v>
      </c>
      <c r="K232" s="1" t="s">
        <v>745</v>
      </c>
      <c r="L232" s="1" t="s">
        <v>2088</v>
      </c>
      <c r="M232" s="1" t="s">
        <v>1914</v>
      </c>
      <c r="N232" s="1" t="s">
        <v>139</v>
      </c>
      <c r="O232" s="1" t="s">
        <v>367</v>
      </c>
      <c r="Q232" s="1" t="s">
        <v>1916</v>
      </c>
      <c r="R232" s="1" t="s">
        <v>1914</v>
      </c>
      <c r="S232" s="1" t="s">
        <v>70</v>
      </c>
      <c r="T232" s="1" t="s">
        <v>1458</v>
      </c>
      <c r="U232" s="4" t="s">
        <v>2137</v>
      </c>
      <c r="V232" s="4" t="str">
        <f>IFERROR(__xludf.DUMMYFUNCTION("SPLIT(F232, "" "")"),"Петрову")</f>
        <v>Петрову</v>
      </c>
      <c r="W232" s="1" t="str">
        <f>IFERROR(__xludf.DUMMYFUNCTION("""COMPUTED_VALUE"""),"до")</f>
        <v>до</v>
      </c>
      <c r="X232" s="1" t="str">
        <f>IFERROR(__xludf.DUMMYFUNCTION("""COMPUTED_VALUE"""),"невозможности.")</f>
        <v>невозможности.</v>
      </c>
    </row>
    <row r="233" ht="14.25" customHeight="1">
      <c r="A233" s="1" t="s">
        <v>2138</v>
      </c>
      <c r="B233" s="1" t="s">
        <v>2139</v>
      </c>
      <c r="C233" s="2" t="s">
        <v>2140</v>
      </c>
      <c r="D233" s="7" t="s">
        <v>2141</v>
      </c>
      <c r="E233" s="1" t="s">
        <v>25</v>
      </c>
      <c r="F233" s="4" t="s">
        <v>2142</v>
      </c>
      <c r="G233" s="7" t="s">
        <v>2141</v>
      </c>
      <c r="H233" s="7" t="s">
        <v>2143</v>
      </c>
      <c r="I233" s="4" t="s">
        <v>2086</v>
      </c>
      <c r="J233" s="1" t="s">
        <v>2087</v>
      </c>
      <c r="K233" s="1" t="s">
        <v>745</v>
      </c>
      <c r="L233" s="1" t="s">
        <v>2088</v>
      </c>
      <c r="M233" s="1" t="s">
        <v>1914</v>
      </c>
      <c r="N233" s="1" t="s">
        <v>139</v>
      </c>
      <c r="O233" s="1" t="s">
        <v>367</v>
      </c>
      <c r="Q233" s="1" t="s">
        <v>1916</v>
      </c>
      <c r="R233" s="1" t="s">
        <v>1914</v>
      </c>
      <c r="S233" s="1" t="s">
        <v>70</v>
      </c>
      <c r="T233" s="1" t="s">
        <v>1458</v>
      </c>
      <c r="U233" s="4" t="s">
        <v>2144</v>
      </c>
      <c r="V233" s="4" t="str">
        <f>IFERROR(__xludf.DUMMYFUNCTION("SPLIT(F233, "" "")"),"провинциалам")</f>
        <v>провинциалам</v>
      </c>
      <c r="W233" s="1" t="str">
        <f>IFERROR(__xludf.DUMMYFUNCTION("""COMPUTED_VALUE"""),"и")</f>
        <v>и</v>
      </c>
      <c r="X233" s="1" t="str">
        <f>IFERROR(__xludf.DUMMYFUNCTION("""COMPUTED_VALUE"""),"не")</f>
        <v>не</v>
      </c>
      <c r="Y233" s="1" t="str">
        <f>IFERROR(__xludf.DUMMYFUNCTION("""COMPUTED_VALUE"""),"только")</f>
        <v>только</v>
      </c>
      <c r="Z233" s="1" t="str">
        <f>IFERROR(__xludf.DUMMYFUNCTION("""COMPUTED_VALUE"""),"провинциалом")</f>
        <v>провинциалом</v>
      </c>
      <c r="AA233" s="1" t="str">
        <f>IFERROR(__xludf.DUMMYFUNCTION("""COMPUTED_VALUE"""),"с")</f>
        <v>с</v>
      </c>
    </row>
    <row r="234" ht="14.25" customHeight="1">
      <c r="A234" s="1" t="s">
        <v>2145</v>
      </c>
      <c r="B234" s="1" t="s">
        <v>382</v>
      </c>
      <c r="C234" s="2" t="s">
        <v>2146</v>
      </c>
      <c r="D234" s="7" t="s">
        <v>384</v>
      </c>
      <c r="E234" s="1" t="s">
        <v>25</v>
      </c>
      <c r="F234" s="4" t="s">
        <v>2147</v>
      </c>
      <c r="G234" s="7" t="s">
        <v>384</v>
      </c>
      <c r="H234" s="7" t="s">
        <v>1521</v>
      </c>
      <c r="I234" s="4" t="s">
        <v>2148</v>
      </c>
      <c r="J234" s="1" t="s">
        <v>2149</v>
      </c>
      <c r="K234" s="1" t="s">
        <v>455</v>
      </c>
      <c r="L234" s="1" t="s">
        <v>2150</v>
      </c>
      <c r="M234" s="1" t="s">
        <v>1914</v>
      </c>
      <c r="N234" s="1" t="s">
        <v>139</v>
      </c>
      <c r="O234" s="1" t="s">
        <v>367</v>
      </c>
      <c r="Q234" s="1" t="s">
        <v>1916</v>
      </c>
      <c r="R234" s="1" t="s">
        <v>1914</v>
      </c>
      <c r="S234" s="1" t="s">
        <v>70</v>
      </c>
      <c r="T234" s="1" t="s">
        <v>1458</v>
      </c>
      <c r="U234" s="4" t="s">
        <v>2151</v>
      </c>
      <c r="V234" s="4" t="str">
        <f>IFERROR(__xludf.DUMMYFUNCTION("SPLIT(F234, "" "")"),"тому,")</f>
        <v>тому,</v>
      </c>
      <c r="W234" s="1" t="str">
        <f>IFERROR(__xludf.DUMMYFUNCTION("""COMPUTED_VALUE"""),"что")</f>
        <v>что</v>
      </c>
      <c r="X234" s="1" t="str">
        <f>IFERROR(__xludf.DUMMYFUNCTION("""COMPUTED_VALUE"""),"они")</f>
        <v>они</v>
      </c>
      <c r="Y234" s="1" t="str">
        <f>IFERROR(__xludf.DUMMYFUNCTION("""COMPUTED_VALUE"""),"до")</f>
        <v>до</v>
      </c>
      <c r="Z234" s="1" t="str">
        <f>IFERROR(__xludf.DUMMYFUNCTION("""COMPUTED_VALUE"""),"сих")</f>
        <v>сих</v>
      </c>
      <c r="AA234" s="1" t="str">
        <f>IFERROR(__xludf.DUMMYFUNCTION("""COMPUTED_VALUE"""),"пор")</f>
        <v>пор</v>
      </c>
    </row>
    <row r="235" ht="14.25" customHeight="1">
      <c r="A235" s="1" t="s">
        <v>2152</v>
      </c>
      <c r="B235" s="1" t="s">
        <v>2153</v>
      </c>
      <c r="C235" s="2" t="s">
        <v>2154</v>
      </c>
      <c r="D235" s="7" t="s">
        <v>2155</v>
      </c>
      <c r="E235" s="1" t="s">
        <v>25</v>
      </c>
      <c r="F235" s="4" t="s">
        <v>2156</v>
      </c>
      <c r="G235" s="7" t="s">
        <v>2155</v>
      </c>
      <c r="H235" s="7" t="s">
        <v>2157</v>
      </c>
      <c r="I235" s="4" t="s">
        <v>2148</v>
      </c>
      <c r="J235" s="1" t="s">
        <v>2149</v>
      </c>
      <c r="K235" s="1" t="s">
        <v>455</v>
      </c>
      <c r="L235" s="1" t="s">
        <v>2150</v>
      </c>
      <c r="M235" s="1" t="s">
        <v>1914</v>
      </c>
      <c r="N235" s="1" t="s">
        <v>139</v>
      </c>
      <c r="O235" s="1" t="s">
        <v>367</v>
      </c>
      <c r="Q235" s="1" t="s">
        <v>1916</v>
      </c>
      <c r="R235" s="1" t="s">
        <v>1914</v>
      </c>
      <c r="S235" s="1" t="s">
        <v>70</v>
      </c>
      <c r="T235" s="1" t="s">
        <v>1458</v>
      </c>
      <c r="U235" s="4" t="s">
        <v>2158</v>
      </c>
      <c r="V235" s="4" t="str">
        <f>IFERROR(__xludf.DUMMYFUNCTION("SPLIT(F235, "" "")"),"взгляду")</f>
        <v>взгляду</v>
      </c>
      <c r="W235" s="1" t="str">
        <f>IFERROR(__xludf.DUMMYFUNCTION("""COMPUTED_VALUE"""),"сразу")</f>
        <v>сразу</v>
      </c>
      <c r="X235" s="1" t="str">
        <f>IFERROR(__xludf.DUMMYFUNCTION("""COMPUTED_VALUE"""),"стало")</f>
        <v>стало</v>
      </c>
      <c r="Y235" s="1" t="str">
        <f>IFERROR(__xludf.DUMMYFUNCTION("""COMPUTED_VALUE"""),"понятно,")</f>
        <v>понятно,</v>
      </c>
      <c r="Z235" s="1" t="str">
        <f>IFERROR(__xludf.DUMMYFUNCTION("""COMPUTED_VALUE"""),"что")</f>
        <v>что</v>
      </c>
      <c r="AA235" s="1" t="str">
        <f>IFERROR(__xludf.DUMMYFUNCTION("""COMPUTED_VALUE"""),"заметила")</f>
        <v>заметила</v>
      </c>
    </row>
    <row r="236" ht="14.25" customHeight="1">
      <c r="A236" s="1" t="s">
        <v>2159</v>
      </c>
      <c r="B236" s="1" t="s">
        <v>382</v>
      </c>
      <c r="C236" s="2" t="s">
        <v>2160</v>
      </c>
      <c r="D236" s="7" t="s">
        <v>384</v>
      </c>
      <c r="E236" s="1" t="s">
        <v>25</v>
      </c>
      <c r="F236" s="4" t="s">
        <v>2161</v>
      </c>
      <c r="G236" s="7" t="s">
        <v>384</v>
      </c>
      <c r="H236" s="7" t="s">
        <v>543</v>
      </c>
      <c r="I236" s="4" t="s">
        <v>2148</v>
      </c>
      <c r="J236" s="1" t="s">
        <v>2149</v>
      </c>
      <c r="K236" s="1" t="s">
        <v>455</v>
      </c>
      <c r="L236" s="1" t="s">
        <v>2150</v>
      </c>
      <c r="M236" s="1" t="s">
        <v>1914</v>
      </c>
      <c r="N236" s="1" t="s">
        <v>139</v>
      </c>
      <c r="O236" s="1" t="s">
        <v>367</v>
      </c>
      <c r="Q236" s="1" t="s">
        <v>1916</v>
      </c>
      <c r="R236" s="1" t="s">
        <v>1914</v>
      </c>
      <c r="S236" s="1" t="s">
        <v>70</v>
      </c>
      <c r="T236" s="1" t="s">
        <v>1458</v>
      </c>
      <c r="U236" s="4" t="s">
        <v>2162</v>
      </c>
      <c r="V236" s="4" t="str">
        <f>IFERROR(__xludf.DUMMYFUNCTION("SPLIT(F236, "" "")"),"приходу")</f>
        <v>приходу</v>
      </c>
      <c r="W236" s="1" t="str">
        <f>IFERROR(__xludf.DUMMYFUNCTION("""COMPUTED_VALUE"""),"Мальты.")</f>
        <v>Мальты.</v>
      </c>
    </row>
    <row r="237" ht="14.25" customHeight="1">
      <c r="A237" s="1" t="s">
        <v>2163</v>
      </c>
      <c r="B237" s="1" t="s">
        <v>2164</v>
      </c>
      <c r="C237" s="2" t="s">
        <v>2165</v>
      </c>
      <c r="D237" s="7" t="s">
        <v>2166</v>
      </c>
      <c r="E237" s="1" t="s">
        <v>25</v>
      </c>
      <c r="F237" s="4" t="s">
        <v>2167</v>
      </c>
      <c r="G237" s="7" t="s">
        <v>2166</v>
      </c>
      <c r="H237" s="7" t="s">
        <v>1649</v>
      </c>
      <c r="I237" s="4" t="s">
        <v>2168</v>
      </c>
      <c r="J237" s="1" t="s">
        <v>2169</v>
      </c>
      <c r="L237" s="1" t="s">
        <v>2170</v>
      </c>
      <c r="M237" s="1" t="s">
        <v>1914</v>
      </c>
      <c r="N237" s="1" t="s">
        <v>51</v>
      </c>
      <c r="O237" s="1" t="s">
        <v>1375</v>
      </c>
      <c r="P237" s="1" t="s">
        <v>53</v>
      </c>
      <c r="Q237" s="1" t="s">
        <v>2047</v>
      </c>
      <c r="R237" s="1" t="s">
        <v>1914</v>
      </c>
      <c r="S237" s="1" t="s">
        <v>70</v>
      </c>
      <c r="T237" s="1" t="s">
        <v>1458</v>
      </c>
      <c r="U237" s="4" t="s">
        <v>2171</v>
      </c>
      <c r="V237" s="4" t="str">
        <f>IFERROR(__xludf.DUMMYFUNCTION("SPLIT(F237, "" "")"),"русским")</f>
        <v>русским</v>
      </c>
      <c r="W237" s="1" t="str">
        <f>IFERROR(__xludf.DUMMYFUNCTION("""COMPUTED_VALUE"""),"психологическим")</f>
        <v>психологическим</v>
      </c>
      <c r="X237" s="1" t="str">
        <f>IFERROR(__xludf.DUMMYFUNCTION("""COMPUTED_VALUE"""),"театром.")</f>
        <v>театром.</v>
      </c>
    </row>
    <row r="238" ht="14.25" customHeight="1">
      <c r="A238" s="1" t="s">
        <v>25</v>
      </c>
      <c r="B238" s="1" t="s">
        <v>1477</v>
      </c>
      <c r="C238" s="2"/>
      <c r="D238" s="7" t="s">
        <v>1478</v>
      </c>
      <c r="E238" s="1" t="s">
        <v>25</v>
      </c>
      <c r="F238" s="4" t="s">
        <v>2172</v>
      </c>
      <c r="G238" s="7" t="s">
        <v>1478</v>
      </c>
      <c r="H238" s="7" t="s">
        <v>2173</v>
      </c>
      <c r="I238" s="4" t="s">
        <v>2174</v>
      </c>
      <c r="J238" s="1" t="s">
        <v>2175</v>
      </c>
      <c r="L238" s="1" t="s">
        <v>2176</v>
      </c>
      <c r="M238" s="1" t="s">
        <v>1914</v>
      </c>
      <c r="N238" s="1" t="s">
        <v>51</v>
      </c>
      <c r="O238" s="1" t="s">
        <v>67</v>
      </c>
      <c r="P238" s="1" t="s">
        <v>2177</v>
      </c>
      <c r="Q238" s="1" t="s">
        <v>1832</v>
      </c>
      <c r="R238" s="1" t="s">
        <v>1914</v>
      </c>
      <c r="S238" s="1" t="s">
        <v>70</v>
      </c>
      <c r="T238" s="1" t="s">
        <v>1458</v>
      </c>
      <c r="U238" s="4" t="s">
        <v>2178</v>
      </c>
      <c r="V238" s="4" t="str">
        <f>IFERROR(__xludf.DUMMYFUNCTION("SPLIT(F238, "" "")"),"зверьку,")</f>
        <v>зверьку,</v>
      </c>
      <c r="W238" s="1" t="str">
        <f>IFERROR(__xludf.DUMMYFUNCTION("""COMPUTED_VALUE"""),"с")</f>
        <v>с</v>
      </c>
      <c r="X238" s="1" t="str">
        <f>IFERROR(__xludf.DUMMYFUNCTION("""COMPUTED_VALUE"""),"которым")</f>
        <v>которым</v>
      </c>
      <c r="Y238" s="1" t="str">
        <f>IFERROR(__xludf.DUMMYFUNCTION("""COMPUTED_VALUE"""),"мы")</f>
        <v>мы</v>
      </c>
      <c r="Z238" s="1" t="str">
        <f>IFERROR(__xludf.DUMMYFUNCTION("""COMPUTED_VALUE"""),"работали,")</f>
        <v>работали,</v>
      </c>
      <c r="AA238" s="1" t="str">
        <f>IFERROR(__xludf.DUMMYFUNCTION("""COMPUTED_VALUE"""),"было")</f>
        <v>было</v>
      </c>
    </row>
    <row r="239" ht="14.25" customHeight="1">
      <c r="A239" s="1" t="s">
        <v>2179</v>
      </c>
      <c r="B239" s="1" t="s">
        <v>2180</v>
      </c>
      <c r="C239" s="2" t="s">
        <v>2181</v>
      </c>
      <c r="D239" s="7" t="s">
        <v>2182</v>
      </c>
      <c r="E239" s="1" t="s">
        <v>25</v>
      </c>
      <c r="F239" s="4" t="s">
        <v>2183</v>
      </c>
      <c r="G239" s="7" t="s">
        <v>2182</v>
      </c>
      <c r="H239" s="7" t="s">
        <v>2184</v>
      </c>
      <c r="I239" s="4" t="s">
        <v>2185</v>
      </c>
      <c r="J239" s="1" t="s">
        <v>2186</v>
      </c>
      <c r="K239" s="1" t="s">
        <v>2187</v>
      </c>
      <c r="L239" s="1" t="s">
        <v>2188</v>
      </c>
      <c r="M239" s="1" t="s">
        <v>1914</v>
      </c>
      <c r="N239" s="1" t="s">
        <v>51</v>
      </c>
      <c r="O239" s="1" t="s">
        <v>891</v>
      </c>
      <c r="P239" s="1" t="s">
        <v>1929</v>
      </c>
      <c r="Q239" s="1" t="s">
        <v>1916</v>
      </c>
      <c r="R239" s="1" t="s">
        <v>1914</v>
      </c>
      <c r="S239" s="1" t="s">
        <v>70</v>
      </c>
      <c r="T239" s="1" t="s">
        <v>1458</v>
      </c>
      <c r="U239" s="4" t="s">
        <v>2189</v>
      </c>
      <c r="V239" s="4" t="str">
        <f>IFERROR(__xludf.DUMMYFUNCTION("SPLIT(F239, "" "")"),"политической")</f>
        <v>политической</v>
      </c>
      <c r="W239" s="1" t="str">
        <f>IFERROR(__xludf.DUMMYFUNCTION("""COMPUTED_VALUE"""),"доблестью")</f>
        <v>доблестью</v>
      </c>
      <c r="X239" s="1" t="str">
        <f>IFERROR(__xludf.DUMMYFUNCTION("""COMPUTED_VALUE"""),"Эдуарда")</f>
        <v>Эдуарда</v>
      </c>
      <c r="Y239" s="1" t="str">
        <f>IFERROR(__xludf.DUMMYFUNCTION("""COMPUTED_VALUE"""),"Лимонова,")</f>
        <v>Лимонова,</v>
      </c>
      <c r="Z239" s="1" t="str">
        <f>IFERROR(__xludf.DUMMYFUNCTION("""COMPUTED_VALUE"""),"теперь")</f>
        <v>теперь</v>
      </c>
      <c r="AA239" s="1" t="str">
        <f>IFERROR(__xludf.DUMMYFUNCTION("""COMPUTED_VALUE"""),"его")</f>
        <v>его</v>
      </c>
    </row>
    <row r="240" ht="14.25" customHeight="1">
      <c r="A240" s="1" t="s">
        <v>25</v>
      </c>
      <c r="B240" s="1" t="s">
        <v>2190</v>
      </c>
      <c r="C240" s="2"/>
      <c r="D240" s="7" t="s">
        <v>2191</v>
      </c>
      <c r="E240" s="1" t="s">
        <v>25</v>
      </c>
      <c r="F240" s="4" t="s">
        <v>2192</v>
      </c>
      <c r="G240" s="7" t="s">
        <v>2191</v>
      </c>
      <c r="H240" s="7" t="s">
        <v>2193</v>
      </c>
      <c r="I240" s="4" t="s">
        <v>2185</v>
      </c>
      <c r="J240" s="1" t="s">
        <v>2186</v>
      </c>
      <c r="K240" s="1" t="s">
        <v>2187</v>
      </c>
      <c r="L240" s="1" t="s">
        <v>2188</v>
      </c>
      <c r="M240" s="1" t="s">
        <v>1914</v>
      </c>
      <c r="N240" s="1" t="s">
        <v>51</v>
      </c>
      <c r="O240" s="1" t="s">
        <v>891</v>
      </c>
      <c r="P240" s="1" t="s">
        <v>1929</v>
      </c>
      <c r="Q240" s="1" t="s">
        <v>1916</v>
      </c>
      <c r="R240" s="1" t="s">
        <v>1914</v>
      </c>
      <c r="S240" s="1" t="s">
        <v>70</v>
      </c>
      <c r="T240" s="1" t="s">
        <v>1458</v>
      </c>
      <c r="U240" s="4" t="s">
        <v>2194</v>
      </c>
      <c r="V240" s="4" t="str">
        <f>IFERROR(__xludf.DUMMYFUNCTION("SPLIT(F240, "" "")"),"солнцу.")</f>
        <v>солнцу.</v>
      </c>
    </row>
    <row r="241" ht="14.25" customHeight="1">
      <c r="A241" s="1" t="s">
        <v>2195</v>
      </c>
      <c r="B241" s="1" t="s">
        <v>156</v>
      </c>
      <c r="C241" s="2" t="s">
        <v>2196</v>
      </c>
      <c r="D241" s="7" t="s">
        <v>158</v>
      </c>
      <c r="E241" s="1" t="s">
        <v>25</v>
      </c>
      <c r="F241" s="4" t="s">
        <v>2197</v>
      </c>
      <c r="G241" s="7" t="s">
        <v>158</v>
      </c>
      <c r="H241" s="7" t="s">
        <v>2198</v>
      </c>
      <c r="I241" s="4" t="s">
        <v>2199</v>
      </c>
      <c r="J241" s="1" t="s">
        <v>2200</v>
      </c>
      <c r="K241" s="1" t="s">
        <v>2201</v>
      </c>
      <c r="L241" s="1" t="s">
        <v>2202</v>
      </c>
      <c r="M241" s="1" t="s">
        <v>1914</v>
      </c>
      <c r="N241" s="1" t="s">
        <v>139</v>
      </c>
      <c r="O241" s="1" t="s">
        <v>458</v>
      </c>
      <c r="Q241" s="1" t="s">
        <v>1916</v>
      </c>
      <c r="R241" s="1" t="s">
        <v>1914</v>
      </c>
      <c r="S241" s="1" t="s">
        <v>70</v>
      </c>
      <c r="T241" s="1" t="s">
        <v>1458</v>
      </c>
      <c r="U241" s="4" t="s">
        <v>2203</v>
      </c>
      <c r="V241" s="4" t="str">
        <f>IFERROR(__xludf.DUMMYFUNCTION("SPLIT(F241, "" "")"),"мелочам")</f>
        <v>мелочам</v>
      </c>
      <c r="W241" s="1" t="str">
        <f>IFERROR(__xludf.DUMMYFUNCTION("""COMPUTED_VALUE"""),"и")</f>
        <v>и</v>
      </c>
      <c r="X241" s="1" t="str">
        <f>IFERROR(__xludf.DUMMYFUNCTION("""COMPUTED_VALUE"""),"деталям,")</f>
        <v>деталям,</v>
      </c>
      <c r="Y241" s="1" t="str">
        <f>IFERROR(__xludf.DUMMYFUNCTION("""COMPUTED_VALUE"""),"но")</f>
        <v>но</v>
      </c>
      <c r="Z241" s="1" t="str">
        <f>IFERROR(__xludf.DUMMYFUNCTION("""COMPUTED_VALUE"""),"постепенно,")</f>
        <v>постепенно,</v>
      </c>
      <c r="AA241" s="1" t="str">
        <f>IFERROR(__xludf.DUMMYFUNCTION("""COMPUTED_VALUE"""),"исподволь")</f>
        <v>исподволь</v>
      </c>
    </row>
    <row r="242" ht="14.25" customHeight="1">
      <c r="A242" s="1" t="s">
        <v>2204</v>
      </c>
      <c r="B242" s="1" t="s">
        <v>2205</v>
      </c>
      <c r="C242" s="2" t="s">
        <v>2206</v>
      </c>
      <c r="D242" s="7" t="s">
        <v>2207</v>
      </c>
      <c r="E242" s="1" t="s">
        <v>25</v>
      </c>
      <c r="F242" s="4" t="s">
        <v>2208</v>
      </c>
      <c r="G242" s="7" t="s">
        <v>2207</v>
      </c>
      <c r="H242" s="7" t="s">
        <v>2209</v>
      </c>
      <c r="I242" s="4" t="s">
        <v>2199</v>
      </c>
      <c r="J242" s="1" t="s">
        <v>2200</v>
      </c>
      <c r="K242" s="1" t="s">
        <v>2201</v>
      </c>
      <c r="L242" s="1" t="s">
        <v>2202</v>
      </c>
      <c r="M242" s="1" t="s">
        <v>1914</v>
      </c>
      <c r="N242" s="1" t="s">
        <v>139</v>
      </c>
      <c r="O242" s="1" t="s">
        <v>458</v>
      </c>
      <c r="Q242" s="1" t="s">
        <v>1916</v>
      </c>
      <c r="R242" s="1" t="s">
        <v>1914</v>
      </c>
      <c r="S242" s="1" t="s">
        <v>70</v>
      </c>
      <c r="T242" s="1" t="s">
        <v>1458</v>
      </c>
      <c r="U242" s="4" t="s">
        <v>2210</v>
      </c>
      <c r="V242" s="4" t="str">
        <f>IFERROR(__xludf.DUMMYFUNCTION("SPLIT(F242, "" "")"),"Савушкину")</f>
        <v>Савушкину</v>
      </c>
      <c r="W242" s="1" t="str">
        <f>IFERROR(__xludf.DUMMYFUNCTION("""COMPUTED_VALUE"""),"заболтать,")</f>
        <v>заболтать,</v>
      </c>
      <c r="X242" s="1" t="str">
        <f>IFERROR(__xludf.DUMMYFUNCTION("""COMPUTED_VALUE"""),"переломить")</f>
        <v>переломить</v>
      </c>
      <c r="Y242" s="1" t="str">
        <f>IFERROR(__xludf.DUMMYFUNCTION("""COMPUTED_VALUE"""),"или")</f>
        <v>или</v>
      </c>
      <c r="Z242" s="1" t="str">
        <f>IFERROR(__xludf.DUMMYFUNCTION("""COMPUTED_VALUE"""),"даже")</f>
        <v>даже</v>
      </c>
      <c r="AA242" s="1" t="str">
        <f>IFERROR(__xludf.DUMMYFUNCTION("""COMPUTED_VALUE"""),"запугать")</f>
        <v>запугать</v>
      </c>
    </row>
    <row r="243" ht="14.25" customHeight="1">
      <c r="A243" s="1" t="s">
        <v>2211</v>
      </c>
      <c r="B243" s="1" t="s">
        <v>382</v>
      </c>
      <c r="C243" s="2" t="s">
        <v>2212</v>
      </c>
      <c r="D243" s="7" t="s">
        <v>384</v>
      </c>
      <c r="E243" s="1" t="s">
        <v>25</v>
      </c>
      <c r="F243" s="4" t="s">
        <v>2213</v>
      </c>
      <c r="G243" s="7" t="s">
        <v>384</v>
      </c>
      <c r="H243" s="7" t="s">
        <v>543</v>
      </c>
      <c r="I243" s="4" t="s">
        <v>2199</v>
      </c>
      <c r="J243" s="1" t="s">
        <v>2200</v>
      </c>
      <c r="K243" s="1" t="s">
        <v>2201</v>
      </c>
      <c r="L243" s="1" t="s">
        <v>2202</v>
      </c>
      <c r="M243" s="1" t="s">
        <v>1914</v>
      </c>
      <c r="N243" s="1" t="s">
        <v>139</v>
      </c>
      <c r="O243" s="1" t="s">
        <v>458</v>
      </c>
      <c r="Q243" s="1" t="s">
        <v>1916</v>
      </c>
      <c r="R243" s="1" t="s">
        <v>1914</v>
      </c>
      <c r="S243" s="1" t="s">
        <v>70</v>
      </c>
      <c r="T243" s="1" t="s">
        <v>1458</v>
      </c>
      <c r="U243" s="4" t="s">
        <v>2214</v>
      </c>
      <c r="V243" s="4" t="str">
        <f>IFERROR(__xludf.DUMMYFUNCTION("SPLIT(F243, "" "")"),"приходу")</f>
        <v>приходу</v>
      </c>
      <c r="W243" s="1" t="str">
        <f>IFERROR(__xludf.DUMMYFUNCTION("""COMPUTED_VALUE"""),"Любаши,")</f>
        <v>Любаши,</v>
      </c>
      <c r="X243" s="1" t="str">
        <f>IFERROR(__xludf.DUMMYFUNCTION("""COMPUTED_VALUE"""),"хотя")</f>
        <v>хотя</v>
      </c>
      <c r="Y243" s="1" t="str">
        <f>IFERROR(__xludf.DUMMYFUNCTION("""COMPUTED_VALUE"""),"увидел")</f>
        <v>увидел</v>
      </c>
      <c r="Z243" s="1" t="str">
        <f>IFERROR(__xludf.DUMMYFUNCTION("""COMPUTED_VALUE"""),"ее")</f>
        <v>ее</v>
      </c>
      <c r="AA243" s="1" t="str">
        <f>IFERROR(__xludf.DUMMYFUNCTION("""COMPUTED_VALUE"""),"издалека")</f>
        <v>издалека</v>
      </c>
    </row>
    <row r="244" ht="14.25" customHeight="1">
      <c r="A244" s="1" t="s">
        <v>2215</v>
      </c>
      <c r="B244" s="1" t="s">
        <v>1448</v>
      </c>
      <c r="C244" s="2" t="s">
        <v>2216</v>
      </c>
      <c r="D244" s="7" t="s">
        <v>1450</v>
      </c>
      <c r="E244" s="1" t="s">
        <v>25</v>
      </c>
      <c r="F244" s="4" t="s">
        <v>2217</v>
      </c>
      <c r="G244" s="7" t="s">
        <v>1450</v>
      </c>
      <c r="H244" s="7" t="s">
        <v>2218</v>
      </c>
      <c r="I244" s="4" t="s">
        <v>2199</v>
      </c>
      <c r="J244" s="1" t="s">
        <v>2200</v>
      </c>
      <c r="K244" s="1" t="s">
        <v>2201</v>
      </c>
      <c r="L244" s="1" t="s">
        <v>2202</v>
      </c>
      <c r="M244" s="1" t="s">
        <v>1914</v>
      </c>
      <c r="N244" s="1" t="s">
        <v>139</v>
      </c>
      <c r="O244" s="1" t="s">
        <v>458</v>
      </c>
      <c r="Q244" s="1" t="s">
        <v>1916</v>
      </c>
      <c r="R244" s="1" t="s">
        <v>1914</v>
      </c>
      <c r="S244" s="1" t="s">
        <v>70</v>
      </c>
      <c r="T244" s="1" t="s">
        <v>1458</v>
      </c>
      <c r="U244" s="4" t="s">
        <v>2219</v>
      </c>
      <c r="V244" s="4" t="str">
        <f>IFERROR(__xludf.DUMMYFUNCTION("SPLIT(F244, "" "")"),"времени")</f>
        <v>времени</v>
      </c>
      <c r="W244" s="1" t="str">
        <f>IFERROR(__xludf.DUMMYFUNCTION("""COMPUTED_VALUE"""),"всего-то")</f>
        <v>всего-то</v>
      </c>
      <c r="X244" s="1" t="str">
        <f>IFERROR(__xludf.DUMMYFUNCTION("""COMPUTED_VALUE"""),"надо")</f>
        <v>надо</v>
      </c>
      <c r="Y244" s="1" t="str">
        <f>IFERROR(__xludf.DUMMYFUNCTION("""COMPUTED_VALUE"""),"было")</f>
        <v>было</v>
      </c>
      <c r="Z244" s="1" t="str">
        <f>IFERROR(__xludf.DUMMYFUNCTION("""COMPUTED_VALUE"""),"две")</f>
        <v>две</v>
      </c>
      <c r="AA244" s="1" t="str">
        <f>IFERROR(__xludf.DUMMYFUNCTION("""COMPUTED_VALUE"""),"недели.")</f>
        <v>недели.</v>
      </c>
    </row>
    <row r="245" ht="14.25" customHeight="1">
      <c r="A245" s="1" t="s">
        <v>2220</v>
      </c>
      <c r="B245" s="1" t="s">
        <v>2221</v>
      </c>
      <c r="C245" s="2" t="s">
        <v>2222</v>
      </c>
      <c r="D245" s="7" t="s">
        <v>2223</v>
      </c>
      <c r="E245" s="1" t="s">
        <v>25</v>
      </c>
      <c r="F245" s="4" t="s">
        <v>2224</v>
      </c>
      <c r="G245" s="7" t="s">
        <v>2223</v>
      </c>
      <c r="H245" s="7" t="s">
        <v>2225</v>
      </c>
      <c r="I245" s="4" t="s">
        <v>2226</v>
      </c>
      <c r="J245" s="1" t="s">
        <v>2227</v>
      </c>
      <c r="K245" s="1" t="s">
        <v>202</v>
      </c>
      <c r="L245" s="1" t="s">
        <v>2228</v>
      </c>
      <c r="M245" s="1" t="s">
        <v>1914</v>
      </c>
      <c r="N245" s="1" t="s">
        <v>139</v>
      </c>
      <c r="O245" s="1" t="s">
        <v>458</v>
      </c>
      <c r="Q245" s="1" t="s">
        <v>1916</v>
      </c>
      <c r="R245" s="1" t="s">
        <v>1914</v>
      </c>
      <c r="S245" s="1" t="s">
        <v>70</v>
      </c>
      <c r="T245" s="1" t="s">
        <v>1458</v>
      </c>
      <c r="U245" s="4" t="s">
        <v>2229</v>
      </c>
      <c r="V245" s="4" t="str">
        <f>IFERROR(__xludf.DUMMYFUNCTION("SPLIT(F245, "" "")"),"малышам.")</f>
        <v>малышам.</v>
      </c>
    </row>
    <row r="246" ht="14.25" customHeight="1">
      <c r="B246" s="1" t="s">
        <v>2230</v>
      </c>
      <c r="C246" s="2"/>
      <c r="D246" s="7" t="s">
        <v>2231</v>
      </c>
      <c r="E246" s="1" t="s">
        <v>25</v>
      </c>
      <c r="F246" s="4" t="s">
        <v>2232</v>
      </c>
      <c r="G246" s="7" t="s">
        <v>2231</v>
      </c>
      <c r="H246" s="7" t="s">
        <v>2233</v>
      </c>
      <c r="I246" s="4" t="s">
        <v>2234</v>
      </c>
      <c r="J246" s="1" t="s">
        <v>2235</v>
      </c>
      <c r="K246" s="1" t="s">
        <v>481</v>
      </c>
      <c r="L246" s="1" t="s">
        <v>2236</v>
      </c>
      <c r="M246" s="1" t="s">
        <v>1914</v>
      </c>
      <c r="N246" s="1" t="s">
        <v>139</v>
      </c>
      <c r="O246" s="1" t="s">
        <v>367</v>
      </c>
      <c r="Q246" s="1" t="s">
        <v>1916</v>
      </c>
      <c r="R246" s="1" t="s">
        <v>1914</v>
      </c>
      <c r="S246" s="1" t="s">
        <v>70</v>
      </c>
      <c r="T246" s="1" t="s">
        <v>1458</v>
      </c>
      <c r="U246" s="4" t="s">
        <v>2237</v>
      </c>
      <c r="V246" s="4" t="str">
        <f>IFERROR(__xludf.DUMMYFUNCTION("SPLIT(F246, "" "")"),"логику,")</f>
        <v>логику,</v>
      </c>
      <c r="W246" s="1" t="str">
        <f>IFERROR(__xludf.DUMMYFUNCTION("""COMPUTED_VALUE"""),"порядок")</f>
        <v>порядок</v>
      </c>
      <c r="X246" s="1" t="str">
        <f>IFERROR(__xludf.DUMMYFUNCTION("""COMPUTED_VALUE"""),"во")</f>
        <v>во</v>
      </c>
      <c r="Y246" s="1" t="str">
        <f>IFERROR(__xludf.DUMMYFUNCTION("""COMPUTED_VALUE"""),"всём,")</f>
        <v>всём,</v>
      </c>
      <c r="Z246" s="1" t="str">
        <f>IFERROR(__xludf.DUMMYFUNCTION("""COMPUTED_VALUE"""),"Вера")</f>
        <v>Вера</v>
      </c>
      <c r="AA246" s="1" t="str">
        <f>IFERROR(__xludf.DUMMYFUNCTION("""COMPUTED_VALUE"""),"Николаевна")</f>
        <v>Николаевна</v>
      </c>
    </row>
    <row r="247" ht="14.25" customHeight="1">
      <c r="A247" s="1" t="s">
        <v>2238</v>
      </c>
      <c r="B247" s="1" t="s">
        <v>2239</v>
      </c>
      <c r="C247" s="2" t="s">
        <v>2240</v>
      </c>
      <c r="D247" s="7" t="s">
        <v>2241</v>
      </c>
      <c r="E247" s="1" t="s">
        <v>25</v>
      </c>
      <c r="F247" s="4" t="s">
        <v>2242</v>
      </c>
      <c r="G247" s="7" t="s">
        <v>2241</v>
      </c>
      <c r="H247" s="7" t="s">
        <v>2243</v>
      </c>
      <c r="I247" s="4" t="s">
        <v>2234</v>
      </c>
      <c r="J247" s="1" t="s">
        <v>2235</v>
      </c>
      <c r="K247" s="1" t="s">
        <v>481</v>
      </c>
      <c r="L247" s="1" t="s">
        <v>2236</v>
      </c>
      <c r="M247" s="1" t="s">
        <v>1914</v>
      </c>
      <c r="N247" s="1" t="s">
        <v>139</v>
      </c>
      <c r="O247" s="1" t="s">
        <v>367</v>
      </c>
      <c r="Q247" s="1" t="s">
        <v>1916</v>
      </c>
      <c r="R247" s="1" t="s">
        <v>1914</v>
      </c>
      <c r="S247" s="1" t="s">
        <v>70</v>
      </c>
      <c r="T247" s="1" t="s">
        <v>1458</v>
      </c>
      <c r="U247" s="4" t="s">
        <v>2244</v>
      </c>
      <c r="V247" s="4" t="str">
        <f>IFERROR(__xludf.DUMMYFUNCTION("SPLIT(F247, "" "")"),"чёрным")</f>
        <v>чёрным</v>
      </c>
      <c r="W247" s="1" t="str">
        <f>IFERROR(__xludf.DUMMYFUNCTION("""COMPUTED_VALUE"""),"протезом")</f>
        <v>протезом</v>
      </c>
      <c r="X247" s="1" t="str">
        <f>IFERROR(__xludf.DUMMYFUNCTION("""COMPUTED_VALUE"""),"прибить")</f>
        <v>прибить</v>
      </c>
      <c r="Y247" s="1" t="str">
        <f>IFERROR(__xludf.DUMMYFUNCTION("""COMPUTED_VALUE"""),"её.")</f>
        <v>её.</v>
      </c>
    </row>
    <row r="248" ht="14.25" customHeight="1">
      <c r="A248" s="1" t="s">
        <v>2245</v>
      </c>
      <c r="B248" s="1" t="s">
        <v>777</v>
      </c>
      <c r="C248" s="2" t="s">
        <v>2246</v>
      </c>
      <c r="D248" s="7" t="s">
        <v>779</v>
      </c>
      <c r="E248" s="1" t="s">
        <v>25</v>
      </c>
      <c r="F248" s="4" t="s">
        <v>2247</v>
      </c>
      <c r="G248" s="7" t="s">
        <v>779</v>
      </c>
      <c r="H248" s="7" t="s">
        <v>2248</v>
      </c>
      <c r="I248" s="4" t="s">
        <v>2234</v>
      </c>
      <c r="J248" s="1" t="s">
        <v>2235</v>
      </c>
      <c r="K248" s="1" t="s">
        <v>481</v>
      </c>
      <c r="L248" s="1" t="s">
        <v>2236</v>
      </c>
      <c r="M248" s="1" t="s">
        <v>1914</v>
      </c>
      <c r="N248" s="1" t="s">
        <v>139</v>
      </c>
      <c r="O248" s="1" t="s">
        <v>367</v>
      </c>
      <c r="Q248" s="1" t="s">
        <v>1916</v>
      </c>
      <c r="R248" s="1" t="s">
        <v>1914</v>
      </c>
      <c r="S248" s="1" t="s">
        <v>70</v>
      </c>
      <c r="T248" s="1" t="s">
        <v>1458</v>
      </c>
      <c r="U248" s="4" t="s">
        <v>2249</v>
      </c>
      <c r="V248" s="4" t="str">
        <f>IFERROR(__xludf.DUMMYFUNCTION("SPLIT(F248, "" "")"),"Мише.")</f>
        <v>Мише.</v>
      </c>
    </row>
    <row r="249" ht="14.25" customHeight="1">
      <c r="B249" s="1" t="s">
        <v>2250</v>
      </c>
      <c r="C249" s="2"/>
      <c r="D249" s="7" t="s">
        <v>2251</v>
      </c>
      <c r="E249" s="1" t="s">
        <v>25</v>
      </c>
      <c r="F249" s="4" t="s">
        <v>2252</v>
      </c>
      <c r="G249" s="7" t="s">
        <v>2251</v>
      </c>
      <c r="H249" s="7" t="s">
        <v>1872</v>
      </c>
      <c r="I249" s="4" t="s">
        <v>2234</v>
      </c>
      <c r="J249" s="1" t="s">
        <v>2235</v>
      </c>
      <c r="K249" s="1" t="s">
        <v>481</v>
      </c>
      <c r="L249" s="1" t="s">
        <v>2236</v>
      </c>
      <c r="M249" s="1" t="s">
        <v>1914</v>
      </c>
      <c r="N249" s="1" t="s">
        <v>139</v>
      </c>
      <c r="O249" s="1" t="s">
        <v>367</v>
      </c>
      <c r="Q249" s="1" t="s">
        <v>1916</v>
      </c>
      <c r="R249" s="1" t="s">
        <v>1914</v>
      </c>
      <c r="S249" s="1" t="s">
        <v>70</v>
      </c>
      <c r="T249" s="1" t="s">
        <v>1458</v>
      </c>
      <c r="U249" s="4" t="s">
        <v>2253</v>
      </c>
      <c r="V249" s="4" t="str">
        <f>IFERROR(__xludf.DUMMYFUNCTION("SPLIT(F249, "" "")"),"были")</f>
        <v>были</v>
      </c>
      <c r="W249" s="1" t="str">
        <f>IFERROR(__xludf.DUMMYFUNCTION("""COMPUTED_VALUE"""),"не")</f>
        <v>не</v>
      </c>
      <c r="X249" s="1" t="str">
        <f>IFERROR(__xludf.DUMMYFUNCTION("""COMPUTED_VALUE"""),"меньше")</f>
        <v>меньше</v>
      </c>
      <c r="Y249" s="1" t="str">
        <f>IFERROR(__xludf.DUMMYFUNCTION("""COMPUTED_VALUE"""),"и")</f>
        <v>и</v>
      </c>
      <c r="Z249" s="1" t="str">
        <f>IFERROR(__xludf.DUMMYFUNCTION("""COMPUTED_VALUE"""),"Наталья")</f>
        <v>Наталья</v>
      </c>
      <c r="AA249" s="1" t="str">
        <f>IFERROR(__xludf.DUMMYFUNCTION("""COMPUTED_VALUE"""),"с")</f>
        <v>с</v>
      </c>
    </row>
    <row r="250" ht="14.25" customHeight="1">
      <c r="A250" s="1" t="s">
        <v>25</v>
      </c>
      <c r="B250" s="1" t="s">
        <v>2254</v>
      </c>
      <c r="C250" s="2"/>
      <c r="D250" s="7" t="s">
        <v>2255</v>
      </c>
      <c r="E250" s="1" t="s">
        <v>25</v>
      </c>
      <c r="F250" s="4" t="s">
        <v>2256</v>
      </c>
      <c r="G250" s="7" t="s">
        <v>2255</v>
      </c>
      <c r="H250" s="7" t="s">
        <v>2257</v>
      </c>
      <c r="I250" s="4" t="s">
        <v>2234</v>
      </c>
      <c r="J250" s="1" t="s">
        <v>2235</v>
      </c>
      <c r="K250" s="1" t="s">
        <v>481</v>
      </c>
      <c r="L250" s="1" t="s">
        <v>2236</v>
      </c>
      <c r="M250" s="1" t="s">
        <v>1914</v>
      </c>
      <c r="N250" s="1" t="s">
        <v>139</v>
      </c>
      <c r="O250" s="1" t="s">
        <v>367</v>
      </c>
      <c r="Q250" s="1" t="s">
        <v>1916</v>
      </c>
      <c r="R250" s="1" t="s">
        <v>1914</v>
      </c>
      <c r="S250" s="1" t="s">
        <v>70</v>
      </c>
      <c r="T250" s="1" t="s">
        <v>1458</v>
      </c>
      <c r="U250" s="4" t="s">
        <v>2258</v>
      </c>
      <c r="V250" s="4" t="str">
        <f>IFERROR(__xludf.DUMMYFUNCTION("SPLIT(F250, "" "")"),"белку")</f>
        <v>белку</v>
      </c>
      <c r="W250" s="1" t="str">
        <f>IFERROR(__xludf.DUMMYFUNCTION("""COMPUTED_VALUE"""),"в")</f>
        <v>в</v>
      </c>
      <c r="X250" s="1" t="str">
        <f>IFERROR(__xludf.DUMMYFUNCTION("""COMPUTED_VALUE"""),"парке")</f>
        <v>парке</v>
      </c>
      <c r="Y250" s="1" t="str">
        <f>IFERROR(__xludf.DUMMYFUNCTION("""COMPUTED_VALUE"""),"кормил")</f>
        <v>кормил</v>
      </c>
      <c r="Z250" s="1" t="str">
        <f>IFERROR(__xludf.DUMMYFUNCTION("""COMPUTED_VALUE"""),"почти")</f>
        <v>почти</v>
      </c>
      <c r="AA250" s="1" t="str">
        <f>IFERROR(__xludf.DUMMYFUNCTION("""COMPUTED_VALUE"""),"с")</f>
        <v>с</v>
      </c>
    </row>
    <row r="251" ht="14.25" customHeight="1">
      <c r="A251" s="1" t="s">
        <v>2259</v>
      </c>
      <c r="B251" s="1" t="s">
        <v>2260</v>
      </c>
      <c r="C251" s="2" t="s">
        <v>2261</v>
      </c>
      <c r="D251" s="7" t="s">
        <v>2262</v>
      </c>
      <c r="E251" s="1" t="s">
        <v>25</v>
      </c>
      <c r="F251" s="4" t="s">
        <v>2263</v>
      </c>
      <c r="G251" s="7" t="s">
        <v>2262</v>
      </c>
      <c r="H251" s="7" t="s">
        <v>2264</v>
      </c>
      <c r="I251" s="4" t="s">
        <v>2234</v>
      </c>
      <c r="J251" s="1" t="s">
        <v>2235</v>
      </c>
      <c r="K251" s="1" t="s">
        <v>481</v>
      </c>
      <c r="L251" s="1" t="s">
        <v>2236</v>
      </c>
      <c r="M251" s="1" t="s">
        <v>1914</v>
      </c>
      <c r="N251" s="1" t="s">
        <v>139</v>
      </c>
      <c r="O251" s="1" t="s">
        <v>367</v>
      </c>
      <c r="Q251" s="1" t="s">
        <v>1916</v>
      </c>
      <c r="R251" s="1" t="s">
        <v>1914</v>
      </c>
      <c r="S251" s="1" t="s">
        <v>70</v>
      </c>
      <c r="T251" s="1" t="s">
        <v>1458</v>
      </c>
      <c r="U251" s="4" t="s">
        <v>2265</v>
      </c>
      <c r="V251" s="4" t="str">
        <f>IFERROR(__xludf.DUMMYFUNCTION("SPLIT(F251, "" "")"),"газу.")</f>
        <v>газу.</v>
      </c>
    </row>
    <row r="252" ht="14.25" customHeight="1">
      <c r="A252" s="1" t="s">
        <v>25</v>
      </c>
      <c r="B252" s="1" t="s">
        <v>1477</v>
      </c>
      <c r="C252" s="2"/>
      <c r="D252" s="7" t="s">
        <v>1478</v>
      </c>
      <c r="E252" s="1" t="s">
        <v>25</v>
      </c>
      <c r="F252" s="4" t="s">
        <v>2266</v>
      </c>
      <c r="G252" s="7" t="s">
        <v>1478</v>
      </c>
      <c r="H252" s="7" t="s">
        <v>2267</v>
      </c>
      <c r="I252" s="4" t="s">
        <v>2268</v>
      </c>
      <c r="J252" s="1" t="s">
        <v>2269</v>
      </c>
      <c r="L252" s="1" t="s">
        <v>2270</v>
      </c>
      <c r="M252" s="1" t="s">
        <v>1914</v>
      </c>
      <c r="N252" s="1" t="s">
        <v>51</v>
      </c>
      <c r="O252" s="1" t="s">
        <v>189</v>
      </c>
      <c r="P252" s="1" t="s">
        <v>2271</v>
      </c>
      <c r="Q252" s="1" t="s">
        <v>1832</v>
      </c>
      <c r="R252" s="1" t="s">
        <v>1914</v>
      </c>
      <c r="S252" s="1" t="s">
        <v>70</v>
      </c>
      <c r="T252" s="1" t="s">
        <v>1458</v>
      </c>
      <c r="U252" s="4" t="s">
        <v>2272</v>
      </c>
      <c r="V252" s="4" t="str">
        <f>IFERROR(__xludf.DUMMYFUNCTION("SPLIT(F252, "" "")"),"мелочи")</f>
        <v>мелочи</v>
      </c>
      <c r="W252" s="1" t="str">
        <f>IFERROR(__xludf.DUMMYFUNCTION("""COMPUTED_VALUE"""),"ли?")</f>
        <v>ли?</v>
      </c>
    </row>
    <row r="253" ht="14.25" customHeight="1">
      <c r="A253" s="1" t="s">
        <v>2273</v>
      </c>
      <c r="B253" s="1" t="s">
        <v>2274</v>
      </c>
      <c r="C253" s="2" t="s">
        <v>2275</v>
      </c>
      <c r="D253" s="7" t="s">
        <v>2276</v>
      </c>
      <c r="E253" s="1" t="s">
        <v>25</v>
      </c>
      <c r="F253" s="4" t="s">
        <v>2277</v>
      </c>
      <c r="G253" s="7" t="s">
        <v>2276</v>
      </c>
      <c r="H253" s="7" t="s">
        <v>2278</v>
      </c>
      <c r="I253" s="4" t="s">
        <v>2279</v>
      </c>
      <c r="J253" s="1" t="s">
        <v>1893</v>
      </c>
      <c r="L253" s="1" t="s">
        <v>2280</v>
      </c>
      <c r="M253" s="1" t="s">
        <v>1914</v>
      </c>
      <c r="N253" s="1" t="s">
        <v>51</v>
      </c>
      <c r="O253" s="1" t="s">
        <v>1798</v>
      </c>
      <c r="P253" s="1" t="s">
        <v>2281</v>
      </c>
      <c r="Q253" s="1" t="s">
        <v>1832</v>
      </c>
      <c r="R253" s="1" t="s">
        <v>1914</v>
      </c>
      <c r="S253" s="1" t="s">
        <v>70</v>
      </c>
      <c r="T253" s="1" t="s">
        <v>1458</v>
      </c>
      <c r="U253" s="4" t="s">
        <v>2282</v>
      </c>
      <c r="V253" s="4" t="str">
        <f>IFERROR(__xludf.DUMMYFUNCTION("SPLIT(F253, "" "")"),"будущему")</f>
        <v>будущему</v>
      </c>
      <c r="W253" s="1" t="str">
        <f>IFERROR(__xludf.DUMMYFUNCTION("""COMPUTED_VALUE"""),"доктору.")</f>
        <v>доктору.</v>
      </c>
    </row>
    <row r="254" ht="14.25" customHeight="1">
      <c r="A254" s="1" t="s">
        <v>2283</v>
      </c>
      <c r="B254" s="1" t="s">
        <v>2284</v>
      </c>
      <c r="C254" s="2" t="s">
        <v>2285</v>
      </c>
      <c r="D254" s="7" t="s">
        <v>2286</v>
      </c>
      <c r="E254" s="1" t="s">
        <v>2287</v>
      </c>
      <c r="F254" s="4" t="s">
        <v>2288</v>
      </c>
      <c r="G254" s="7" t="s">
        <v>2286</v>
      </c>
      <c r="H254" s="7" t="s">
        <v>2289</v>
      </c>
      <c r="I254" s="4" t="s">
        <v>2290</v>
      </c>
      <c r="J254" s="1" t="s">
        <v>2291</v>
      </c>
      <c r="L254" s="1" t="s">
        <v>2292</v>
      </c>
      <c r="M254" s="1" t="s">
        <v>2293</v>
      </c>
      <c r="N254" s="1" t="s">
        <v>51</v>
      </c>
      <c r="O254" s="1" t="s">
        <v>189</v>
      </c>
      <c r="P254" s="1" t="s">
        <v>1484</v>
      </c>
      <c r="Q254" s="1" t="s">
        <v>2294</v>
      </c>
      <c r="R254" s="1" t="s">
        <v>2295</v>
      </c>
      <c r="S254" s="1" t="s">
        <v>35</v>
      </c>
      <c r="T254" s="1" t="s">
        <v>1458</v>
      </c>
      <c r="U254" s="4" t="s">
        <v>2296</v>
      </c>
      <c r="V254" s="4" t="str">
        <f>IFERROR(__xludf.DUMMYFUNCTION("SPLIT(F254, "" "")"),"духовной")</f>
        <v>духовной</v>
      </c>
      <c r="W254" s="1" t="str">
        <f>IFERROR(__xludf.DUMMYFUNCTION("""COMPUTED_VALUE"""),"родословной»")</f>
        <v>родословной»</v>
      </c>
      <c r="X254" s="1" t="str">
        <f>IFERROR(__xludf.DUMMYFUNCTION("""COMPUTED_VALUE"""),"владыки.")</f>
        <v>владыки.</v>
      </c>
    </row>
    <row r="255" ht="14.25" customHeight="1">
      <c r="A255" s="1" t="s">
        <v>2297</v>
      </c>
      <c r="B255" s="1" t="s">
        <v>59</v>
      </c>
      <c r="C255" s="2" t="s">
        <v>2298</v>
      </c>
      <c r="D255" s="7" t="s">
        <v>61</v>
      </c>
      <c r="E255" s="1" t="s">
        <v>25</v>
      </c>
      <c r="F255" s="4" t="s">
        <v>2299</v>
      </c>
      <c r="G255" s="7" t="s">
        <v>61</v>
      </c>
      <c r="H255" s="7" t="s">
        <v>2300</v>
      </c>
      <c r="I255" s="4" t="s">
        <v>2290</v>
      </c>
      <c r="J255" s="1" t="s">
        <v>2291</v>
      </c>
      <c r="L255" s="1" t="s">
        <v>2292</v>
      </c>
      <c r="M255" s="1" t="s">
        <v>2293</v>
      </c>
      <c r="N255" s="1" t="s">
        <v>51</v>
      </c>
      <c r="O255" s="1" t="s">
        <v>189</v>
      </c>
      <c r="P255" s="1" t="s">
        <v>1484</v>
      </c>
      <c r="Q255" s="1" t="s">
        <v>2294</v>
      </c>
      <c r="R255" s="1" t="s">
        <v>2295</v>
      </c>
      <c r="S255" s="1" t="s">
        <v>35</v>
      </c>
      <c r="T255" s="1" t="s">
        <v>1458</v>
      </c>
      <c r="U255" s="4" t="s">
        <v>2301</v>
      </c>
      <c r="V255" s="4" t="str">
        <f>IFERROR(__xludf.DUMMYFUNCTION("SPLIT(F255, "" "")"),"людям.")</f>
        <v>людям.</v>
      </c>
    </row>
    <row r="256" ht="14.25" customHeight="1">
      <c r="A256" s="1" t="s">
        <v>2302</v>
      </c>
      <c r="B256" s="1" t="s">
        <v>1274</v>
      </c>
      <c r="C256" s="2" t="s">
        <v>2303</v>
      </c>
      <c r="D256" s="7" t="s">
        <v>1276</v>
      </c>
      <c r="E256" s="1" t="s">
        <v>25</v>
      </c>
      <c r="F256" s="4" t="s">
        <v>2304</v>
      </c>
      <c r="G256" s="7" t="s">
        <v>1276</v>
      </c>
      <c r="H256" s="7" t="s">
        <v>2305</v>
      </c>
      <c r="I256" s="4" t="s">
        <v>2290</v>
      </c>
      <c r="J256" s="1" t="s">
        <v>2291</v>
      </c>
      <c r="L256" s="1" t="s">
        <v>2292</v>
      </c>
      <c r="M256" s="1" t="s">
        <v>2293</v>
      </c>
      <c r="N256" s="1" t="s">
        <v>51</v>
      </c>
      <c r="O256" s="1" t="s">
        <v>189</v>
      </c>
      <c r="P256" s="1" t="s">
        <v>1484</v>
      </c>
      <c r="Q256" s="1" t="s">
        <v>2294</v>
      </c>
      <c r="R256" s="1" t="s">
        <v>2295</v>
      </c>
      <c r="S256" s="1" t="s">
        <v>35</v>
      </c>
      <c r="T256" s="1" t="s">
        <v>1458</v>
      </c>
      <c r="U256" s="4" t="s">
        <v>2306</v>
      </c>
      <c r="V256" s="4" t="str">
        <f>IFERROR(__xludf.DUMMYFUNCTION("SPLIT(F256, "" "")"),"делом:")</f>
        <v>делом:</v>
      </c>
      <c r="W256" s="1" t="str">
        <f>IFERROR(__xludf.DUMMYFUNCTION("""COMPUTED_VALUE"""),"преподаю")</f>
        <v>преподаю</v>
      </c>
      <c r="X256" s="1" t="str">
        <f>IFERROR(__xludf.DUMMYFUNCTION("""COMPUTED_VALUE"""),"древнегреческий,")</f>
        <v>древнегреческий,</v>
      </c>
      <c r="Y256" s="1" t="str">
        <f>IFERROR(__xludf.DUMMYFUNCTION("""COMPUTED_VALUE"""),"латынь,")</f>
        <v>латынь,</v>
      </c>
      <c r="Z256" s="1" t="str">
        <f>IFERROR(__xludf.DUMMYFUNCTION("""COMPUTED_VALUE"""),"историю")</f>
        <v>историю</v>
      </c>
      <c r="AA256" s="1" t="str">
        <f>IFERROR(__xludf.DUMMYFUNCTION("""COMPUTED_VALUE"""),"позднеантичной")</f>
        <v>позднеантичной</v>
      </c>
    </row>
    <row r="257" ht="14.25" customHeight="1">
      <c r="A257" s="1" t="s">
        <v>2307</v>
      </c>
      <c r="B257" s="1" t="s">
        <v>156</v>
      </c>
      <c r="C257" s="2" t="s">
        <v>2308</v>
      </c>
      <c r="D257" s="7" t="s">
        <v>158</v>
      </c>
      <c r="E257" s="1" t="s">
        <v>25</v>
      </c>
      <c r="F257" s="4" t="s">
        <v>2309</v>
      </c>
      <c r="G257" s="7" t="s">
        <v>158</v>
      </c>
      <c r="H257" s="7" t="s">
        <v>2310</v>
      </c>
      <c r="I257" s="4" t="s">
        <v>2311</v>
      </c>
      <c r="J257" s="1" t="s">
        <v>2312</v>
      </c>
      <c r="K257" s="1" t="s">
        <v>831</v>
      </c>
      <c r="L257" s="1" t="s">
        <v>2313</v>
      </c>
      <c r="M257" s="1" t="s">
        <v>2314</v>
      </c>
      <c r="N257" s="1" t="s">
        <v>51</v>
      </c>
      <c r="O257" s="1" t="s">
        <v>67</v>
      </c>
      <c r="P257" s="1" t="s">
        <v>2014</v>
      </c>
      <c r="Q257" s="1" t="s">
        <v>2294</v>
      </c>
      <c r="R257" s="1" t="s">
        <v>2295</v>
      </c>
      <c r="S257" s="1" t="s">
        <v>35</v>
      </c>
      <c r="T257" s="1" t="s">
        <v>1458</v>
      </c>
      <c r="U257" s="4" t="s">
        <v>2315</v>
      </c>
      <c r="V257" s="4" t="str">
        <f>IFERROR(__xludf.DUMMYFUNCTION("SPLIT(F257, "" "")"),"воскресенью,")</f>
        <v>воскресенью,</v>
      </c>
      <c r="W257" s="1" t="str">
        <f>IFERROR(__xludf.DUMMYFUNCTION("""COMPUTED_VALUE"""),"надо")</f>
        <v>надо</v>
      </c>
      <c r="X257" s="1" t="str">
        <f>IFERROR(__xludf.DUMMYFUNCTION("""COMPUTED_VALUE"""),"пройти")</f>
        <v>пройти</v>
      </c>
      <c r="Y257" s="1" t="str">
        <f>IFERROR(__xludf.DUMMYFUNCTION("""COMPUTED_VALUE"""),"через")</f>
        <v>через</v>
      </c>
      <c r="Z257" s="1" t="str">
        <f>IFERROR(__xludf.DUMMYFUNCTION("""COMPUTED_VALUE"""),"Голгофу.")</f>
        <v>Голгофу.</v>
      </c>
    </row>
    <row r="258" ht="14.25" customHeight="1">
      <c r="A258" s="1" t="s">
        <v>25</v>
      </c>
      <c r="B258" s="1" t="s">
        <v>1477</v>
      </c>
      <c r="C258" s="2"/>
      <c r="D258" s="7" t="s">
        <v>1478</v>
      </c>
      <c r="E258" s="1" t="s">
        <v>25</v>
      </c>
      <c r="F258" s="4" t="s">
        <v>2316</v>
      </c>
      <c r="G258" s="7" t="s">
        <v>1478</v>
      </c>
      <c r="H258" s="7" t="s">
        <v>2317</v>
      </c>
      <c r="I258" s="4" t="s">
        <v>2318</v>
      </c>
      <c r="J258" s="1" t="s">
        <v>2319</v>
      </c>
      <c r="K258" s="1" t="s">
        <v>2320</v>
      </c>
      <c r="L258" s="1" t="s">
        <v>2321</v>
      </c>
      <c r="M258" s="1" t="s">
        <v>2322</v>
      </c>
      <c r="N258" s="1" t="s">
        <v>51</v>
      </c>
      <c r="O258" s="1" t="s">
        <v>189</v>
      </c>
      <c r="P258" s="1" t="s">
        <v>2323</v>
      </c>
      <c r="Q258" s="1" t="s">
        <v>2294</v>
      </c>
      <c r="R258" s="1" t="s">
        <v>2295</v>
      </c>
      <c r="S258" s="1" t="s">
        <v>35</v>
      </c>
      <c r="T258" s="1" t="s">
        <v>1458</v>
      </c>
      <c r="U258" s="4" t="s">
        <v>2324</v>
      </c>
      <c r="V258" s="4" t="str">
        <f>IFERROR(__xludf.DUMMYFUNCTION("SPLIT(F258, "" "")"),"Толстой")</f>
        <v>Толстой</v>
      </c>
      <c r="W258" s="1" t="str">
        <f>IFERROR(__xludf.DUMMYFUNCTION("""COMPUTED_VALUE"""),"был")</f>
        <v>был</v>
      </c>
      <c r="X258" s="1" t="str">
        <f>IFERROR(__xludf.DUMMYFUNCTION("""COMPUTED_VALUE"""),"известным")</f>
        <v>известным</v>
      </c>
      <c r="Y258" s="1" t="str">
        <f>IFERROR(__xludf.DUMMYFUNCTION("""COMPUTED_VALUE"""),"реформатором,")</f>
        <v>реформатором,</v>
      </c>
      <c r="Z258" s="1" t="str">
        <f>IFERROR(__xludf.DUMMYFUNCTION("""COMPUTED_VALUE"""),"но,")</f>
        <v>но,</v>
      </c>
      <c r="AA258" s="1" t="str">
        <f>IFERROR(__xludf.DUMMYFUNCTION("""COMPUTED_VALUE"""),"не")</f>
        <v>не</v>
      </c>
    </row>
    <row r="259" ht="14.25" customHeight="1">
      <c r="A259" s="1" t="s">
        <v>2325</v>
      </c>
      <c r="B259" s="1" t="s">
        <v>22</v>
      </c>
      <c r="C259" s="2" t="s">
        <v>2326</v>
      </c>
      <c r="D259" s="7" t="s">
        <v>24</v>
      </c>
      <c r="E259" s="1" t="s">
        <v>25</v>
      </c>
      <c r="F259" s="4" t="s">
        <v>2327</v>
      </c>
      <c r="G259" s="7" t="s">
        <v>24</v>
      </c>
      <c r="H259" s="7" t="s">
        <v>2328</v>
      </c>
      <c r="I259" s="4" t="s">
        <v>2329</v>
      </c>
      <c r="J259" s="1" t="s">
        <v>2330</v>
      </c>
      <c r="L259" s="1" t="s">
        <v>2331</v>
      </c>
      <c r="M259" s="1" t="s">
        <v>2332</v>
      </c>
      <c r="N259" s="1" t="s">
        <v>51</v>
      </c>
      <c r="O259" s="1" t="s">
        <v>67</v>
      </c>
      <c r="P259" s="1" t="s">
        <v>2333</v>
      </c>
      <c r="Q259" s="1" t="s">
        <v>2294</v>
      </c>
      <c r="R259" s="1" t="s">
        <v>2295</v>
      </c>
      <c r="S259" s="1" t="s">
        <v>35</v>
      </c>
      <c r="T259" s="1" t="s">
        <v>1458</v>
      </c>
      <c r="U259" s="4" t="s">
        <v>2334</v>
      </c>
      <c r="V259" s="4" t="str">
        <f>IFERROR(__xludf.DUMMYFUNCTION("SPLIT(F259, "" "")"),"чужому")</f>
        <v>чужому</v>
      </c>
      <c r="W259" s="1" t="str">
        <f>IFERROR(__xludf.DUMMYFUNCTION("""COMPUTED_VALUE"""),"горю.")</f>
        <v>горю.</v>
      </c>
    </row>
    <row r="260" ht="14.25" customHeight="1">
      <c r="A260" s="1" t="s">
        <v>2335</v>
      </c>
      <c r="B260" s="1" t="s">
        <v>2336</v>
      </c>
      <c r="C260" s="2" t="s">
        <v>2337</v>
      </c>
      <c r="D260" s="7" t="s">
        <v>2338</v>
      </c>
      <c r="E260" s="1" t="s">
        <v>25</v>
      </c>
      <c r="F260" s="4" t="s">
        <v>2339</v>
      </c>
      <c r="G260" s="7" t="s">
        <v>2338</v>
      </c>
      <c r="H260" s="7" t="s">
        <v>2340</v>
      </c>
      <c r="I260" s="4" t="s">
        <v>2341</v>
      </c>
      <c r="J260" s="1" t="s">
        <v>2342</v>
      </c>
      <c r="K260" s="1" t="s">
        <v>795</v>
      </c>
      <c r="L260" s="1" t="s">
        <v>2343</v>
      </c>
      <c r="M260" s="1" t="s">
        <v>2344</v>
      </c>
      <c r="N260" s="1" t="s">
        <v>51</v>
      </c>
      <c r="O260" s="1" t="s">
        <v>67</v>
      </c>
      <c r="P260" s="1" t="s">
        <v>2345</v>
      </c>
      <c r="Q260" s="1" t="s">
        <v>2294</v>
      </c>
      <c r="R260" s="1" t="s">
        <v>2295</v>
      </c>
      <c r="S260" s="1" t="s">
        <v>35</v>
      </c>
      <c r="T260" s="1" t="s">
        <v>1458</v>
      </c>
      <c r="U260" s="4" t="s">
        <v>2346</v>
      </c>
      <c r="V260" s="4" t="str">
        <f>IFERROR(__xludf.DUMMYFUNCTION("SPLIT(F260, "" "")"),"Рафаэлевой")</f>
        <v>Рафаэлевой</v>
      </c>
      <c r="W260" s="1" t="str">
        <f>IFERROR(__xludf.DUMMYFUNCTION("""COMPUTED_VALUE"""),"«Мадонной»,")</f>
        <v>«Мадонной»,</v>
      </c>
      <c r="X260" s="1" t="str">
        <f>IFERROR(__xludf.DUMMYFUNCTION("""COMPUTED_VALUE"""),"если")</f>
        <v>если</v>
      </c>
      <c r="Y260" s="1" t="str">
        <f>IFERROR(__xludf.DUMMYFUNCTION("""COMPUTED_VALUE"""),"не")</f>
        <v>не</v>
      </c>
      <c r="Z260" s="1" t="str">
        <f>IFERROR(__xludf.DUMMYFUNCTION("""COMPUTED_VALUE"""),"верят")</f>
        <v>верят</v>
      </c>
      <c r="AA260" s="1" t="str">
        <f>IFERROR(__xludf.DUMMYFUNCTION("""COMPUTED_VALUE"""),"в")</f>
        <v>в</v>
      </c>
    </row>
    <row r="261" ht="14.25" customHeight="1">
      <c r="A261" s="1" t="s">
        <v>2347</v>
      </c>
      <c r="B261" s="1" t="s">
        <v>156</v>
      </c>
      <c r="C261" s="2" t="s">
        <v>2348</v>
      </c>
      <c r="D261" s="7" t="s">
        <v>158</v>
      </c>
      <c r="E261" s="1" t="s">
        <v>25</v>
      </c>
      <c r="F261" s="4" t="s">
        <v>2349</v>
      </c>
      <c r="G261" s="7" t="s">
        <v>158</v>
      </c>
      <c r="H261" s="7" t="s">
        <v>2350</v>
      </c>
      <c r="I261" s="4" t="s">
        <v>2351</v>
      </c>
      <c r="J261" s="1" t="s">
        <v>29</v>
      </c>
      <c r="L261" s="1" t="s">
        <v>2352</v>
      </c>
      <c r="M261" s="1" t="s">
        <v>2353</v>
      </c>
      <c r="N261" s="1" t="s">
        <v>32</v>
      </c>
      <c r="O261" s="1" t="s">
        <v>80</v>
      </c>
      <c r="P261" s="1" t="s">
        <v>2354</v>
      </c>
      <c r="S261" s="1" t="s">
        <v>35</v>
      </c>
      <c r="T261" s="1" t="s">
        <v>1458</v>
      </c>
      <c r="U261" s="4" t="s">
        <v>2355</v>
      </c>
      <c r="V261" s="4" t="str">
        <f>IFERROR(__xludf.DUMMYFUNCTION("SPLIT(F261, "" "")"),"моменту,")</f>
        <v>моменту,</v>
      </c>
      <c r="W261" s="1" t="str">
        <f>IFERROR(__xludf.DUMMYFUNCTION("""COMPUTED_VALUE"""),"смотреть")</f>
        <v>смотреть</v>
      </c>
      <c r="X261" s="1" t="str">
        <f>IFERROR(__xludf.DUMMYFUNCTION("""COMPUTED_VALUE"""),"на")</f>
        <v>на</v>
      </c>
      <c r="Y261" s="1" t="str">
        <f>IFERROR(__xludf.DUMMYFUNCTION("""COMPUTED_VALUE"""),"жизнь")</f>
        <v>жизнь</v>
      </c>
      <c r="Z261" s="1" t="str">
        <f>IFERROR(__xludf.DUMMYFUNCTION("""COMPUTED_VALUE"""),"спокойно,")</f>
        <v>спокойно,</v>
      </c>
      <c r="AA261" s="1" t="str">
        <f>IFERROR(__xludf.DUMMYFUNCTION("""COMPUTED_VALUE"""),"а")</f>
        <v>а</v>
      </c>
    </row>
    <row r="262" ht="14.25" customHeight="1">
      <c r="A262" s="1" t="s">
        <v>2347</v>
      </c>
      <c r="B262" s="1" t="s">
        <v>156</v>
      </c>
      <c r="C262" s="2" t="s">
        <v>2348</v>
      </c>
      <c r="D262" s="7" t="s">
        <v>158</v>
      </c>
      <c r="E262" s="1" t="s">
        <v>25</v>
      </c>
      <c r="F262" s="4" t="s">
        <v>2356</v>
      </c>
      <c r="G262" s="7" t="s">
        <v>158</v>
      </c>
      <c r="H262" s="7" t="s">
        <v>2350</v>
      </c>
      <c r="I262" s="4" t="s">
        <v>2351</v>
      </c>
      <c r="J262" s="1" t="s">
        <v>29</v>
      </c>
      <c r="L262" s="1" t="s">
        <v>2352</v>
      </c>
      <c r="M262" s="1" t="s">
        <v>2353</v>
      </c>
      <c r="N262" s="1" t="s">
        <v>32</v>
      </c>
      <c r="O262" s="1" t="s">
        <v>80</v>
      </c>
      <c r="P262" s="1" t="s">
        <v>2354</v>
      </c>
      <c r="S262" s="1" t="s">
        <v>35</v>
      </c>
      <c r="T262" s="1" t="s">
        <v>1458</v>
      </c>
      <c r="U262" s="4" t="s">
        <v>2357</v>
      </c>
      <c r="V262" s="4" t="str">
        <f>IFERROR(__xludf.DUMMYFUNCTION("SPLIT(F262, "" "")"),"моменту,")</f>
        <v>моменту,</v>
      </c>
      <c r="W262" s="1" t="str">
        <f>IFERROR(__xludf.DUMMYFUNCTION("""COMPUTED_VALUE"""),"смотреть")</f>
        <v>смотреть</v>
      </c>
      <c r="X262" s="1" t="str">
        <f>IFERROR(__xludf.DUMMYFUNCTION("""COMPUTED_VALUE"""),"на")</f>
        <v>на</v>
      </c>
      <c r="Y262" s="1" t="str">
        <f>IFERROR(__xludf.DUMMYFUNCTION("""COMPUTED_VALUE"""),"жизнь")</f>
        <v>жизнь</v>
      </c>
      <c r="Z262" s="1" t="str">
        <f>IFERROR(__xludf.DUMMYFUNCTION("""COMPUTED_VALUE"""),"спокойно,")</f>
        <v>спокойно,</v>
      </c>
      <c r="AA262" s="1" t="str">
        <f>IFERROR(__xludf.DUMMYFUNCTION("""COMPUTED_VALUE"""),"а")</f>
        <v>а</v>
      </c>
    </row>
    <row r="263" ht="14.25" customHeight="1">
      <c r="A263" s="1" t="s">
        <v>2358</v>
      </c>
      <c r="B263" s="1" t="s">
        <v>2359</v>
      </c>
      <c r="C263" s="2" t="s">
        <v>2360</v>
      </c>
      <c r="D263" s="7" t="s">
        <v>2361</v>
      </c>
      <c r="E263" s="1" t="s">
        <v>25</v>
      </c>
      <c r="F263" s="4" t="s">
        <v>2362</v>
      </c>
      <c r="G263" s="7" t="s">
        <v>2361</v>
      </c>
      <c r="H263" s="7" t="s">
        <v>2363</v>
      </c>
      <c r="I263" s="4" t="s">
        <v>2364</v>
      </c>
      <c r="J263" s="1" t="s">
        <v>2365</v>
      </c>
      <c r="K263" s="1" t="s">
        <v>2366</v>
      </c>
      <c r="L263" s="1" t="s">
        <v>2367</v>
      </c>
      <c r="M263" s="1" t="s">
        <v>2295</v>
      </c>
      <c r="N263" s="1" t="s">
        <v>51</v>
      </c>
      <c r="O263" s="1" t="s">
        <v>189</v>
      </c>
      <c r="P263" s="1" t="s">
        <v>2368</v>
      </c>
      <c r="S263" s="1" t="s">
        <v>273</v>
      </c>
      <c r="T263" s="1" t="s">
        <v>1458</v>
      </c>
      <c r="U263" s="4" t="s">
        <v>2369</v>
      </c>
      <c r="V263" s="4" t="str">
        <f>IFERROR(__xludf.DUMMYFUNCTION("SPLIT(F263, "" "")"),"литургии	")</f>
        <v>литургии	</v>
      </c>
      <c r="W263" s="1" t="str">
        <f>IFERROR(__xludf.DUMMYFUNCTION("""COMPUTED_VALUE"""),"И")</f>
        <v>И</v>
      </c>
      <c r="X263" s="1" t="str">
        <f>IFERROR(__xludf.DUMMYFUNCTION("""COMPUTED_VALUE"""),"меня")</f>
        <v>меня</v>
      </c>
      <c r="Y263" s="1" t="str">
        <f>IFERROR(__xludf.DUMMYFUNCTION("""COMPUTED_VALUE"""),"креститься")</f>
        <v>креститься</v>
      </c>
      <c r="Z263" s="1" t="str">
        <f>IFERROR(__xludf.DUMMYFUNCTION("""COMPUTED_VALUE"""),"приучали,	")</f>
        <v>приучали,	</v>
      </c>
      <c r="AA263" s="1" t="str">
        <f>IFERROR(__xludf.DUMMYFUNCTION("""COMPUTED_VALUE"""),"Но")</f>
        <v>Но</v>
      </c>
    </row>
    <row r="264" ht="14.25" customHeight="1">
      <c r="A264" s="1" t="s">
        <v>2370</v>
      </c>
      <c r="B264" s="1" t="s">
        <v>59</v>
      </c>
      <c r="C264" s="2" t="s">
        <v>2371</v>
      </c>
      <c r="D264" s="7" t="s">
        <v>61</v>
      </c>
      <c r="E264" s="1" t="s">
        <v>25</v>
      </c>
      <c r="F264" s="4" t="s">
        <v>2372</v>
      </c>
      <c r="G264" s="7" t="s">
        <v>61</v>
      </c>
      <c r="H264" s="7" t="s">
        <v>2373</v>
      </c>
      <c r="I264" s="4" t="s">
        <v>2374</v>
      </c>
      <c r="J264" s="1" t="s">
        <v>2375</v>
      </c>
      <c r="L264" s="1" t="s">
        <v>2376</v>
      </c>
      <c r="M264" s="1" t="s">
        <v>2295</v>
      </c>
      <c r="N264" s="1" t="s">
        <v>2377</v>
      </c>
      <c r="O264" s="1" t="s">
        <v>67</v>
      </c>
      <c r="P264" s="1" t="s">
        <v>2378</v>
      </c>
      <c r="Q264" s="1" t="s">
        <v>2047</v>
      </c>
      <c r="R264" s="1" t="s">
        <v>2295</v>
      </c>
      <c r="S264" s="1" t="s">
        <v>70</v>
      </c>
      <c r="T264" s="1" t="s">
        <v>1458</v>
      </c>
      <c r="U264" s="4" t="s">
        <v>2379</v>
      </c>
      <c r="V264" s="4" t="str">
        <f>IFERROR(__xludf.DUMMYFUNCTION("SPLIT(F264, "" "")"),"компаниям,")</f>
        <v>компаниям,</v>
      </c>
      <c r="W264" s="1" t="str">
        <f>IFERROR(__xludf.DUMMYFUNCTION("""COMPUTED_VALUE"""),"как")</f>
        <v>как</v>
      </c>
      <c r="X264" s="1" t="str">
        <f>IFERROR(__xludf.DUMMYFUNCTION("""COMPUTED_VALUE"""),"разработчикам,")</f>
        <v>разработчикам,</v>
      </c>
      <c r="Y264" s="1" t="str">
        <f>IFERROR(__xludf.DUMMYFUNCTION("""COMPUTED_VALUE"""),"так")</f>
        <v>так</v>
      </c>
      <c r="Z264" s="1" t="str">
        <f>IFERROR(__xludf.DUMMYFUNCTION("""COMPUTED_VALUE"""),"и")</f>
        <v>и</v>
      </c>
      <c r="AA264" s="1" t="str">
        <f>IFERROR(__xludf.DUMMYFUNCTION("""COMPUTED_VALUE"""),"потребителям")</f>
        <v>потребителям</v>
      </c>
    </row>
    <row r="265" ht="14.25" customHeight="1">
      <c r="A265" s="1" t="s">
        <v>25</v>
      </c>
      <c r="B265" s="1" t="s">
        <v>2380</v>
      </c>
      <c r="C265" s="2"/>
      <c r="D265" s="7" t="s">
        <v>2381</v>
      </c>
      <c r="E265" s="1" t="s">
        <v>25</v>
      </c>
      <c r="F265" s="4" t="s">
        <v>2382</v>
      </c>
      <c r="G265" s="7" t="s">
        <v>2381</v>
      </c>
      <c r="H265" s="7" t="s">
        <v>2383</v>
      </c>
      <c r="I265" s="4" t="s">
        <v>2384</v>
      </c>
      <c r="J265" s="1" t="s">
        <v>2375</v>
      </c>
      <c r="L265" s="1" t="s">
        <v>2385</v>
      </c>
      <c r="M265" s="1" t="s">
        <v>2295</v>
      </c>
      <c r="N265" s="1" t="s">
        <v>2377</v>
      </c>
      <c r="O265" s="1" t="s">
        <v>1375</v>
      </c>
      <c r="P265" s="1" t="s">
        <v>2046</v>
      </c>
      <c r="Q265" s="1" t="s">
        <v>2047</v>
      </c>
      <c r="R265" s="1" t="s">
        <v>2295</v>
      </c>
      <c r="S265" s="1" t="s">
        <v>70</v>
      </c>
      <c r="T265" s="1" t="s">
        <v>1458</v>
      </c>
      <c r="U265" s="4" t="s">
        <v>2386</v>
      </c>
      <c r="V265" s="4" t="str">
        <f>IFERROR(__xludf.DUMMYFUNCTION("SPLIT(F265, "" "")"),"Обаме,")</f>
        <v>Обаме,</v>
      </c>
      <c r="W265" s="1" t="str">
        <f>IFERROR(__xludf.DUMMYFUNCTION("""COMPUTED_VALUE"""),"автор")</f>
        <v>автор</v>
      </c>
      <c r="X265" s="1" t="str">
        <f>IFERROR(__xludf.DUMMYFUNCTION("""COMPUTED_VALUE"""),"тем")</f>
        <v>тем</v>
      </c>
      <c r="Y265" s="1" t="str">
        <f>IFERROR(__xludf.DUMMYFUNCTION("""COMPUTED_VALUE"""),"не")</f>
        <v>не</v>
      </c>
      <c r="Z265" s="1" t="str">
        <f>IFERROR(__xludf.DUMMYFUNCTION("""COMPUTED_VALUE"""),"менее")</f>
        <v>менее</v>
      </c>
      <c r="AA265" s="1" t="str">
        <f>IFERROR(__xludf.DUMMYFUNCTION("""COMPUTED_VALUE"""),"признает")</f>
        <v>признает</v>
      </c>
    </row>
    <row r="266" ht="14.25" customHeight="1">
      <c r="A266" s="1" t="s">
        <v>2387</v>
      </c>
      <c r="B266" s="1" t="s">
        <v>398</v>
      </c>
      <c r="C266" s="2" t="s">
        <v>2388</v>
      </c>
      <c r="D266" s="7" t="s">
        <v>400</v>
      </c>
      <c r="E266" s="1" t="s">
        <v>25</v>
      </c>
      <c r="F266" s="4" t="s">
        <v>2389</v>
      </c>
      <c r="G266" s="7" t="s">
        <v>400</v>
      </c>
      <c r="H266" s="7" t="s">
        <v>2390</v>
      </c>
      <c r="I266" s="4" t="s">
        <v>2391</v>
      </c>
      <c r="J266" s="1" t="s">
        <v>2392</v>
      </c>
      <c r="K266" s="1" t="s">
        <v>735</v>
      </c>
      <c r="L266" s="1" t="s">
        <v>2393</v>
      </c>
      <c r="M266" s="1" t="s">
        <v>2295</v>
      </c>
      <c r="N266" s="1" t="s">
        <v>139</v>
      </c>
      <c r="O266" s="1" t="s">
        <v>367</v>
      </c>
      <c r="Q266" s="1" t="s">
        <v>2394</v>
      </c>
      <c r="R266" s="1" t="s">
        <v>2295</v>
      </c>
      <c r="S266" s="1" t="s">
        <v>273</v>
      </c>
      <c r="T266" s="1" t="s">
        <v>1458</v>
      </c>
      <c r="U266" s="4" t="s">
        <v>2395</v>
      </c>
      <c r="V266" s="4" t="str">
        <f>IFERROR(__xludf.DUMMYFUNCTION("SPLIT(F266, "" "")"),"водопроводу")</f>
        <v>водопроводу</v>
      </c>
      <c r="W266" s="1" t="str">
        <f>IFERROR(__xludf.DUMMYFUNCTION("""COMPUTED_VALUE"""),"и,")</f>
        <v>и,</v>
      </c>
      <c r="X266" s="1" t="str">
        <f>IFERROR(__xludf.DUMMYFUNCTION("""COMPUTED_VALUE"""),"зная,")</f>
        <v>зная,</v>
      </c>
      <c r="Y266" s="1" t="str">
        <f>IFERROR(__xludf.DUMMYFUNCTION("""COMPUTED_VALUE"""),"что")</f>
        <v>что</v>
      </c>
      <c r="Z266" s="1" t="str">
        <f>IFERROR(__xludf.DUMMYFUNCTION("""COMPUTED_VALUE"""),"все")</f>
        <v>все</v>
      </c>
      <c r="AA266" s="1" t="str">
        <f>IFERROR(__xludf.DUMMYFUNCTION("""COMPUTED_VALUE"""),"хорошее")</f>
        <v>хорошее</v>
      </c>
    </row>
    <row r="267" ht="14.25" customHeight="1">
      <c r="A267" s="1" t="s">
        <v>2396</v>
      </c>
      <c r="B267" s="1" t="s">
        <v>1448</v>
      </c>
      <c r="C267" s="2" t="s">
        <v>2397</v>
      </c>
      <c r="D267" s="7" t="s">
        <v>1450</v>
      </c>
      <c r="E267" s="1" t="s">
        <v>25</v>
      </c>
      <c r="F267" s="4" t="s">
        <v>2398</v>
      </c>
      <c r="G267" s="7" t="s">
        <v>1450</v>
      </c>
      <c r="H267" s="7" t="s">
        <v>2184</v>
      </c>
      <c r="I267" s="4" t="s">
        <v>2391</v>
      </c>
      <c r="J267" s="1" t="s">
        <v>2392</v>
      </c>
      <c r="K267" s="1" t="s">
        <v>735</v>
      </c>
      <c r="L267" s="1" t="s">
        <v>2393</v>
      </c>
      <c r="M267" s="1" t="s">
        <v>2295</v>
      </c>
      <c r="N267" s="1" t="s">
        <v>139</v>
      </c>
      <c r="O267" s="1" t="s">
        <v>367</v>
      </c>
      <c r="Q267" s="1" t="s">
        <v>2394</v>
      </c>
      <c r="R267" s="1" t="s">
        <v>2295</v>
      </c>
      <c r="S267" s="1" t="s">
        <v>273</v>
      </c>
      <c r="T267" s="1" t="s">
        <v>1458</v>
      </c>
      <c r="U267" s="4" t="s">
        <v>2399</v>
      </c>
      <c r="V267" s="4" t="str">
        <f>IFERROR(__xludf.DUMMYFUNCTION("SPLIT(F267, "" "")"),"политической")</f>
        <v>политической</v>
      </c>
      <c r="W267" s="1" t="str">
        <f>IFERROR(__xludf.DUMMYFUNCTION("""COMPUTED_VALUE"""),"позицией")</f>
        <v>позицией</v>
      </c>
      <c r="X267" s="1" t="str">
        <f>IFERROR(__xludf.DUMMYFUNCTION("""COMPUTED_VALUE"""),"так")</f>
        <v>так</v>
      </c>
      <c r="Y267" s="1" t="str">
        <f>IFERROR(__xludf.DUMMYFUNCTION("""COMPUTED_VALUE"""),"и")</f>
        <v>и</v>
      </c>
      <c r="Z267" s="1" t="str">
        <f>IFERROR(__xludf.DUMMYFUNCTION("""COMPUTED_VALUE"""),"не")</f>
        <v>не</v>
      </c>
      <c r="AA267" s="1" t="str">
        <f>IFERROR(__xludf.DUMMYFUNCTION("""COMPUTED_VALUE"""),"обзавелась")</f>
        <v>обзавелась</v>
      </c>
    </row>
    <row r="268" ht="14.25" customHeight="1">
      <c r="A268" s="1" t="s">
        <v>2400</v>
      </c>
      <c r="B268" s="1" t="s">
        <v>557</v>
      </c>
      <c r="C268" s="2" t="s">
        <v>2393</v>
      </c>
      <c r="D268" s="7" t="s">
        <v>559</v>
      </c>
      <c r="E268" s="1" t="s">
        <v>25</v>
      </c>
      <c r="F268" s="4" t="s">
        <v>2401</v>
      </c>
      <c r="G268" s="7" t="s">
        <v>559</v>
      </c>
      <c r="H268" s="7" t="s">
        <v>2402</v>
      </c>
      <c r="I268" s="4" t="s">
        <v>2391</v>
      </c>
      <c r="J268" s="1" t="s">
        <v>2392</v>
      </c>
      <c r="K268" s="1" t="s">
        <v>735</v>
      </c>
      <c r="L268" s="1" t="s">
        <v>2393</v>
      </c>
      <c r="M268" s="1" t="s">
        <v>2295</v>
      </c>
      <c r="N268" s="1" t="s">
        <v>139</v>
      </c>
      <c r="O268" s="1" t="s">
        <v>367</v>
      </c>
      <c r="Q268" s="1" t="s">
        <v>2394</v>
      </c>
      <c r="R268" s="1" t="s">
        <v>2295</v>
      </c>
      <c r="S268" s="1" t="s">
        <v>273</v>
      </c>
      <c r="T268" s="1" t="s">
        <v>1458</v>
      </c>
      <c r="U268" s="4" t="s">
        <v>2403</v>
      </c>
      <c r="V268" s="4" t="str">
        <f>IFERROR(__xludf.DUMMYFUNCTION("SPLIT(F268, "" "")"),"вызову,")</f>
        <v>вызову,</v>
      </c>
      <c r="W268" s="1" t="str">
        <f>IFERROR(__xludf.DUMMYFUNCTION("""COMPUTED_VALUE"""),"ей")</f>
        <v>ей</v>
      </c>
      <c r="X268" s="1" t="str">
        <f>IFERROR(__xludf.DUMMYFUNCTION("""COMPUTED_VALUE"""),"очень")</f>
        <v>очень</v>
      </c>
      <c r="Y268" s="1" t="str">
        <f>IFERROR(__xludf.DUMMYFUNCTION("""COMPUTED_VALUE"""),"хотелось")</f>
        <v>хотелось</v>
      </c>
      <c r="Z268" s="1" t="str">
        <f>IFERROR(__xludf.DUMMYFUNCTION("""COMPUTED_VALUE"""),"снова")</f>
        <v>снова</v>
      </c>
      <c r="AA268" s="1" t="str">
        <f>IFERROR(__xludf.DUMMYFUNCTION("""COMPUTED_VALUE"""),"увидеть")</f>
        <v>увидеть</v>
      </c>
    </row>
    <row r="269" ht="14.25" customHeight="1">
      <c r="A269" s="1" t="s">
        <v>2404</v>
      </c>
      <c r="B269" s="1" t="s">
        <v>2405</v>
      </c>
      <c r="C269" s="2" t="s">
        <v>2406</v>
      </c>
      <c r="D269" s="7" t="s">
        <v>2407</v>
      </c>
      <c r="E269" s="1" t="s">
        <v>25</v>
      </c>
      <c r="F269" s="4" t="s">
        <v>2408</v>
      </c>
      <c r="G269" s="7" t="s">
        <v>2407</v>
      </c>
      <c r="H269" s="7" t="s">
        <v>2409</v>
      </c>
      <c r="I269" s="4" t="s">
        <v>2391</v>
      </c>
      <c r="J269" s="1" t="s">
        <v>2392</v>
      </c>
      <c r="K269" s="1" t="s">
        <v>735</v>
      </c>
      <c r="L269" s="1" t="s">
        <v>2393</v>
      </c>
      <c r="M269" s="1" t="s">
        <v>2295</v>
      </c>
      <c r="N269" s="1" t="s">
        <v>139</v>
      </c>
      <c r="O269" s="1" t="s">
        <v>367</v>
      </c>
      <c r="Q269" s="1" t="s">
        <v>2394</v>
      </c>
      <c r="R269" s="1" t="s">
        <v>2295</v>
      </c>
      <c r="S269" s="1" t="s">
        <v>273</v>
      </c>
      <c r="T269" s="1" t="s">
        <v>1458</v>
      </c>
      <c r="U269" s="4" t="s">
        <v>2410</v>
      </c>
      <c r="V269" s="4" t="str">
        <f>IFERROR(__xludf.DUMMYFUNCTION("SPLIT(F269, "" "")"),"просьбе,")</f>
        <v>просьбе,</v>
      </c>
      <c r="W269" s="1" t="str">
        <f>IFERROR(__xludf.DUMMYFUNCTION("""COMPUTED_VALUE"""),"и")</f>
        <v>и</v>
      </c>
      <c r="X269" s="1" t="str">
        <f>IFERROR(__xludf.DUMMYFUNCTION("""COMPUTED_VALUE"""),"ощутила")</f>
        <v>ощутила</v>
      </c>
      <c r="Y269" s="1" t="str">
        <f>IFERROR(__xludf.DUMMYFUNCTION("""COMPUTED_VALUE"""),"к")</f>
        <v>к</v>
      </c>
      <c r="Z269" s="1" t="str">
        <f>IFERROR(__xludf.DUMMYFUNCTION("""COMPUTED_VALUE"""),"нему")</f>
        <v>нему</v>
      </c>
      <c r="AA269" s="1" t="str">
        <f>IFERROR(__xludf.DUMMYFUNCTION("""COMPUTED_VALUE"""),"такую")</f>
        <v>такую</v>
      </c>
    </row>
    <row r="270" ht="14.25" customHeight="1">
      <c r="A270" s="1" t="s">
        <v>2411</v>
      </c>
      <c r="B270" s="1" t="s">
        <v>2412</v>
      </c>
      <c r="C270" s="2" t="s">
        <v>2413</v>
      </c>
      <c r="D270" s="7" t="s">
        <v>2414</v>
      </c>
      <c r="E270" s="1" t="s">
        <v>25</v>
      </c>
      <c r="F270" s="4" t="s">
        <v>2415</v>
      </c>
      <c r="G270" s="7" t="s">
        <v>2414</v>
      </c>
      <c r="H270" s="7" t="s">
        <v>2416</v>
      </c>
      <c r="I270" s="4" t="s">
        <v>2417</v>
      </c>
      <c r="J270" s="1" t="s">
        <v>2418</v>
      </c>
      <c r="K270" s="1" t="s">
        <v>620</v>
      </c>
      <c r="L270" s="1" t="s">
        <v>2419</v>
      </c>
      <c r="M270" s="1" t="s">
        <v>2295</v>
      </c>
      <c r="N270" s="1" t="s">
        <v>139</v>
      </c>
      <c r="O270" s="1" t="s">
        <v>285</v>
      </c>
      <c r="Q270" s="1" t="s">
        <v>1916</v>
      </c>
      <c r="R270" s="1" t="s">
        <v>2295</v>
      </c>
      <c r="S270" s="1" t="s">
        <v>70</v>
      </c>
      <c r="T270" s="1" t="s">
        <v>1458</v>
      </c>
      <c r="U270" s="4" t="s">
        <v>2420</v>
      </c>
      <c r="V270" s="4" t="str">
        <f>IFERROR(__xludf.DUMMYFUNCTION("SPLIT(F270, "" "")"),"Ваську,")</f>
        <v>Ваську,</v>
      </c>
      <c r="W270" s="1" t="str">
        <f>IFERROR(__xludf.DUMMYFUNCTION("""COMPUTED_VALUE"""),"который,")</f>
        <v>который,</v>
      </c>
      <c r="X270" s="1" t="str">
        <f>IFERROR(__xludf.DUMMYFUNCTION("""COMPUTED_VALUE"""),"по")</f>
        <v>по</v>
      </c>
      <c r="Y270" s="1" t="str">
        <f>IFERROR(__xludf.DUMMYFUNCTION("""COMPUTED_VALUE"""),"ее")</f>
        <v>ее</v>
      </c>
      <c r="Z270" s="1" t="str">
        <f>IFERROR(__xludf.DUMMYFUNCTION("""COMPUTED_VALUE"""),"мнению,")</f>
        <v>мнению,</v>
      </c>
      <c r="AA270" s="1" t="str">
        <f>IFERROR(__xludf.DUMMYFUNCTION("""COMPUTED_VALUE"""),"был")</f>
        <v>был</v>
      </c>
    </row>
    <row r="271" ht="14.25" customHeight="1">
      <c r="A271" s="1" t="s">
        <v>2421</v>
      </c>
      <c r="B271" s="1" t="s">
        <v>156</v>
      </c>
      <c r="C271" s="2" t="s">
        <v>2422</v>
      </c>
      <c r="D271" s="7" t="s">
        <v>158</v>
      </c>
      <c r="E271" s="1" t="s">
        <v>25</v>
      </c>
      <c r="F271" s="4" t="s">
        <v>2423</v>
      </c>
      <c r="G271" s="7" t="s">
        <v>158</v>
      </c>
      <c r="H271" s="7" t="s">
        <v>2424</v>
      </c>
      <c r="I271" s="4" t="s">
        <v>2417</v>
      </c>
      <c r="J271" s="1" t="s">
        <v>2418</v>
      </c>
      <c r="K271" s="1" t="s">
        <v>620</v>
      </c>
      <c r="L271" s="1" t="s">
        <v>2419</v>
      </c>
      <c r="M271" s="1" t="s">
        <v>2295</v>
      </c>
      <c r="N271" s="1" t="s">
        <v>139</v>
      </c>
      <c r="O271" s="1" t="s">
        <v>285</v>
      </c>
      <c r="Q271" s="1" t="s">
        <v>1916</v>
      </c>
      <c r="R271" s="1" t="s">
        <v>2295</v>
      </c>
      <c r="S271" s="1" t="s">
        <v>70</v>
      </c>
      <c r="T271" s="1" t="s">
        <v>1458</v>
      </c>
      <c r="U271" s="4" t="s">
        <v>2425</v>
      </c>
      <c r="V271" s="4" t="str">
        <f>IFERROR(__xludf.DUMMYFUNCTION("SPLIT(F271, "" "")"),"переменам.")</f>
        <v>переменам.</v>
      </c>
    </row>
    <row r="272" ht="14.25" customHeight="1">
      <c r="A272" s="1" t="s">
        <v>2426</v>
      </c>
      <c r="B272" s="1" t="s">
        <v>105</v>
      </c>
      <c r="C272" s="2" t="s">
        <v>2427</v>
      </c>
      <c r="D272" s="7" t="s">
        <v>107</v>
      </c>
      <c r="E272" s="1" t="s">
        <v>25</v>
      </c>
      <c r="F272" s="4" t="s">
        <v>2428</v>
      </c>
      <c r="G272" s="7" t="s">
        <v>107</v>
      </c>
      <c r="H272" s="7" t="s">
        <v>2429</v>
      </c>
      <c r="I272" s="4" t="s">
        <v>2430</v>
      </c>
      <c r="J272" s="1" t="s">
        <v>2431</v>
      </c>
      <c r="K272" s="1" t="s">
        <v>1245</v>
      </c>
      <c r="L272" s="1" t="s">
        <v>2432</v>
      </c>
      <c r="M272" s="1" t="s">
        <v>2295</v>
      </c>
      <c r="N272" s="1" t="s">
        <v>2377</v>
      </c>
      <c r="O272" s="1" t="s">
        <v>67</v>
      </c>
      <c r="P272" s="1" t="s">
        <v>53</v>
      </c>
      <c r="Q272" s="1" t="s">
        <v>2002</v>
      </c>
      <c r="R272" s="1" t="s">
        <v>2295</v>
      </c>
      <c r="S272" s="1" t="s">
        <v>70</v>
      </c>
      <c r="T272" s="1" t="s">
        <v>1458</v>
      </c>
      <c r="U272" s="4" t="s">
        <v>2433</v>
      </c>
      <c r="V272" s="4" t="str">
        <f>IFERROR(__xludf.DUMMYFUNCTION("SPLIT(F272, "" "")"),"герою.")</f>
        <v>герою.</v>
      </c>
    </row>
    <row r="273" ht="14.25" customHeight="1">
      <c r="A273" s="1" t="s">
        <v>2434</v>
      </c>
      <c r="B273" s="1" t="s">
        <v>1005</v>
      </c>
      <c r="C273" s="2" t="s">
        <v>2435</v>
      </c>
      <c r="D273" s="7" t="s">
        <v>1007</v>
      </c>
      <c r="E273" s="1" t="s">
        <v>25</v>
      </c>
      <c r="F273" s="4" t="s">
        <v>2436</v>
      </c>
      <c r="G273" s="7" t="s">
        <v>1007</v>
      </c>
      <c r="H273" s="7" t="s">
        <v>2437</v>
      </c>
      <c r="I273" s="4" t="s">
        <v>2438</v>
      </c>
      <c r="J273" s="1" t="s">
        <v>2439</v>
      </c>
      <c r="L273" s="1" t="s">
        <v>2440</v>
      </c>
      <c r="M273" s="1" t="s">
        <v>2295</v>
      </c>
      <c r="N273" s="1" t="s">
        <v>2377</v>
      </c>
      <c r="O273" s="1" t="s">
        <v>52</v>
      </c>
      <c r="P273" s="1" t="s">
        <v>53</v>
      </c>
      <c r="Q273" s="1" t="s">
        <v>2002</v>
      </c>
      <c r="R273" s="1" t="s">
        <v>2295</v>
      </c>
      <c r="S273" s="1" t="s">
        <v>70</v>
      </c>
      <c r="T273" s="1" t="s">
        <v>1458</v>
      </c>
      <c r="U273" s="4" t="s">
        <v>2441</v>
      </c>
      <c r="V273" s="4" t="str">
        <f>IFERROR(__xludf.DUMMYFUNCTION("SPLIT(F273, "" "")"),"побегу")</f>
        <v>побегу</v>
      </c>
      <c r="W273" s="1" t="str">
        <f>IFERROR(__xludf.DUMMYFUNCTION("""COMPUTED_VALUE"""),"с")</f>
        <v>с</v>
      </c>
      <c r="X273" s="1" t="str">
        <f>IFERROR(__xludf.DUMMYFUNCTION("""COMPUTED_VALUE"""),"уроков,")</f>
        <v>уроков,</v>
      </c>
      <c r="Y273" s="1" t="str">
        <f>IFERROR(__xludf.DUMMYFUNCTION("""COMPUTED_VALUE"""),"мальчишки")</f>
        <v>мальчишки</v>
      </c>
      <c r="Z273" s="1" t="str">
        <f>IFERROR(__xludf.DUMMYFUNCTION("""COMPUTED_VALUE"""),"запускают")</f>
        <v>запускают</v>
      </c>
      <c r="AA273" s="1" t="str">
        <f>IFERROR(__xludf.DUMMYFUNCTION("""COMPUTED_VALUE"""),"самолетик")</f>
        <v>самолетик</v>
      </c>
    </row>
    <row r="274" ht="14.25" customHeight="1">
      <c r="A274" s="1" t="s">
        <v>2442</v>
      </c>
      <c r="B274" s="1" t="s">
        <v>2443</v>
      </c>
      <c r="C274" s="2" t="s">
        <v>2444</v>
      </c>
      <c r="D274" s="7" t="s">
        <v>2445</v>
      </c>
      <c r="E274" s="1" t="s">
        <v>25</v>
      </c>
      <c r="F274" s="4" t="s">
        <v>2446</v>
      </c>
      <c r="G274" s="7" t="s">
        <v>2445</v>
      </c>
      <c r="H274" s="7" t="s">
        <v>2447</v>
      </c>
      <c r="I274" s="4" t="s">
        <v>2448</v>
      </c>
      <c r="J274" s="1" t="s">
        <v>2449</v>
      </c>
      <c r="K274" s="1" t="s">
        <v>176</v>
      </c>
      <c r="L274" s="1" t="s">
        <v>2450</v>
      </c>
      <c r="M274" s="1" t="s">
        <v>2295</v>
      </c>
      <c r="N274" s="1" t="s">
        <v>139</v>
      </c>
      <c r="O274" s="1" t="s">
        <v>458</v>
      </c>
      <c r="Q274" s="1" t="s">
        <v>1916</v>
      </c>
      <c r="R274" s="1" t="s">
        <v>2295</v>
      </c>
      <c r="S274" s="1" t="s">
        <v>70</v>
      </c>
      <c r="T274" s="1" t="s">
        <v>1458</v>
      </c>
      <c r="U274" s="4" t="s">
        <v>2451</v>
      </c>
      <c r="V274" s="4" t="str">
        <f>IFERROR(__xludf.DUMMYFUNCTION("SPLIT(F274, "" "")"),"Свету,")</f>
        <v>Свету,</v>
      </c>
      <c r="W274" s="1" t="str">
        <f>IFERROR(__xludf.DUMMYFUNCTION("""COMPUTED_VALUE"""),"а")</f>
        <v>а</v>
      </c>
      <c r="X274" s="1" t="str">
        <f>IFERROR(__xludf.DUMMYFUNCTION("""COMPUTED_VALUE"""),"Галя")</f>
        <v>Галя</v>
      </c>
      <c r="Y274" s="1" t="str">
        <f>IFERROR(__xludf.DUMMYFUNCTION("""COMPUTED_VALUE"""),"об")</f>
        <v>об</v>
      </c>
      <c r="Z274" s="1" t="str">
        <f>IFERROR(__xludf.DUMMYFUNCTION("""COMPUTED_VALUE"""),"этом")</f>
        <v>этом</v>
      </c>
      <c r="AA274" s="1" t="str">
        <f>IFERROR(__xludf.DUMMYFUNCTION("""COMPUTED_VALUE"""),"даже")</f>
        <v>даже</v>
      </c>
    </row>
    <row r="275" ht="14.25" customHeight="1">
      <c r="A275" s="1" t="s">
        <v>25</v>
      </c>
      <c r="B275" s="1" t="s">
        <v>1477</v>
      </c>
      <c r="C275" s="2"/>
      <c r="D275" s="7" t="s">
        <v>1478</v>
      </c>
      <c r="E275" s="1" t="s">
        <v>25</v>
      </c>
      <c r="F275" s="4" t="s">
        <v>2452</v>
      </c>
      <c r="G275" s="7" t="s">
        <v>1478</v>
      </c>
      <c r="H275" s="7" t="s">
        <v>2453</v>
      </c>
      <c r="I275" s="4" t="s">
        <v>2454</v>
      </c>
      <c r="J275" s="1" t="s">
        <v>2455</v>
      </c>
      <c r="K275" s="1" t="s">
        <v>269</v>
      </c>
      <c r="L275" s="1" t="s">
        <v>2456</v>
      </c>
      <c r="M275" s="1" t="s">
        <v>2295</v>
      </c>
      <c r="N275" s="1" t="s">
        <v>51</v>
      </c>
      <c r="O275" s="1" t="s">
        <v>1798</v>
      </c>
      <c r="P275" s="1" t="s">
        <v>53</v>
      </c>
      <c r="Q275" s="1" t="s">
        <v>1916</v>
      </c>
      <c r="R275" s="1" t="s">
        <v>2295</v>
      </c>
      <c r="S275" s="1" t="s">
        <v>70</v>
      </c>
      <c r="T275" s="1" t="s">
        <v>1458</v>
      </c>
      <c r="U275" s="4" t="s">
        <v>2457</v>
      </c>
      <c r="V275" s="4" t="str">
        <f>IFERROR(__xludf.DUMMYFUNCTION("SPLIT(F275, "" "")"),"соли")</f>
        <v>соли</v>
      </c>
      <c r="W275" s="1" t="str">
        <f>IFERROR(__xludf.DUMMYFUNCTION("""COMPUTED_VALUE"""),"среди")</f>
        <v>среди</v>
      </c>
      <c r="X275" s="1" t="str">
        <f>IFERROR(__xludf.DUMMYFUNCTION("""COMPUTED_VALUE"""),"них")</f>
        <v>них</v>
      </c>
      <c r="Y275" s="1" t="str">
        <f>IFERROR(__xludf.DUMMYFUNCTION("""COMPUTED_VALUE"""),"мало.")</f>
        <v>мало.</v>
      </c>
    </row>
    <row r="276" ht="14.25" customHeight="1">
      <c r="A276" s="1" t="s">
        <v>2458</v>
      </c>
      <c r="B276" s="1" t="s">
        <v>777</v>
      </c>
      <c r="C276" s="2" t="s">
        <v>2459</v>
      </c>
      <c r="D276" s="7" t="s">
        <v>779</v>
      </c>
      <c r="E276" s="1" t="s">
        <v>25</v>
      </c>
      <c r="F276" s="4" t="s">
        <v>2460</v>
      </c>
      <c r="G276" s="7" t="s">
        <v>779</v>
      </c>
      <c r="H276" s="7" t="s">
        <v>2461</v>
      </c>
      <c r="I276" s="4" t="s">
        <v>2462</v>
      </c>
      <c r="J276" s="1" t="s">
        <v>2463</v>
      </c>
      <c r="K276" s="1" t="s">
        <v>1537</v>
      </c>
      <c r="L276" s="1" t="s">
        <v>2464</v>
      </c>
      <c r="M276" s="1" t="s">
        <v>2295</v>
      </c>
      <c r="N276" s="1" t="s">
        <v>51</v>
      </c>
      <c r="O276" s="1" t="s">
        <v>189</v>
      </c>
      <c r="P276" s="1" t="s">
        <v>1858</v>
      </c>
      <c r="S276" s="1" t="s">
        <v>273</v>
      </c>
      <c r="T276" s="1" t="s">
        <v>1458</v>
      </c>
      <c r="U276" s="4" t="s">
        <v>2465</v>
      </c>
      <c r="V276" s="4" t="str">
        <f>IFERROR(__xludf.DUMMYFUNCTION("SPLIT(F276, "" "")"),"псу")</f>
        <v>псу</v>
      </c>
      <c r="W276" s="1" t="str">
        <f>IFERROR(__xludf.DUMMYFUNCTION("""COMPUTED_VALUE"""),"говорил:")</f>
        <v>говорил:</v>
      </c>
      <c r="X276" s="1" t="str">
        <f>IFERROR(__xludf.DUMMYFUNCTION("""COMPUTED_VALUE"""),"«То,")</f>
        <v>«То,</v>
      </c>
      <c r="Y276" s="1" t="str">
        <f>IFERROR(__xludf.DUMMYFUNCTION("""COMPUTED_VALUE"""),"что")</f>
        <v>что</v>
      </c>
      <c r="Z276" s="1" t="str">
        <f>IFERROR(__xludf.DUMMYFUNCTION("""COMPUTED_VALUE"""),"ты")</f>
        <v>ты</v>
      </c>
      <c r="AA276" s="1" t="str">
        <f>IFERROR(__xludf.DUMMYFUNCTION("""COMPUTED_VALUE"""),"всё")</f>
        <v>всё</v>
      </c>
    </row>
    <row r="277" ht="14.25" customHeight="1">
      <c r="A277" s="1" t="s">
        <v>2466</v>
      </c>
      <c r="B277" s="1" t="s">
        <v>1802</v>
      </c>
      <c r="C277" s="2" t="s">
        <v>2467</v>
      </c>
      <c r="D277" s="7" t="s">
        <v>1804</v>
      </c>
      <c r="E277" s="1" t="s">
        <v>25</v>
      </c>
      <c r="F277" s="4" t="s">
        <v>2468</v>
      </c>
      <c r="G277" s="7" t="s">
        <v>1804</v>
      </c>
      <c r="H277" s="7" t="s">
        <v>2469</v>
      </c>
      <c r="I277" s="4" t="s">
        <v>2462</v>
      </c>
      <c r="J277" s="1" t="s">
        <v>2463</v>
      </c>
      <c r="K277" s="1" t="s">
        <v>1537</v>
      </c>
      <c r="L277" s="1" t="s">
        <v>2464</v>
      </c>
      <c r="M277" s="1" t="s">
        <v>2295</v>
      </c>
      <c r="N277" s="1" t="s">
        <v>51</v>
      </c>
      <c r="O277" s="1" t="s">
        <v>189</v>
      </c>
      <c r="P277" s="1" t="s">
        <v>1858</v>
      </c>
      <c r="S277" s="1" t="s">
        <v>273</v>
      </c>
      <c r="T277" s="1" t="s">
        <v>1458</v>
      </c>
      <c r="U277" s="4" t="s">
        <v>2470</v>
      </c>
      <c r="V277" s="4" t="str">
        <f>IFERROR(__xludf.DUMMYFUNCTION("SPLIT(F277, "" "")"),"технологии.")</f>
        <v>технологии.</v>
      </c>
    </row>
    <row r="278" ht="14.25" customHeight="1">
      <c r="A278" s="1" t="s">
        <v>2471</v>
      </c>
      <c r="B278" s="1" t="s">
        <v>2472</v>
      </c>
      <c r="C278" s="2" t="s">
        <v>2473</v>
      </c>
      <c r="D278" s="7" t="s">
        <v>2474</v>
      </c>
      <c r="E278" s="1" t="s">
        <v>25</v>
      </c>
      <c r="F278" s="4" t="s">
        <v>2475</v>
      </c>
      <c r="G278" s="7" t="s">
        <v>2474</v>
      </c>
      <c r="H278" s="7" t="s">
        <v>1620</v>
      </c>
      <c r="I278" s="4" t="s">
        <v>2476</v>
      </c>
      <c r="J278" s="1" t="s">
        <v>2477</v>
      </c>
      <c r="K278" s="1" t="s">
        <v>1537</v>
      </c>
      <c r="L278" s="1" t="s">
        <v>2478</v>
      </c>
      <c r="M278" s="1" t="s">
        <v>2295</v>
      </c>
      <c r="N278" s="1" t="s">
        <v>51</v>
      </c>
      <c r="O278" s="1" t="s">
        <v>67</v>
      </c>
      <c r="P278" s="1" t="s">
        <v>2479</v>
      </c>
      <c r="Q278" s="1" t="s">
        <v>1916</v>
      </c>
      <c r="R278" s="1" t="s">
        <v>2295</v>
      </c>
      <c r="S278" s="1" t="s">
        <v>70</v>
      </c>
      <c r="T278" s="1" t="s">
        <v>1458</v>
      </c>
      <c r="U278" s="4" t="s">
        <v>2480</v>
      </c>
      <c r="V278" s="4" t="str">
        <f>IFERROR(__xludf.DUMMYFUNCTION("SPLIT(F278, "" "")"),"молодой")</f>
        <v>молодой</v>
      </c>
      <c r="W278" s="1" t="str">
        <f>IFERROR(__xludf.DUMMYFUNCTION("""COMPUTED_VALUE"""),"матери,")</f>
        <v>матери,</v>
      </c>
      <c r="X278" s="1" t="str">
        <f>IFERROR(__xludf.DUMMYFUNCTION("""COMPUTED_VALUE"""),"шпыняющей")</f>
        <v>шпыняющей</v>
      </c>
      <c r="Y278" s="1" t="str">
        <f>IFERROR(__xludf.DUMMYFUNCTION("""COMPUTED_VALUE"""),"ребенка.")</f>
        <v>ребенка.</v>
      </c>
    </row>
    <row r="279" ht="14.25" customHeight="1">
      <c r="A279" s="1" t="s">
        <v>2481</v>
      </c>
      <c r="B279" s="1" t="s">
        <v>2482</v>
      </c>
      <c r="C279" s="2" t="s">
        <v>2483</v>
      </c>
      <c r="D279" s="7" t="s">
        <v>2484</v>
      </c>
      <c r="E279" s="1" t="s">
        <v>25</v>
      </c>
      <c r="F279" s="4" t="s">
        <v>2485</v>
      </c>
      <c r="G279" s="7" t="s">
        <v>2484</v>
      </c>
      <c r="H279" s="7" t="s">
        <v>2184</v>
      </c>
      <c r="I279" s="4" t="s">
        <v>2486</v>
      </c>
      <c r="J279" s="1" t="s">
        <v>2477</v>
      </c>
      <c r="K279" s="1" t="s">
        <v>1537</v>
      </c>
      <c r="L279" s="1" t="s">
        <v>2487</v>
      </c>
      <c r="M279" s="1" t="s">
        <v>2295</v>
      </c>
      <c r="N279" s="1" t="s">
        <v>51</v>
      </c>
      <c r="O279" s="1" t="s">
        <v>1375</v>
      </c>
      <c r="P279" s="1" t="s">
        <v>53</v>
      </c>
      <c r="Q279" s="1" t="s">
        <v>1916</v>
      </c>
      <c r="R279" s="1" t="s">
        <v>2295</v>
      </c>
      <c r="S279" s="1" t="s">
        <v>70</v>
      </c>
      <c r="T279" s="1" t="s">
        <v>1458</v>
      </c>
      <c r="U279" s="4" t="s">
        <v>2488</v>
      </c>
      <c r="V279" s="4" t="str">
        <f>IFERROR(__xludf.DUMMYFUNCTION("SPLIT(F279, "" "")"),"политической")</f>
        <v>политической</v>
      </c>
      <c r="W279" s="1" t="str">
        <f>IFERROR(__xludf.DUMMYFUNCTION("""COMPUTED_VALUE"""),"подкованностью")</f>
        <v>подкованностью</v>
      </c>
      <c r="X279" s="1" t="str">
        <f>IFERROR(__xludf.DUMMYFUNCTION("""COMPUTED_VALUE"""),"литературного")</f>
        <v>литературного</v>
      </c>
      <c r="Y279" s="1" t="str">
        <f>IFERROR(__xludf.DUMMYFUNCTION("""COMPUTED_VALUE"""),"критика,")</f>
        <v>критика,</v>
      </c>
      <c r="Z279" s="1" t="str">
        <f>IFERROR(__xludf.DUMMYFUNCTION("""COMPUTED_VALUE"""),"обозревшего,")</f>
        <v>обозревшего,</v>
      </c>
      <c r="AA279" s="1" t="str">
        <f>IFERROR(__xludf.DUMMYFUNCTION("""COMPUTED_VALUE"""),"по")</f>
        <v>по</v>
      </c>
    </row>
    <row r="280" ht="14.25" customHeight="1">
      <c r="A280" s="1" t="s">
        <v>25</v>
      </c>
      <c r="B280" s="1" t="s">
        <v>2489</v>
      </c>
      <c r="C280" s="2"/>
      <c r="D280" s="7" t="s">
        <v>2490</v>
      </c>
      <c r="E280" s="1" t="s">
        <v>25</v>
      </c>
      <c r="F280" s="4" t="s">
        <v>2491</v>
      </c>
      <c r="G280" s="7" t="s">
        <v>2490</v>
      </c>
      <c r="H280" s="7" t="s">
        <v>2492</v>
      </c>
      <c r="I280" s="4" t="s">
        <v>2493</v>
      </c>
      <c r="J280" s="1" t="s">
        <v>1963</v>
      </c>
      <c r="K280" s="1" t="s">
        <v>269</v>
      </c>
      <c r="L280" s="1" t="s">
        <v>2494</v>
      </c>
      <c r="M280" s="1" t="s">
        <v>2295</v>
      </c>
      <c r="N280" s="1" t="s">
        <v>139</v>
      </c>
      <c r="O280" s="1" t="s">
        <v>285</v>
      </c>
      <c r="Q280" s="1" t="s">
        <v>1916</v>
      </c>
      <c r="R280" s="1" t="s">
        <v>1914</v>
      </c>
      <c r="S280" s="1" t="s">
        <v>70</v>
      </c>
      <c r="T280" s="1" t="s">
        <v>1458</v>
      </c>
      <c r="U280" s="4" t="s">
        <v>2495</v>
      </c>
      <c r="V280" s="4" t="str">
        <f>IFERROR(__xludf.DUMMYFUNCTION("SPLIT(F280, "" "")"),"Женьку")</f>
        <v>Женьку</v>
      </c>
      <c r="W280" s="1" t="str">
        <f>IFERROR(__xludf.DUMMYFUNCTION("""COMPUTED_VALUE"""),"потому,")</f>
        <v>потому,</v>
      </c>
      <c r="X280" s="1" t="str">
        <f>IFERROR(__xludf.DUMMYFUNCTION("""COMPUTED_VALUE"""),"что")</f>
        <v>что</v>
      </c>
      <c r="Y280" s="1" t="str">
        <f>IFERROR(__xludf.DUMMYFUNCTION("""COMPUTED_VALUE"""),"она")</f>
        <v>она</v>
      </c>
      <c r="Z280" s="1" t="str">
        <f>IFERROR(__xludf.DUMMYFUNCTION("""COMPUTED_VALUE"""),"ни")</f>
        <v>ни</v>
      </c>
      <c r="AA280" s="1" t="str">
        <f>IFERROR(__xludf.DUMMYFUNCTION("""COMPUTED_VALUE"""),"людей")</f>
        <v>людей</v>
      </c>
    </row>
    <row r="281" ht="14.25" customHeight="1">
      <c r="A281" s="1" t="s">
        <v>2496</v>
      </c>
      <c r="B281" s="1" t="s">
        <v>2497</v>
      </c>
      <c r="C281" s="2" t="s">
        <v>2498</v>
      </c>
      <c r="D281" s="7" t="s">
        <v>2499</v>
      </c>
      <c r="E281" s="1" t="s">
        <v>25</v>
      </c>
      <c r="F281" s="4" t="s">
        <v>2500</v>
      </c>
      <c r="G281" s="7" t="s">
        <v>2499</v>
      </c>
      <c r="H281" s="7" t="s">
        <v>2501</v>
      </c>
      <c r="I281" s="4" t="s">
        <v>2493</v>
      </c>
      <c r="J281" s="1" t="s">
        <v>1963</v>
      </c>
      <c r="K281" s="1" t="s">
        <v>269</v>
      </c>
      <c r="L281" s="1" t="s">
        <v>2494</v>
      </c>
      <c r="M281" s="1" t="s">
        <v>2295</v>
      </c>
      <c r="N281" s="1" t="s">
        <v>139</v>
      </c>
      <c r="O281" s="1" t="s">
        <v>285</v>
      </c>
      <c r="Q281" s="1" t="s">
        <v>1916</v>
      </c>
      <c r="R281" s="1" t="s">
        <v>1914</v>
      </c>
      <c r="S281" s="1" t="s">
        <v>70</v>
      </c>
      <c r="T281" s="1" t="s">
        <v>1458</v>
      </c>
      <c r="U281" s="4" t="s">
        <v>2502</v>
      </c>
      <c r="V281" s="4" t="str">
        <f>IFERROR(__xludf.DUMMYFUNCTION("SPLIT(F281, "" "")"),"любви?!")</f>
        <v>любви?!</v>
      </c>
    </row>
    <row r="282" ht="14.25" customHeight="1">
      <c r="A282" s="1" t="s">
        <v>2503</v>
      </c>
      <c r="B282" s="1" t="s">
        <v>2504</v>
      </c>
      <c r="C282" s="2" t="s">
        <v>2505</v>
      </c>
      <c r="D282" s="7" t="s">
        <v>2506</v>
      </c>
      <c r="E282" s="1" t="s">
        <v>25</v>
      </c>
      <c r="F282" s="4" t="s">
        <v>2507</v>
      </c>
      <c r="G282" s="7" t="s">
        <v>2506</v>
      </c>
      <c r="H282" s="7" t="s">
        <v>2508</v>
      </c>
      <c r="I282" s="4" t="s">
        <v>2509</v>
      </c>
      <c r="J282" s="1" t="s">
        <v>2510</v>
      </c>
      <c r="K282" s="1" t="s">
        <v>696</v>
      </c>
      <c r="L282" s="1" t="s">
        <v>2511</v>
      </c>
      <c r="M282" s="1" t="s">
        <v>2295</v>
      </c>
      <c r="N282" s="1" t="s">
        <v>139</v>
      </c>
      <c r="O282" s="1" t="s">
        <v>458</v>
      </c>
      <c r="Q282" s="1" t="s">
        <v>1916</v>
      </c>
      <c r="R282" s="1" t="s">
        <v>2295</v>
      </c>
      <c r="S282" s="1" t="s">
        <v>70</v>
      </c>
      <c r="T282" s="1" t="s">
        <v>1458</v>
      </c>
      <c r="U282" s="4" t="s">
        <v>2512</v>
      </c>
      <c r="V282" s="4" t="str">
        <f>IFERROR(__xludf.DUMMYFUNCTION("SPLIT(F282, "" "")"),"страм")</f>
        <v>страм</v>
      </c>
      <c r="W282" s="1" t="str">
        <f>IFERROR(__xludf.DUMMYFUNCTION("""COMPUTED_VALUE"""),"божий")</f>
        <v>божий</v>
      </c>
      <c r="X282" s="1" t="str">
        <f>IFERROR(__xludf.DUMMYFUNCTION("""COMPUTED_VALUE"""),"и")</f>
        <v>и</v>
      </c>
      <c r="Y282" s="1" t="str">
        <f>IFERROR(__xludf.DUMMYFUNCTION("""COMPUTED_VALUE"""),"не")</f>
        <v>не</v>
      </c>
      <c r="Z282" s="1" t="str">
        <f>IFERROR(__xludf.DUMMYFUNCTION("""COMPUTED_VALUE"""),"умру.")</f>
        <v>умру.</v>
      </c>
    </row>
    <row r="283" ht="14.25" customHeight="1">
      <c r="A283" s="1" t="s">
        <v>2513</v>
      </c>
      <c r="B283" s="1" t="s">
        <v>326</v>
      </c>
      <c r="C283" s="2" t="s">
        <v>2514</v>
      </c>
      <c r="D283" s="7" t="s">
        <v>328</v>
      </c>
      <c r="E283" s="1" t="s">
        <v>25</v>
      </c>
      <c r="F283" s="4" t="s">
        <v>2515</v>
      </c>
      <c r="G283" s="7" t="s">
        <v>328</v>
      </c>
      <c r="H283" s="7" t="s">
        <v>1521</v>
      </c>
      <c r="I283" s="4" t="s">
        <v>2509</v>
      </c>
      <c r="J283" s="1" t="s">
        <v>2510</v>
      </c>
      <c r="K283" s="1" t="s">
        <v>696</v>
      </c>
      <c r="L283" s="1" t="s">
        <v>2511</v>
      </c>
      <c r="M283" s="1" t="s">
        <v>2295</v>
      </c>
      <c r="N283" s="1" t="s">
        <v>139</v>
      </c>
      <c r="O283" s="1" t="s">
        <v>458</v>
      </c>
      <c r="Q283" s="1" t="s">
        <v>1916</v>
      </c>
      <c r="R283" s="1" t="s">
        <v>2295</v>
      </c>
      <c r="S283" s="1" t="s">
        <v>70</v>
      </c>
      <c r="T283" s="1" t="s">
        <v>1458</v>
      </c>
      <c r="U283" s="4" t="s">
        <v>2516</v>
      </c>
      <c r="V283" s="4" t="str">
        <f>IFERROR(__xludf.DUMMYFUNCTION("SPLIT(F283, "" "")"),"тому,")</f>
        <v>тому,</v>
      </c>
      <c r="W283" s="1" t="str">
        <f>IFERROR(__xludf.DUMMYFUNCTION("""COMPUTED_VALUE"""),"какие")</f>
        <v>какие</v>
      </c>
      <c r="X283" s="1" t="str">
        <f>IFERROR(__xludf.DUMMYFUNCTION("""COMPUTED_VALUE"""),"теперь")</f>
        <v>теперь</v>
      </c>
      <c r="Y283" s="1" t="str">
        <f>IFERROR(__xludf.DUMMYFUNCTION("""COMPUTED_VALUE"""),"магазины")</f>
        <v>магазины</v>
      </c>
      <c r="Z283" s="1" t="str">
        <f>IFERROR(__xludf.DUMMYFUNCTION("""COMPUTED_VALUE"""),"стали.")</f>
        <v>стали.</v>
      </c>
    </row>
    <row r="284" ht="14.25" customHeight="1">
      <c r="A284" s="1" t="s">
        <v>25</v>
      </c>
      <c r="B284" s="1" t="s">
        <v>1477</v>
      </c>
      <c r="C284" s="2"/>
      <c r="D284" s="7" t="s">
        <v>1478</v>
      </c>
      <c r="E284" s="1" t="s">
        <v>197</v>
      </c>
      <c r="F284" s="4" t="s">
        <v>2517</v>
      </c>
      <c r="G284" s="7" t="s">
        <v>1478</v>
      </c>
      <c r="H284" s="7" t="s">
        <v>1480</v>
      </c>
      <c r="I284" s="4" t="s">
        <v>2518</v>
      </c>
      <c r="J284" s="1" t="s">
        <v>2519</v>
      </c>
      <c r="K284" s="1" t="s">
        <v>202</v>
      </c>
      <c r="L284" s="1" t="s">
        <v>2520</v>
      </c>
      <c r="M284" s="1" t="s">
        <v>2295</v>
      </c>
      <c r="N284" s="1" t="s">
        <v>51</v>
      </c>
      <c r="O284" s="1" t="s">
        <v>2066</v>
      </c>
      <c r="P284" s="1" t="s">
        <v>2368</v>
      </c>
      <c r="Q284" s="1" t="s">
        <v>2521</v>
      </c>
      <c r="R284" s="1" t="s">
        <v>2295</v>
      </c>
      <c r="S284" s="1" t="s">
        <v>273</v>
      </c>
      <c r="T284" s="1" t="s">
        <v>1458</v>
      </c>
      <c r="U284" s="4" t="s">
        <v>2522</v>
      </c>
      <c r="V284" s="4" t="str">
        <f>IFERROR(__xludf.DUMMYFUNCTION("SPLIT(F284, "" "")"),"справедливости")</f>
        <v>справедливости</v>
      </c>
      <c r="W284" s="1" t="str">
        <f>IFERROR(__xludf.DUMMYFUNCTION("""COMPUTED_VALUE"""),"ради,")</f>
        <v>ради,</v>
      </c>
      <c r="X284" s="1" t="str">
        <f>IFERROR(__xludf.DUMMYFUNCTION("""COMPUTED_VALUE"""),"надо")</f>
        <v>надо</v>
      </c>
      <c r="Y284" s="1" t="str">
        <f>IFERROR(__xludf.DUMMYFUNCTION("""COMPUTED_VALUE"""),"сказать,")</f>
        <v>сказать,</v>
      </c>
      <c r="Z284" s="1" t="str">
        <f>IFERROR(__xludf.DUMMYFUNCTION("""COMPUTED_VALUE"""),"что")</f>
        <v>что</v>
      </c>
      <c r="AA284" s="1" t="str">
        <f>IFERROR(__xludf.DUMMYFUNCTION("""COMPUTED_VALUE"""),"здесь")</f>
        <v>здесь</v>
      </c>
    </row>
    <row r="285" ht="14.25" customHeight="1">
      <c r="A285" s="1" t="s">
        <v>2523</v>
      </c>
      <c r="B285" s="1" t="s">
        <v>720</v>
      </c>
      <c r="C285" s="2" t="s">
        <v>2524</v>
      </c>
      <c r="D285" s="7" t="s">
        <v>722</v>
      </c>
      <c r="E285" s="1" t="s">
        <v>25</v>
      </c>
      <c r="F285" s="4" t="s">
        <v>2525</v>
      </c>
      <c r="G285" s="7" t="s">
        <v>722</v>
      </c>
      <c r="H285" s="7" t="s">
        <v>2526</v>
      </c>
      <c r="I285" s="4" t="s">
        <v>2518</v>
      </c>
      <c r="J285" s="1" t="s">
        <v>2519</v>
      </c>
      <c r="K285" s="1" t="s">
        <v>202</v>
      </c>
      <c r="L285" s="1" t="s">
        <v>2520</v>
      </c>
      <c r="M285" s="1" t="s">
        <v>2295</v>
      </c>
      <c r="N285" s="1" t="s">
        <v>51</v>
      </c>
      <c r="O285" s="1" t="s">
        <v>2066</v>
      </c>
      <c r="P285" s="1" t="s">
        <v>2368</v>
      </c>
      <c r="Q285" s="1" t="s">
        <v>2521</v>
      </c>
      <c r="R285" s="1" t="s">
        <v>2295</v>
      </c>
      <c r="S285" s="1" t="s">
        <v>273</v>
      </c>
      <c r="T285" s="1" t="s">
        <v>1458</v>
      </c>
      <c r="U285" s="4" t="s">
        <v>2527</v>
      </c>
      <c r="V285" s="4" t="str">
        <f>IFERROR(__xludf.DUMMYFUNCTION("SPLIT(F285, "" "")"),"искренности,")</f>
        <v>искренности,</v>
      </c>
      <c r="W285" s="1" t="str">
        <f>IFERROR(__xludf.DUMMYFUNCTION("""COMPUTED_VALUE"""),"чистоты")</f>
        <v>чистоты</v>
      </c>
      <c r="X285" s="1" t="str">
        <f>IFERROR(__xludf.DUMMYFUNCTION("""COMPUTED_VALUE"""),"отношений,")</f>
        <v>отношений,</v>
      </c>
      <c r="Y285" s="1" t="str">
        <f>IFERROR(__xludf.DUMMYFUNCTION("""COMPUTED_VALUE"""),"хотелось")</f>
        <v>хотелось</v>
      </c>
      <c r="Z285" s="1" t="str">
        <f>IFERROR(__xludf.DUMMYFUNCTION("""COMPUTED_VALUE"""),"вырваться")</f>
        <v>вырваться</v>
      </c>
      <c r="AA285" s="1" t="str">
        <f>IFERROR(__xludf.DUMMYFUNCTION("""COMPUTED_VALUE"""),"из")</f>
        <v>из</v>
      </c>
    </row>
    <row r="286" ht="14.25" customHeight="1">
      <c r="A286" s="1" t="s">
        <v>2528</v>
      </c>
      <c r="B286" s="1" t="s">
        <v>2529</v>
      </c>
      <c r="C286" s="2" t="s">
        <v>2530</v>
      </c>
      <c r="D286" s="7" t="s">
        <v>2531</v>
      </c>
      <c r="E286" s="1" t="s">
        <v>25</v>
      </c>
      <c r="F286" s="4" t="s">
        <v>2532</v>
      </c>
      <c r="G286" s="7" t="s">
        <v>2531</v>
      </c>
      <c r="H286" s="7" t="s">
        <v>2533</v>
      </c>
      <c r="I286" s="4" t="s">
        <v>2518</v>
      </c>
      <c r="J286" s="1" t="s">
        <v>2519</v>
      </c>
      <c r="K286" s="1" t="s">
        <v>202</v>
      </c>
      <c r="L286" s="1" t="s">
        <v>2520</v>
      </c>
      <c r="M286" s="1" t="s">
        <v>2295</v>
      </c>
      <c r="N286" s="1" t="s">
        <v>51</v>
      </c>
      <c r="O286" s="1" t="s">
        <v>2066</v>
      </c>
      <c r="P286" s="1" t="s">
        <v>2368</v>
      </c>
      <c r="Q286" s="1" t="s">
        <v>2521</v>
      </c>
      <c r="R286" s="1" t="s">
        <v>2295</v>
      </c>
      <c r="S286" s="1" t="s">
        <v>273</v>
      </c>
      <c r="T286" s="1" t="s">
        <v>1458</v>
      </c>
      <c r="U286" s="4" t="s">
        <v>2534</v>
      </c>
      <c r="V286" s="4" t="str">
        <f>IFERROR(__xludf.DUMMYFUNCTION("SPLIT(F286, "" "")"),"учительнице")</f>
        <v>учительнице</v>
      </c>
      <c r="W286" s="1" t="str">
        <f>IFERROR(__xludf.DUMMYFUNCTION("""COMPUTED_VALUE"""),"литературы:")</f>
        <v>литературы:</v>
      </c>
    </row>
    <row r="287" ht="14.25" customHeight="1">
      <c r="A287" s="1" t="s">
        <v>2535</v>
      </c>
      <c r="B287" s="1" t="s">
        <v>1274</v>
      </c>
      <c r="C287" s="2" t="s">
        <v>2536</v>
      </c>
      <c r="D287" s="7" t="s">
        <v>1276</v>
      </c>
      <c r="E287" s="1" t="s">
        <v>25</v>
      </c>
      <c r="F287" s="4" t="s">
        <v>2537</v>
      </c>
      <c r="G287" s="7" t="s">
        <v>1276</v>
      </c>
      <c r="H287" s="7" t="s">
        <v>2538</v>
      </c>
      <c r="I287" s="4" t="s">
        <v>2518</v>
      </c>
      <c r="J287" s="1" t="s">
        <v>2519</v>
      </c>
      <c r="K287" s="1" t="s">
        <v>202</v>
      </c>
      <c r="L287" s="1" t="s">
        <v>2520</v>
      </c>
      <c r="M287" s="1" t="s">
        <v>2295</v>
      </c>
      <c r="N287" s="1" t="s">
        <v>51</v>
      </c>
      <c r="O287" s="1" t="s">
        <v>2066</v>
      </c>
      <c r="P287" s="1" t="s">
        <v>2368</v>
      </c>
      <c r="Q287" s="1" t="s">
        <v>2521</v>
      </c>
      <c r="R287" s="1" t="s">
        <v>2295</v>
      </c>
      <c r="S287" s="1" t="s">
        <v>273</v>
      </c>
      <c r="T287" s="1" t="s">
        <v>1458</v>
      </c>
      <c r="U287" s="4" t="s">
        <v>2539</v>
      </c>
      <c r="V287" s="4" t="str">
        <f>IFERROR(__xludf.DUMMYFUNCTION("SPLIT(F287, "" "")"),"ученикам")</f>
        <v>ученикам</v>
      </c>
      <c r="W287" s="1" t="str">
        <f>IFERROR(__xludf.DUMMYFUNCTION("""COMPUTED_VALUE"""),"редкие")</f>
        <v>редкие</v>
      </c>
      <c r="X287" s="1" t="str">
        <f>IFERROR(__xludf.DUMMYFUNCTION("""COMPUTED_VALUE"""),"или")</f>
        <v>или</v>
      </c>
      <c r="Y287" s="1" t="str">
        <f>IFERROR(__xludf.DUMMYFUNCTION("""COMPUTED_VALUE"""),"запретные")</f>
        <v>запретные</v>
      </c>
      <c r="Z287" s="1" t="str">
        <f>IFERROR(__xludf.DUMMYFUNCTION("""COMPUTED_VALUE"""),"тогда")</f>
        <v>тогда</v>
      </c>
      <c r="AA287" s="1" t="str">
        <f>IFERROR(__xludf.DUMMYFUNCTION("""COMPUTED_VALUE"""),"книги")</f>
        <v>книги</v>
      </c>
    </row>
    <row r="288" ht="14.25" customHeight="1">
      <c r="A288" s="1" t="s">
        <v>2540</v>
      </c>
      <c r="B288" s="1" t="s">
        <v>1740</v>
      </c>
      <c r="C288" s="2" t="s">
        <v>2541</v>
      </c>
      <c r="D288" s="7" t="s">
        <v>1742</v>
      </c>
      <c r="E288" s="1" t="s">
        <v>25</v>
      </c>
      <c r="F288" s="4" t="s">
        <v>2542</v>
      </c>
      <c r="G288" s="7" t="s">
        <v>1742</v>
      </c>
      <c r="H288" s="7" t="s">
        <v>2543</v>
      </c>
      <c r="I288" s="4" t="s">
        <v>2518</v>
      </c>
      <c r="J288" s="1" t="s">
        <v>2519</v>
      </c>
      <c r="K288" s="1" t="s">
        <v>202</v>
      </c>
      <c r="L288" s="1" t="s">
        <v>2520</v>
      </c>
      <c r="M288" s="1" t="s">
        <v>2295</v>
      </c>
      <c r="N288" s="1" t="s">
        <v>51</v>
      </c>
      <c r="O288" s="1" t="s">
        <v>2066</v>
      </c>
      <c r="P288" s="1" t="s">
        <v>2368</v>
      </c>
      <c r="Q288" s="1" t="s">
        <v>2521</v>
      </c>
      <c r="R288" s="1" t="s">
        <v>2295</v>
      </c>
      <c r="S288" s="1" t="s">
        <v>273</v>
      </c>
      <c r="T288" s="1" t="s">
        <v>1458</v>
      </c>
      <c r="U288" s="4" t="s">
        <v>2544</v>
      </c>
      <c r="V288" s="4" t="str">
        <f>IFERROR(__xludf.DUMMYFUNCTION("SPLIT(F288, "" "")"),"Марину")</f>
        <v>Марину</v>
      </c>
      <c r="W288" s="1" t="str">
        <f>IFERROR(__xludf.DUMMYFUNCTION("""COMPUTED_VALUE"""),"Георгиевну…»")</f>
        <v>Георгиевну…»</v>
      </c>
    </row>
    <row r="289" ht="14.25" customHeight="1">
      <c r="A289" s="1" t="s">
        <v>2545</v>
      </c>
      <c r="B289" s="1" t="s">
        <v>2546</v>
      </c>
      <c r="C289" s="2" t="s">
        <v>2547</v>
      </c>
      <c r="D289" s="7" t="s">
        <v>2548</v>
      </c>
      <c r="E289" s="1" t="s">
        <v>25</v>
      </c>
      <c r="F289" s="4" t="s">
        <v>2549</v>
      </c>
      <c r="G289" s="7" t="s">
        <v>2548</v>
      </c>
      <c r="H289" s="7" t="s">
        <v>2550</v>
      </c>
      <c r="I289" s="4" t="s">
        <v>2518</v>
      </c>
      <c r="J289" s="1" t="s">
        <v>2519</v>
      </c>
      <c r="K289" s="1" t="s">
        <v>202</v>
      </c>
      <c r="L289" s="1" t="s">
        <v>2520</v>
      </c>
      <c r="M289" s="1" t="s">
        <v>2295</v>
      </c>
      <c r="N289" s="1" t="s">
        <v>51</v>
      </c>
      <c r="O289" s="1" t="s">
        <v>2066</v>
      </c>
      <c r="P289" s="1" t="s">
        <v>2368</v>
      </c>
      <c r="Q289" s="1" t="s">
        <v>2521</v>
      </c>
      <c r="R289" s="1" t="s">
        <v>2295</v>
      </c>
      <c r="S289" s="1" t="s">
        <v>273</v>
      </c>
      <c r="T289" s="1" t="s">
        <v>1458</v>
      </c>
      <c r="U289" s="4" t="s">
        <v>2551</v>
      </c>
      <c r="V289" s="4" t="str">
        <f>IFERROR(__xludf.DUMMYFUNCTION("SPLIT(F289, "" "")"),"знакомой")</f>
        <v>знакомой</v>
      </c>
      <c r="W289" s="1" t="str">
        <f>IFERROR(__xludf.DUMMYFUNCTION("""COMPUTED_VALUE"""),"библиотекаршей")</f>
        <v>библиотекаршей</v>
      </c>
      <c r="X289" s="1" t="str">
        <f>IFERROR(__xludf.DUMMYFUNCTION("""COMPUTED_VALUE"""),"из")</f>
        <v>из</v>
      </c>
      <c r="Y289" s="1" t="str">
        <f>IFERROR(__xludf.DUMMYFUNCTION("""COMPUTED_VALUE"""),"Великого")</f>
        <v>Великого</v>
      </c>
      <c r="Z289" s="1" t="str">
        <f>IFERROR(__xludf.DUMMYFUNCTION("""COMPUTED_VALUE"""),"Устюга, ")</f>
        <v>Устюга, </v>
      </c>
      <c r="AA289" s="1" t="str">
        <f>IFERROR(__xludf.DUMMYFUNCTION("""COMPUTED_VALUE"""),"―")</f>
        <v>―</v>
      </c>
      <c r="AB289" s="1" t="str">
        <f>IFERROR(__xludf.DUMMYFUNCTION("""COMPUTED_VALUE"""),"и")</f>
        <v>и</v>
      </c>
    </row>
    <row r="290" ht="14.25" customHeight="1">
      <c r="A290" s="1" t="s">
        <v>2552</v>
      </c>
      <c r="B290" s="1" t="s">
        <v>2553</v>
      </c>
      <c r="C290" s="2" t="s">
        <v>2554</v>
      </c>
      <c r="D290" s="7" t="s">
        <v>2555</v>
      </c>
      <c r="E290" s="1" t="s">
        <v>25</v>
      </c>
      <c r="F290" s="4" t="s">
        <v>2556</v>
      </c>
      <c r="G290" s="7" t="s">
        <v>2555</v>
      </c>
      <c r="H290" s="7" t="s">
        <v>2557</v>
      </c>
      <c r="I290" s="4" t="s">
        <v>2518</v>
      </c>
      <c r="J290" s="1" t="s">
        <v>2519</v>
      </c>
      <c r="K290" s="1" t="s">
        <v>202</v>
      </c>
      <c r="L290" s="1" t="s">
        <v>2520</v>
      </c>
      <c r="M290" s="1" t="s">
        <v>2295</v>
      </c>
      <c r="N290" s="1" t="s">
        <v>51</v>
      </c>
      <c r="O290" s="1" t="s">
        <v>2066</v>
      </c>
      <c r="P290" s="1" t="s">
        <v>2368</v>
      </c>
      <c r="Q290" s="1" t="s">
        <v>2521</v>
      </c>
      <c r="R290" s="1" t="s">
        <v>2295</v>
      </c>
      <c r="S290" s="1" t="s">
        <v>273</v>
      </c>
      <c r="T290" s="1" t="s">
        <v>1458</v>
      </c>
      <c r="U290" s="4" t="s">
        <v>2558</v>
      </c>
      <c r="V290" s="4" t="str">
        <f>IFERROR(__xludf.DUMMYFUNCTION("SPLIT(F290, "" "")"),"молодым")</f>
        <v>молодым</v>
      </c>
      <c r="W290" s="1" t="str">
        <f>IFERROR(__xludf.DUMMYFUNCTION("""COMPUTED_VALUE"""),"поэтом,")</f>
        <v>поэтом,</v>
      </c>
      <c r="X290" s="1" t="str">
        <f>IFERROR(__xludf.DUMMYFUNCTION("""COMPUTED_VALUE"""),"когда")</f>
        <v>когда</v>
      </c>
      <c r="Y290" s="1" t="str">
        <f>IFERROR(__xludf.DUMMYFUNCTION("""COMPUTED_VALUE"""),"есть")</f>
        <v>есть</v>
      </c>
      <c r="Z290" s="1" t="str">
        <f>IFERROR(__xludf.DUMMYFUNCTION("""COMPUTED_VALUE"""),"поэты")</f>
        <v>поэты</v>
      </c>
      <c r="AA290" s="1" t="str">
        <f>IFERROR(__xludf.DUMMYFUNCTION("""COMPUTED_VALUE"""),"посолиднее?")</f>
        <v>посолиднее?</v>
      </c>
    </row>
    <row r="291" ht="14.25" customHeight="1">
      <c r="A291" s="1" t="s">
        <v>2559</v>
      </c>
      <c r="B291" s="1" t="s">
        <v>1802</v>
      </c>
      <c r="C291" s="2" t="s">
        <v>2560</v>
      </c>
      <c r="D291" s="7" t="s">
        <v>1804</v>
      </c>
      <c r="E291" s="1" t="s">
        <v>2561</v>
      </c>
      <c r="F291" s="4" t="s">
        <v>2562</v>
      </c>
      <c r="G291" s="7" t="s">
        <v>1804</v>
      </c>
      <c r="H291" s="7" t="s">
        <v>2563</v>
      </c>
      <c r="I291" s="4" t="s">
        <v>2518</v>
      </c>
      <c r="J291" s="1" t="s">
        <v>2519</v>
      </c>
      <c r="K291" s="1" t="s">
        <v>202</v>
      </c>
      <c r="L291" s="1" t="s">
        <v>2520</v>
      </c>
      <c r="M291" s="1" t="s">
        <v>2295</v>
      </c>
      <c r="N291" s="1" t="s">
        <v>51</v>
      </c>
      <c r="O291" s="1" t="s">
        <v>2066</v>
      </c>
      <c r="P291" s="1" t="s">
        <v>2368</v>
      </c>
      <c r="Q291" s="1" t="s">
        <v>2521</v>
      </c>
      <c r="R291" s="1" t="s">
        <v>2295</v>
      </c>
      <c r="S291" s="1" t="s">
        <v>273</v>
      </c>
      <c r="T291" s="1" t="s">
        <v>1458</v>
      </c>
      <c r="U291" s="4" t="s">
        <v>2564</v>
      </c>
      <c r="V291" s="4" t="str">
        <f>IFERROR(__xludf.DUMMYFUNCTION("SPLIT(F291, "" "")"),"Андрею")</f>
        <v>Андрею</v>
      </c>
      <c r="W291" s="1" t="str">
        <f>IFERROR(__xludf.DUMMYFUNCTION("""COMPUTED_VALUE"""),"Вознесенскому».")</f>
        <v>Вознесенскому».</v>
      </c>
    </row>
    <row r="292" ht="14.25" customHeight="1">
      <c r="A292" s="1" t="s">
        <v>2565</v>
      </c>
      <c r="B292" s="1" t="s">
        <v>2566</v>
      </c>
      <c r="C292" s="2" t="s">
        <v>2567</v>
      </c>
      <c r="D292" s="7" t="s">
        <v>2568</v>
      </c>
      <c r="E292" s="1" t="s">
        <v>25</v>
      </c>
      <c r="F292" s="4" t="s">
        <v>2569</v>
      </c>
      <c r="G292" s="7" t="s">
        <v>2568</v>
      </c>
      <c r="H292" s="7" t="s">
        <v>2570</v>
      </c>
      <c r="I292" s="4" t="s">
        <v>2518</v>
      </c>
      <c r="J292" s="1" t="s">
        <v>2519</v>
      </c>
      <c r="K292" s="1" t="s">
        <v>202</v>
      </c>
      <c r="L292" s="1" t="s">
        <v>2520</v>
      </c>
      <c r="M292" s="1" t="s">
        <v>2295</v>
      </c>
      <c r="N292" s="1" t="s">
        <v>51</v>
      </c>
      <c r="O292" s="1" t="s">
        <v>2066</v>
      </c>
      <c r="P292" s="1" t="s">
        <v>2368</v>
      </c>
      <c r="Q292" s="1" t="s">
        <v>2521</v>
      </c>
      <c r="R292" s="1" t="s">
        <v>2295</v>
      </c>
      <c r="S292" s="1" t="s">
        <v>273</v>
      </c>
      <c r="T292" s="1" t="s">
        <v>1458</v>
      </c>
      <c r="U292" s="4" t="s">
        <v>2571</v>
      </c>
      <c r="V292" s="4" t="str">
        <f>IFERROR(__xludf.DUMMYFUNCTION("SPLIT(F292, "" "")"),"тишине")</f>
        <v>тишине</v>
      </c>
      <c r="W292" s="1" t="str">
        <f>IFERROR(__xludf.DUMMYFUNCTION("""COMPUTED_VALUE"""),"произнесла")</f>
        <v>произнесла</v>
      </c>
      <c r="X292" s="1" t="str">
        <f>IFERROR(__xludf.DUMMYFUNCTION("""COMPUTED_VALUE"""),"вдохновенную")</f>
        <v>вдохновенную</v>
      </c>
      <c r="Y292" s="1" t="str">
        <f>IFERROR(__xludf.DUMMYFUNCTION("""COMPUTED_VALUE"""),"речь")</f>
        <v>речь</v>
      </c>
      <c r="Z292" s="1" t="str">
        <f>IFERROR(__xludf.DUMMYFUNCTION("""COMPUTED_VALUE"""),"в")</f>
        <v>в</v>
      </c>
      <c r="AA292" s="1" t="str">
        <f>IFERROR(__xludf.DUMMYFUNCTION("""COMPUTED_VALUE"""),"защиту")</f>
        <v>защиту</v>
      </c>
    </row>
    <row r="293" ht="14.25" customHeight="1">
      <c r="A293" s="1" t="s">
        <v>2572</v>
      </c>
      <c r="B293" s="1" t="s">
        <v>1802</v>
      </c>
      <c r="C293" s="2" t="s">
        <v>2573</v>
      </c>
      <c r="D293" s="7" t="s">
        <v>1804</v>
      </c>
      <c r="E293" s="1" t="s">
        <v>25</v>
      </c>
      <c r="F293" s="4" t="s">
        <v>2574</v>
      </c>
      <c r="G293" s="7" t="s">
        <v>1804</v>
      </c>
      <c r="H293" s="7" t="s">
        <v>2575</v>
      </c>
      <c r="I293" s="4" t="s">
        <v>2518</v>
      </c>
      <c r="J293" s="1" t="s">
        <v>2519</v>
      </c>
      <c r="K293" s="1" t="s">
        <v>202</v>
      </c>
      <c r="L293" s="1" t="s">
        <v>2520</v>
      </c>
      <c r="M293" s="1" t="s">
        <v>2295</v>
      </c>
      <c r="N293" s="1" t="s">
        <v>51</v>
      </c>
      <c r="O293" s="1" t="s">
        <v>2066</v>
      </c>
      <c r="P293" s="1" t="s">
        <v>2368</v>
      </c>
      <c r="Q293" s="1" t="s">
        <v>2521</v>
      </c>
      <c r="R293" s="1" t="s">
        <v>2295</v>
      </c>
      <c r="S293" s="1" t="s">
        <v>273</v>
      </c>
      <c r="T293" s="1" t="s">
        <v>1458</v>
      </c>
      <c r="U293" s="4" t="s">
        <v>2576</v>
      </c>
      <c r="V293" s="4" t="str">
        <f>IFERROR(__xludf.DUMMYFUNCTION("SPLIT(F293, "" "")"),"Инге")</f>
        <v>Инге</v>
      </c>
      <c r="W293" s="1" t="str">
        <f>IFERROR(__xludf.DUMMYFUNCTION("""COMPUTED_VALUE"""),"Фельтринелли,")</f>
        <v>Фельтринелли,</v>
      </c>
      <c r="X293" s="1" t="str">
        <f>IFERROR(__xludf.DUMMYFUNCTION("""COMPUTED_VALUE"""),"вдову")</f>
        <v>вдову</v>
      </c>
      <c r="Y293" s="1" t="str">
        <f>IFERROR(__xludf.DUMMYFUNCTION("""COMPUTED_VALUE"""),"итальянского")</f>
        <v>итальянского</v>
      </c>
      <c r="Z293" s="1" t="str">
        <f>IFERROR(__xludf.DUMMYFUNCTION("""COMPUTED_VALUE"""),"издателя")</f>
        <v>издателя</v>
      </c>
      <c r="AA293" s="1" t="str">
        <f>IFERROR(__xludf.DUMMYFUNCTION("""COMPUTED_VALUE"""),"«Доктора")</f>
        <v>«Доктора</v>
      </c>
    </row>
    <row r="294" ht="14.25" customHeight="1">
      <c r="A294" s="1" t="s">
        <v>2577</v>
      </c>
      <c r="B294" s="1" t="s">
        <v>777</v>
      </c>
      <c r="C294" s="2" t="s">
        <v>2578</v>
      </c>
      <c r="D294" s="7" t="s">
        <v>779</v>
      </c>
      <c r="E294" s="1" t="s">
        <v>25</v>
      </c>
      <c r="F294" s="4" t="s">
        <v>2579</v>
      </c>
      <c r="G294" s="7" t="s">
        <v>779</v>
      </c>
      <c r="H294" s="7" t="s">
        <v>2580</v>
      </c>
      <c r="I294" s="4" t="s">
        <v>2581</v>
      </c>
      <c r="J294" s="1" t="s">
        <v>2582</v>
      </c>
      <c r="L294" s="1" t="s">
        <v>2583</v>
      </c>
      <c r="M294" s="1" t="s">
        <v>2295</v>
      </c>
      <c r="N294" s="1" t="s">
        <v>2377</v>
      </c>
      <c r="O294" s="1" t="s">
        <v>1375</v>
      </c>
      <c r="P294" s="1" t="s">
        <v>2584</v>
      </c>
      <c r="Q294" s="1" t="s">
        <v>2047</v>
      </c>
      <c r="R294" s="1" t="s">
        <v>2295</v>
      </c>
      <c r="S294" s="1" t="s">
        <v>70</v>
      </c>
      <c r="T294" s="1" t="s">
        <v>1458</v>
      </c>
      <c r="U294" s="4" t="s">
        <v>2585</v>
      </c>
      <c r="V294" s="4" t="str">
        <f>IFERROR(__xludf.DUMMYFUNCTION("SPLIT(F294, "" "")"),"триатлону,")</f>
        <v>триатлону,</v>
      </c>
      <c r="W294" s="1" t="str">
        <f>IFERROR(__xludf.DUMMYFUNCTION("""COMPUTED_VALUE"""),"а")</f>
        <v>а</v>
      </c>
      <c r="X294" s="1" t="str">
        <f>IFERROR(__xludf.DUMMYFUNCTION("""COMPUTED_VALUE"""),"заодно")</f>
        <v>заодно</v>
      </c>
      <c r="Y294" s="1" t="str">
        <f>IFERROR(__xludf.DUMMYFUNCTION("""COMPUTED_VALUE"""),"ресурсу")</f>
        <v>ресурсу</v>
      </c>
      <c r="Z294" s="1" t="str">
        <f>IFERROR(__xludf.DUMMYFUNCTION("""COMPUTED_VALUE"""),"«Смартридинг»,")</f>
        <v>«Смартридинг»,</v>
      </c>
      <c r="AA294" s="1" t="str">
        <f>IFERROR(__xludf.DUMMYFUNCTION("""COMPUTED_VALUE"""),"где")</f>
        <v>где</v>
      </c>
    </row>
    <row r="295" ht="14.25" customHeight="1">
      <c r="A295" s="1" t="s">
        <v>2586</v>
      </c>
      <c r="B295" s="1" t="s">
        <v>462</v>
      </c>
      <c r="C295" s="2" t="s">
        <v>2587</v>
      </c>
      <c r="D295" s="7" t="s">
        <v>464</v>
      </c>
      <c r="E295" s="1" t="s">
        <v>25</v>
      </c>
      <c r="F295" s="4" t="s">
        <v>2588</v>
      </c>
      <c r="G295" s="7" t="s">
        <v>464</v>
      </c>
      <c r="H295" s="7" t="s">
        <v>2589</v>
      </c>
      <c r="I295" s="4" t="s">
        <v>2590</v>
      </c>
      <c r="J295" s="1" t="s">
        <v>2582</v>
      </c>
      <c r="L295" s="1" t="s">
        <v>2591</v>
      </c>
      <c r="M295" s="1" t="s">
        <v>2295</v>
      </c>
      <c r="N295" s="1" t="s">
        <v>2377</v>
      </c>
      <c r="O295" s="1" t="s">
        <v>67</v>
      </c>
      <c r="P295" s="1" t="s">
        <v>53</v>
      </c>
      <c r="Q295" s="1" t="s">
        <v>2047</v>
      </c>
      <c r="R295" s="1" t="s">
        <v>2295</v>
      </c>
      <c r="S295" s="1" t="s">
        <v>70</v>
      </c>
      <c r="T295" s="1" t="s">
        <v>1458</v>
      </c>
      <c r="U295" s="4" t="s">
        <v>2592</v>
      </c>
      <c r="V295" s="4" t="str">
        <f>IFERROR(__xludf.DUMMYFUNCTION("SPLIT(F295, "" "")"),"жене")</f>
        <v>жене</v>
      </c>
      <c r="W295" s="1" t="str">
        <f>IFERROR(__xludf.DUMMYFUNCTION("""COMPUTED_VALUE"""),"―")</f>
        <v>―</v>
      </c>
      <c r="X295" s="1" t="str">
        <f>IFERROR(__xludf.DUMMYFUNCTION("""COMPUTED_VALUE"""),"воспринимаются")</f>
        <v>воспринимаются</v>
      </c>
      <c r="Y295" s="1" t="str">
        <f>IFERROR(__xludf.DUMMYFUNCTION("""COMPUTED_VALUE"""),"как")</f>
        <v>как</v>
      </c>
      <c r="Z295" s="1" t="str">
        <f>IFERROR(__xludf.DUMMYFUNCTION("""COMPUTED_VALUE"""),"немотивированные:")</f>
        <v>немотивированные:</v>
      </c>
      <c r="AA295" s="1" t="str">
        <f>IFERROR(__xludf.DUMMYFUNCTION("""COMPUTED_VALUE"""),"в")</f>
        <v>в</v>
      </c>
      <c r="AB295" s="1" t="str">
        <f>IFERROR(__xludf.DUMMYFUNCTION("""COMPUTED_VALUE"""),"данном")</f>
        <v>данном</v>
      </c>
    </row>
    <row r="296" ht="14.25" customHeight="1">
      <c r="A296" s="1" t="s">
        <v>2593</v>
      </c>
      <c r="B296" s="1" t="s">
        <v>2594</v>
      </c>
      <c r="C296" s="2" t="s">
        <v>2595</v>
      </c>
      <c r="D296" s="7" t="s">
        <v>2596</v>
      </c>
      <c r="E296" s="1" t="s">
        <v>25</v>
      </c>
      <c r="F296" s="4" t="s">
        <v>2597</v>
      </c>
      <c r="G296" s="7" t="s">
        <v>2596</v>
      </c>
      <c r="H296" s="7" t="s">
        <v>2598</v>
      </c>
      <c r="I296" s="4" t="s">
        <v>2599</v>
      </c>
      <c r="J296" s="1" t="s">
        <v>2600</v>
      </c>
      <c r="L296" s="1" t="s">
        <v>2601</v>
      </c>
      <c r="M296" s="1" t="s">
        <v>2295</v>
      </c>
      <c r="N296" s="1" t="s">
        <v>2377</v>
      </c>
      <c r="O296" s="1" t="s">
        <v>189</v>
      </c>
      <c r="P296" s="1" t="s">
        <v>2602</v>
      </c>
      <c r="Q296" s="1" t="s">
        <v>2047</v>
      </c>
      <c r="R296" s="1" t="s">
        <v>2295</v>
      </c>
      <c r="S296" s="1" t="s">
        <v>70</v>
      </c>
      <c r="T296" s="1" t="s">
        <v>1458</v>
      </c>
      <c r="U296" s="4" t="s">
        <v>2603</v>
      </c>
      <c r="V296" s="4" t="str">
        <f>IFERROR(__xludf.DUMMYFUNCTION("SPLIT(F296, "" "")"),"душу")</f>
        <v>душу</v>
      </c>
      <c r="W296" s="1" t="str">
        <f>IFERROR(__xludf.DUMMYFUNCTION("""COMPUTED_VALUE"""),"песни.")</f>
        <v>песни.</v>
      </c>
    </row>
    <row r="297" ht="14.25" customHeight="1">
      <c r="A297" s="1" t="s">
        <v>2604</v>
      </c>
      <c r="B297" s="1" t="s">
        <v>757</v>
      </c>
      <c r="C297" s="2" t="s">
        <v>2605</v>
      </c>
      <c r="D297" s="7" t="s">
        <v>759</v>
      </c>
      <c r="E297" s="1" t="s">
        <v>25</v>
      </c>
      <c r="F297" s="4" t="s">
        <v>2606</v>
      </c>
      <c r="G297" s="7" t="s">
        <v>759</v>
      </c>
      <c r="H297" s="7" t="s">
        <v>2607</v>
      </c>
      <c r="I297" s="4" t="s">
        <v>2608</v>
      </c>
      <c r="J297" s="1" t="s">
        <v>2609</v>
      </c>
      <c r="K297" s="1" t="s">
        <v>733</v>
      </c>
      <c r="L297" s="1" t="s">
        <v>2610</v>
      </c>
      <c r="M297" s="1" t="s">
        <v>2295</v>
      </c>
      <c r="N297" s="1" t="s">
        <v>2377</v>
      </c>
      <c r="O297" s="1" t="s">
        <v>189</v>
      </c>
      <c r="P297" s="1" t="s">
        <v>2368</v>
      </c>
      <c r="Q297" s="1" t="s">
        <v>2611</v>
      </c>
      <c r="R297" s="1" t="s">
        <v>2295</v>
      </c>
      <c r="S297" s="1" t="s">
        <v>70</v>
      </c>
      <c r="T297" s="1" t="s">
        <v>1458</v>
      </c>
      <c r="U297" s="4" t="s">
        <v>2612</v>
      </c>
      <c r="V297" s="4" t="str">
        <f>IFERROR(__xludf.DUMMYFUNCTION("SPLIT(F297, "" "")"),"государству")</f>
        <v>государству</v>
      </c>
      <c r="W297" s="1" t="str">
        <f>IFERROR(__xludf.DUMMYFUNCTION("""COMPUTED_VALUE"""),"и")</f>
        <v>и</v>
      </c>
      <c r="X297" s="1" t="str">
        <f>IFERROR(__xludf.DUMMYFUNCTION("""COMPUTED_VALUE"""),"были")</f>
        <v>были</v>
      </c>
      <c r="Y297" s="1" t="str">
        <f>IFERROR(__xludf.DUMMYFUNCTION("""COMPUTED_VALUE"""),"готовы")</f>
        <v>готовы</v>
      </c>
      <c r="Z297" s="1" t="str">
        <f>IFERROR(__xludf.DUMMYFUNCTION("""COMPUTED_VALUE"""),"свою")</f>
        <v>свою</v>
      </c>
      <c r="AA297" s="1" t="str">
        <f>IFERROR(__xludf.DUMMYFUNCTION("""COMPUTED_VALUE"""),"жизнь")</f>
        <v>жизнь</v>
      </c>
    </row>
    <row r="298" ht="14.25" customHeight="1">
      <c r="A298" s="1" t="s">
        <v>2613</v>
      </c>
      <c r="B298" s="1" t="s">
        <v>2614</v>
      </c>
      <c r="C298" s="2" t="s">
        <v>2615</v>
      </c>
      <c r="D298" s="7" t="s">
        <v>2616</v>
      </c>
      <c r="E298" s="1" t="s">
        <v>25</v>
      </c>
      <c r="F298" s="4" t="s">
        <v>2617</v>
      </c>
      <c r="G298" s="7" t="s">
        <v>2616</v>
      </c>
      <c r="H298" s="7" t="s">
        <v>2618</v>
      </c>
      <c r="I298" s="4" t="s">
        <v>2619</v>
      </c>
      <c r="J298" s="1" t="s">
        <v>2620</v>
      </c>
      <c r="K298" s="1" t="s">
        <v>797</v>
      </c>
      <c r="L298" s="1" t="s">
        <v>2621</v>
      </c>
      <c r="M298" s="1" t="s">
        <v>2295</v>
      </c>
      <c r="N298" s="1" t="s">
        <v>139</v>
      </c>
      <c r="O298" s="1" t="s">
        <v>458</v>
      </c>
      <c r="Q298" s="1" t="s">
        <v>1916</v>
      </c>
      <c r="R298" s="1" t="s">
        <v>2295</v>
      </c>
      <c r="S298" s="1" t="s">
        <v>70</v>
      </c>
      <c r="T298" s="1" t="s">
        <v>1458</v>
      </c>
      <c r="U298" s="4" t="s">
        <v>2622</v>
      </c>
      <c r="V298" s="4" t="str">
        <f>IFERROR(__xludf.DUMMYFUNCTION("SPLIT(F298, "" "")"),"басовой")</f>
        <v>басовой</v>
      </c>
      <c r="W298" s="1" t="str">
        <f>IFERROR(__xludf.DUMMYFUNCTION("""COMPUTED_VALUE"""),"тональностью,")</f>
        <v>тональностью,</v>
      </c>
      <c r="X298" s="1" t="str">
        <f>IFERROR(__xludf.DUMMYFUNCTION("""COMPUTED_VALUE"""),"заставлял")</f>
        <v>заставлял</v>
      </c>
      <c r="Y298" s="1" t="str">
        <f>IFERROR(__xludf.DUMMYFUNCTION("""COMPUTED_VALUE"""),"крепче")</f>
        <v>крепче</v>
      </c>
      <c r="Z298" s="1" t="str">
        <f>IFERROR(__xludf.DUMMYFUNCTION("""COMPUTED_VALUE"""),"прижаться")</f>
        <v>прижаться</v>
      </c>
      <c r="AA298" s="1" t="str">
        <f>IFERROR(__xludf.DUMMYFUNCTION("""COMPUTED_VALUE"""),"к")</f>
        <v>к</v>
      </c>
    </row>
    <row r="299" ht="14.25" customHeight="1">
      <c r="A299" s="1" t="s">
        <v>2623</v>
      </c>
      <c r="B299" s="1" t="s">
        <v>2624</v>
      </c>
      <c r="C299" s="2" t="s">
        <v>2625</v>
      </c>
      <c r="D299" s="7" t="s">
        <v>2626</v>
      </c>
      <c r="E299" s="1" t="s">
        <v>25</v>
      </c>
      <c r="F299" s="4" t="s">
        <v>2627</v>
      </c>
      <c r="G299" s="7" t="s">
        <v>2626</v>
      </c>
      <c r="H299" s="7" t="s">
        <v>466</v>
      </c>
      <c r="I299" s="4" t="s">
        <v>2628</v>
      </c>
      <c r="J299" s="1" t="s">
        <v>2629</v>
      </c>
      <c r="K299" s="1" t="s">
        <v>1809</v>
      </c>
      <c r="L299" s="1" t="s">
        <v>2630</v>
      </c>
      <c r="M299" s="1" t="s">
        <v>2295</v>
      </c>
      <c r="N299" s="1" t="s">
        <v>2377</v>
      </c>
      <c r="O299" s="1" t="s">
        <v>67</v>
      </c>
      <c r="P299" s="1" t="s">
        <v>2631</v>
      </c>
      <c r="Q299" s="1" t="s">
        <v>2611</v>
      </c>
      <c r="R299" s="1" t="s">
        <v>2295</v>
      </c>
      <c r="S299" s="1" t="s">
        <v>70</v>
      </c>
      <c r="T299" s="1" t="s">
        <v>1458</v>
      </c>
      <c r="U299" s="4" t="s">
        <v>2632</v>
      </c>
      <c r="V299" s="4" t="str">
        <f>IFERROR(__xludf.DUMMYFUNCTION("SPLIT(F299, "" "")"),"женщине")</f>
        <v>женщине</v>
      </c>
      <c r="W299" s="1" t="str">
        <f>IFERROR(__xludf.DUMMYFUNCTION("""COMPUTED_VALUE"""),"в")</f>
        <v>в</v>
      </c>
      <c r="X299" s="1" t="str">
        <f>IFERROR(__xludf.DUMMYFUNCTION("""COMPUTED_VALUE"""),"платочке.")</f>
        <v>платочке.</v>
      </c>
    </row>
    <row r="300" ht="14.25" customHeight="1">
      <c r="A300" s="1" t="s">
        <v>2633</v>
      </c>
      <c r="B300" s="1" t="s">
        <v>1448</v>
      </c>
      <c r="C300" s="2" t="s">
        <v>2634</v>
      </c>
      <c r="D300" s="7" t="s">
        <v>1450</v>
      </c>
      <c r="E300" s="1" t="s">
        <v>25</v>
      </c>
      <c r="F300" s="4" t="s">
        <v>2635</v>
      </c>
      <c r="G300" s="7" t="s">
        <v>1450</v>
      </c>
      <c r="H300" s="7" t="s">
        <v>1872</v>
      </c>
      <c r="I300" s="4" t="s">
        <v>2636</v>
      </c>
      <c r="J300" s="1" t="s">
        <v>2637</v>
      </c>
      <c r="L300" s="1" t="s">
        <v>2638</v>
      </c>
      <c r="M300" s="1" t="s">
        <v>2295</v>
      </c>
      <c r="N300" s="1" t="s">
        <v>2377</v>
      </c>
      <c r="O300" s="1" t="s">
        <v>67</v>
      </c>
      <c r="P300" s="1" t="s">
        <v>68</v>
      </c>
      <c r="Q300" s="1" t="s">
        <v>2047</v>
      </c>
      <c r="R300" s="1" t="s">
        <v>2295</v>
      </c>
      <c r="S300" s="1" t="s">
        <v>70</v>
      </c>
      <c r="T300" s="1" t="s">
        <v>1458</v>
      </c>
      <c r="U300" s="4" t="s">
        <v>2639</v>
      </c>
      <c r="V300" s="4" t="str">
        <f>IFERROR(__xludf.DUMMYFUNCTION("SPLIT(F300, "" "")"),"были")</f>
        <v>были</v>
      </c>
      <c r="W300" s="1" t="str">
        <f>IFERROR(__xludf.DUMMYFUNCTION("""COMPUTED_VALUE"""),"сотрудники,")</f>
        <v>сотрудники,</v>
      </c>
      <c r="X300" s="1" t="str">
        <f>IFERROR(__xludf.DUMMYFUNCTION("""COMPUTED_VALUE"""),"зарабатывавшие")</f>
        <v>зарабатывавшие</v>
      </c>
      <c r="Y300" s="1" t="str">
        <f>IFERROR(__xludf.DUMMYFUNCTION("""COMPUTED_VALUE"""),"больше")</f>
        <v>больше</v>
      </c>
      <c r="Z300" s="1" t="str">
        <f>IFERROR(__xludf.DUMMYFUNCTION("""COMPUTED_VALUE"""),"меня.")</f>
        <v>меня.</v>
      </c>
    </row>
    <row r="301" ht="14.25" customHeight="1">
      <c r="A301" s="1" t="s">
        <v>2640</v>
      </c>
      <c r="B301" s="1" t="s">
        <v>2070</v>
      </c>
      <c r="C301" s="2" t="s">
        <v>2641</v>
      </c>
      <c r="D301" s="7" t="s">
        <v>2072</v>
      </c>
      <c r="E301" s="1" t="s">
        <v>25</v>
      </c>
      <c r="F301" s="4" t="s">
        <v>2642</v>
      </c>
      <c r="G301" s="7" t="s">
        <v>2072</v>
      </c>
      <c r="H301" s="7" t="s">
        <v>2643</v>
      </c>
      <c r="I301" s="4" t="s">
        <v>2644</v>
      </c>
      <c r="J301" s="1" t="s">
        <v>2645</v>
      </c>
      <c r="K301" s="1" t="s">
        <v>333</v>
      </c>
      <c r="L301" s="1" t="s">
        <v>2646</v>
      </c>
      <c r="M301" s="1" t="s">
        <v>2295</v>
      </c>
      <c r="N301" s="1" t="s">
        <v>51</v>
      </c>
      <c r="O301" s="1" t="s">
        <v>271</v>
      </c>
      <c r="S301" s="1" t="s">
        <v>273</v>
      </c>
      <c r="T301" s="1" t="s">
        <v>1458</v>
      </c>
      <c r="U301" s="4" t="s">
        <v>2647</v>
      </c>
      <c r="V301" s="4" t="str">
        <f>IFERROR(__xludf.DUMMYFUNCTION("SPLIT(F301, "" "")"),"милиции")</f>
        <v>милиции</v>
      </c>
      <c r="W301" s="1" t="str">
        <f>IFERROR(__xludf.DUMMYFUNCTION("""COMPUTED_VALUE"""),"и")</f>
        <v>и</v>
      </c>
      <c r="X301" s="1" t="str">
        <f>IFERROR(__xludf.DUMMYFUNCTION("""COMPUTED_VALUE"""),"очень")</f>
        <v>очень</v>
      </c>
      <c r="Y301" s="1" t="str">
        <f>IFERROR(__xludf.DUMMYFUNCTION("""COMPUTED_VALUE"""),"страдал")</f>
        <v>страдал</v>
      </c>
      <c r="Z301" s="1" t="str">
        <f>IFERROR(__xludf.DUMMYFUNCTION("""COMPUTED_VALUE"""),"от")</f>
        <v>от</v>
      </c>
      <c r="AA301" s="1" t="str">
        <f>IFERROR(__xludf.DUMMYFUNCTION("""COMPUTED_VALUE"""),"любых")</f>
        <v>любых</v>
      </c>
    </row>
    <row r="302" ht="14.25" customHeight="1">
      <c r="A302" s="1" t="s">
        <v>2648</v>
      </c>
      <c r="B302" s="1" t="s">
        <v>2070</v>
      </c>
      <c r="C302" s="2" t="s">
        <v>2649</v>
      </c>
      <c r="D302" s="7" t="s">
        <v>2072</v>
      </c>
      <c r="E302" s="1" t="s">
        <v>25</v>
      </c>
      <c r="F302" s="4" t="s">
        <v>2650</v>
      </c>
      <c r="G302" s="7" t="s">
        <v>2072</v>
      </c>
      <c r="H302" s="7" t="s">
        <v>2651</v>
      </c>
      <c r="I302" s="4" t="s">
        <v>2644</v>
      </c>
      <c r="J302" s="1" t="s">
        <v>2645</v>
      </c>
      <c r="K302" s="1" t="s">
        <v>333</v>
      </c>
      <c r="L302" s="1" t="s">
        <v>2646</v>
      </c>
      <c r="M302" s="1" t="s">
        <v>2295</v>
      </c>
      <c r="N302" s="1" t="s">
        <v>51</v>
      </c>
      <c r="O302" s="1" t="s">
        <v>271</v>
      </c>
      <c r="S302" s="1" t="s">
        <v>273</v>
      </c>
      <c r="T302" s="1" t="s">
        <v>1458</v>
      </c>
      <c r="U302" s="4" t="s">
        <v>2652</v>
      </c>
      <c r="V302" s="4" t="str">
        <f>IFERROR(__xludf.DUMMYFUNCTION("SPLIT(F302, "" "")"),"опасности,")</f>
        <v>опасности,</v>
      </c>
      <c r="W302" s="1" t="str">
        <f>IFERROR(__xludf.DUMMYFUNCTION("""COMPUTED_VALUE"""),"как")</f>
        <v>как</v>
      </c>
      <c r="X302" s="1" t="str">
        <f>IFERROR(__xludf.DUMMYFUNCTION("""COMPUTED_VALUE"""),"мой")</f>
        <v>мой</v>
      </c>
      <c r="Y302" s="1" t="str">
        <f>IFERROR(__xludf.DUMMYFUNCTION("""COMPUTED_VALUE"""),"отец")</f>
        <v>отец</v>
      </c>
      <c r="Z302" s="1" t="str">
        <f>IFERROR(__xludf.DUMMYFUNCTION("""COMPUTED_VALUE"""),"и")</f>
        <v>и</v>
      </c>
      <c r="AA302" s="1" t="str">
        <f>IFERROR(__xludf.DUMMYFUNCTION("""COMPUTED_VALUE"""),"моя")</f>
        <v>моя</v>
      </c>
    </row>
    <row r="303" ht="14.25" customHeight="1">
      <c r="A303" s="1" t="s">
        <v>2653</v>
      </c>
      <c r="B303" s="1" t="s">
        <v>2654</v>
      </c>
      <c r="C303" s="2" t="s">
        <v>2655</v>
      </c>
      <c r="D303" s="7" t="s">
        <v>2656</v>
      </c>
      <c r="E303" s="1" t="s">
        <v>25</v>
      </c>
      <c r="F303" s="4" t="s">
        <v>2657</v>
      </c>
      <c r="G303" s="7" t="s">
        <v>2656</v>
      </c>
      <c r="H303" s="7" t="s">
        <v>2658</v>
      </c>
      <c r="I303" s="4" t="s">
        <v>2659</v>
      </c>
      <c r="J303" s="1" t="s">
        <v>2660</v>
      </c>
      <c r="K303" s="1" t="s">
        <v>935</v>
      </c>
      <c r="L303" s="1" t="s">
        <v>2661</v>
      </c>
      <c r="M303" s="1" t="s">
        <v>2295</v>
      </c>
      <c r="N303" s="1" t="s">
        <v>139</v>
      </c>
      <c r="O303" s="1" t="s">
        <v>367</v>
      </c>
      <c r="Q303" s="1" t="s">
        <v>1916</v>
      </c>
      <c r="R303" s="1" t="s">
        <v>1914</v>
      </c>
      <c r="S303" s="1" t="s">
        <v>70</v>
      </c>
      <c r="T303" s="1" t="s">
        <v>1458</v>
      </c>
      <c r="U303" s="4" t="s">
        <v>2662</v>
      </c>
      <c r="V303" s="4" t="str">
        <f>IFERROR(__xludf.DUMMYFUNCTION("SPLIT(F303, "" "")"),"новым")</f>
        <v>новым</v>
      </c>
      <c r="W303" s="1" t="str">
        <f>IFERROR(__xludf.DUMMYFUNCTION("""COMPUTED_VALUE"""),"делом")</f>
        <v>делом</v>
      </c>
      <c r="X303" s="1" t="str">
        <f>IFERROR(__xludf.DUMMYFUNCTION("""COMPUTED_VALUE"""),"жизни.")</f>
        <v>жизни.</v>
      </c>
    </row>
    <row r="304" ht="14.25" customHeight="1">
      <c r="A304" s="1" t="s">
        <v>2663</v>
      </c>
      <c r="B304" s="1" t="s">
        <v>2664</v>
      </c>
      <c r="C304" s="2" t="s">
        <v>2665</v>
      </c>
      <c r="D304" s="7" t="s">
        <v>2666</v>
      </c>
      <c r="E304" s="1" t="s">
        <v>25</v>
      </c>
      <c r="F304" s="4" t="s">
        <v>2667</v>
      </c>
      <c r="G304" s="7" t="s">
        <v>2666</v>
      </c>
      <c r="H304" s="7" t="s">
        <v>2668</v>
      </c>
      <c r="I304" s="4" t="s">
        <v>2659</v>
      </c>
      <c r="J304" s="1" t="s">
        <v>2660</v>
      </c>
      <c r="K304" s="1" t="s">
        <v>935</v>
      </c>
      <c r="L304" s="1" t="s">
        <v>2661</v>
      </c>
      <c r="M304" s="1" t="s">
        <v>2295</v>
      </c>
      <c r="N304" s="1" t="s">
        <v>139</v>
      </c>
      <c r="O304" s="1" t="s">
        <v>367</v>
      </c>
      <c r="Q304" s="1" t="s">
        <v>1916</v>
      </c>
      <c r="R304" s="1" t="s">
        <v>1914</v>
      </c>
      <c r="S304" s="1" t="s">
        <v>70</v>
      </c>
      <c r="T304" s="1" t="s">
        <v>1458</v>
      </c>
      <c r="U304" s="4" t="s">
        <v>2669</v>
      </c>
      <c r="V304" s="4" t="str">
        <f>IFERROR(__xludf.DUMMYFUNCTION("SPLIT(F304, "" "")"),"встрече.")</f>
        <v>встрече.</v>
      </c>
    </row>
    <row r="305" ht="14.25" customHeight="1">
      <c r="A305" s="1" t="s">
        <v>929</v>
      </c>
      <c r="B305" s="1" t="s">
        <v>639</v>
      </c>
      <c r="C305" s="2" t="s">
        <v>930</v>
      </c>
      <c r="D305" s="7" t="s">
        <v>641</v>
      </c>
      <c r="E305" s="1" t="s">
        <v>25</v>
      </c>
      <c r="F305" s="4" t="s">
        <v>2670</v>
      </c>
      <c r="G305" s="7" t="s">
        <v>641</v>
      </c>
      <c r="H305" s="7" t="s">
        <v>1521</v>
      </c>
      <c r="I305" s="4" t="s">
        <v>2659</v>
      </c>
      <c r="J305" s="1" t="s">
        <v>2660</v>
      </c>
      <c r="K305" s="1" t="s">
        <v>935</v>
      </c>
      <c r="L305" s="1" t="s">
        <v>2661</v>
      </c>
      <c r="M305" s="1" t="s">
        <v>2295</v>
      </c>
      <c r="N305" s="1" t="s">
        <v>139</v>
      </c>
      <c r="O305" s="1" t="s">
        <v>367</v>
      </c>
      <c r="Q305" s="1" t="s">
        <v>1916</v>
      </c>
      <c r="R305" s="1" t="s">
        <v>1914</v>
      </c>
      <c r="S305" s="1" t="s">
        <v>70</v>
      </c>
      <c r="T305" s="1" t="s">
        <v>1458</v>
      </c>
      <c r="U305" s="4" t="s">
        <v>2671</v>
      </c>
      <c r="V305" s="4" t="str">
        <f>IFERROR(__xludf.DUMMYFUNCTION("SPLIT(F305, "" "")"),"тому,")</f>
        <v>тому,</v>
      </c>
      <c r="W305" s="1" t="str">
        <f>IFERROR(__xludf.DUMMYFUNCTION("""COMPUTED_VALUE"""),"что")</f>
        <v>что</v>
      </c>
      <c r="X305" s="1" t="str">
        <f>IFERROR(__xludf.DUMMYFUNCTION("""COMPUTED_VALUE"""),"говорил.")</f>
        <v>говорил.</v>
      </c>
    </row>
    <row r="306" ht="14.25" customHeight="1">
      <c r="A306" s="1" t="s">
        <v>627</v>
      </c>
      <c r="B306" s="1" t="s">
        <v>382</v>
      </c>
      <c r="C306" s="2" t="s">
        <v>2672</v>
      </c>
      <c r="D306" s="7" t="s">
        <v>384</v>
      </c>
      <c r="E306" s="1" t="s">
        <v>25</v>
      </c>
      <c r="F306" s="4" t="s">
        <v>2673</v>
      </c>
      <c r="G306" s="7" t="s">
        <v>384</v>
      </c>
      <c r="H306" s="7" t="s">
        <v>532</v>
      </c>
      <c r="I306" s="4" t="s">
        <v>2659</v>
      </c>
      <c r="J306" s="1" t="s">
        <v>2660</v>
      </c>
      <c r="K306" s="1" t="s">
        <v>935</v>
      </c>
      <c r="L306" s="1" t="s">
        <v>2661</v>
      </c>
      <c r="M306" s="1" t="s">
        <v>2295</v>
      </c>
      <c r="N306" s="1" t="s">
        <v>139</v>
      </c>
      <c r="O306" s="1" t="s">
        <v>367</v>
      </c>
      <c r="Q306" s="1" t="s">
        <v>1916</v>
      </c>
      <c r="R306" s="1" t="s">
        <v>1914</v>
      </c>
      <c r="S306" s="1" t="s">
        <v>70</v>
      </c>
      <c r="T306" s="1" t="s">
        <v>1458</v>
      </c>
      <c r="U306" s="4" t="s">
        <v>2674</v>
      </c>
      <c r="V306" s="4" t="str">
        <f>IFERROR(__xludf.DUMMYFUNCTION("SPLIT(F306, "" "")"),"вопросу")</f>
        <v>вопросу</v>
      </c>
      <c r="W306" s="1" t="str">
        <f>IFERROR(__xludf.DUMMYFUNCTION("""COMPUTED_VALUE"""),"Андрей")</f>
        <v>Андрей</v>
      </c>
      <c r="X306" s="1" t="str">
        <f>IFERROR(__xludf.DUMMYFUNCTION("""COMPUTED_VALUE"""),"Иванович.")</f>
        <v>Иванович.</v>
      </c>
    </row>
    <row r="307" ht="14.25" customHeight="1">
      <c r="A307" s="1" t="s">
        <v>627</v>
      </c>
      <c r="B307" s="1" t="s">
        <v>131</v>
      </c>
      <c r="C307" s="2" t="s">
        <v>2672</v>
      </c>
      <c r="D307" s="7" t="s">
        <v>133</v>
      </c>
      <c r="E307" s="1" t="s">
        <v>25</v>
      </c>
      <c r="F307" s="4" t="s">
        <v>2675</v>
      </c>
      <c r="G307" s="7" t="s">
        <v>133</v>
      </c>
      <c r="H307" s="7" t="s">
        <v>2676</v>
      </c>
      <c r="I307" s="4" t="s">
        <v>2659</v>
      </c>
      <c r="J307" s="1" t="s">
        <v>2660</v>
      </c>
      <c r="K307" s="1" t="s">
        <v>935</v>
      </c>
      <c r="L307" s="1" t="s">
        <v>2661</v>
      </c>
      <c r="M307" s="1" t="s">
        <v>2295</v>
      </c>
      <c r="N307" s="1" t="s">
        <v>139</v>
      </c>
      <c r="O307" s="1" t="s">
        <v>367</v>
      </c>
      <c r="Q307" s="1" t="s">
        <v>1916</v>
      </c>
      <c r="R307" s="1" t="s">
        <v>1914</v>
      </c>
      <c r="S307" s="1" t="s">
        <v>70</v>
      </c>
      <c r="T307" s="1" t="s">
        <v>1458</v>
      </c>
      <c r="U307" s="4" t="s">
        <v>2677</v>
      </c>
      <c r="V307" s="4" t="str">
        <f>IFERROR(__xludf.DUMMYFUNCTION("SPLIT(F307, "" "")"),"воспоминаниям")</f>
        <v>воспоминаниям</v>
      </c>
      <c r="W307" s="1" t="str">
        <f>IFERROR(__xludf.DUMMYFUNCTION("""COMPUTED_VALUE"""),"Славка.")</f>
        <v>Славка.</v>
      </c>
    </row>
    <row r="308" ht="14.25" customHeight="1">
      <c r="A308" s="1" t="s">
        <v>25</v>
      </c>
      <c r="B308" s="1" t="s">
        <v>1477</v>
      </c>
      <c r="C308" s="2"/>
      <c r="D308" s="7" t="s">
        <v>1478</v>
      </c>
      <c r="E308" s="1" t="s">
        <v>25</v>
      </c>
      <c r="F308" s="4" t="s">
        <v>2678</v>
      </c>
      <c r="G308" s="7" t="s">
        <v>1478</v>
      </c>
      <c r="H308" s="7" t="s">
        <v>2679</v>
      </c>
      <c r="I308" s="4" t="s">
        <v>2659</v>
      </c>
      <c r="J308" s="1" t="s">
        <v>2660</v>
      </c>
      <c r="K308" s="1" t="s">
        <v>935</v>
      </c>
      <c r="L308" s="1" t="s">
        <v>2661</v>
      </c>
      <c r="M308" s="1" t="s">
        <v>2295</v>
      </c>
      <c r="N308" s="1" t="s">
        <v>139</v>
      </c>
      <c r="O308" s="1" t="s">
        <v>367</v>
      </c>
      <c r="Q308" s="1" t="s">
        <v>1916</v>
      </c>
      <c r="R308" s="1" t="s">
        <v>1914</v>
      </c>
      <c r="S308" s="1" t="s">
        <v>70</v>
      </c>
      <c r="T308" s="1" t="s">
        <v>1458</v>
      </c>
      <c r="U308" s="4" t="s">
        <v>2680</v>
      </c>
      <c r="V308" s="4" t="str">
        <f>IFERROR(__xludf.DUMMYFUNCTION("SPLIT(F308, "" "")"),"Крецу")</f>
        <v>Крецу</v>
      </c>
      <c r="W308" s="1" t="str">
        <f>IFERROR(__xludf.DUMMYFUNCTION("""COMPUTED_VALUE"""),"только")</f>
        <v>только</v>
      </c>
      <c r="X308" s="1" t="str">
        <f>IFERROR(__xludf.DUMMYFUNCTION("""COMPUTED_VALUE"""),"и")</f>
        <v>и</v>
      </c>
      <c r="Y308" s="1" t="str">
        <f>IFERROR(__xludf.DUMMYFUNCTION("""COMPUTED_VALUE"""),"знал,")</f>
        <v>знал,</v>
      </c>
      <c r="Z308" s="1" t="str">
        <f>IFERROR(__xludf.DUMMYFUNCTION("""COMPUTED_VALUE"""),"что")</f>
        <v>что</v>
      </c>
      <c r="AA308" s="1" t="str">
        <f>IFERROR(__xludf.DUMMYFUNCTION("""COMPUTED_VALUE"""),"костылить")</f>
        <v>костылить</v>
      </c>
    </row>
    <row r="309" ht="14.25" customHeight="1">
      <c r="A309" s="1" t="s">
        <v>2681</v>
      </c>
      <c r="B309" s="1" t="s">
        <v>131</v>
      </c>
      <c r="C309" s="2" t="s">
        <v>2682</v>
      </c>
      <c r="D309" s="7" t="s">
        <v>133</v>
      </c>
      <c r="E309" s="1" t="s">
        <v>25</v>
      </c>
      <c r="F309" s="4" t="s">
        <v>2683</v>
      </c>
      <c r="G309" s="7" t="s">
        <v>133</v>
      </c>
      <c r="H309" s="7" t="s">
        <v>2684</v>
      </c>
      <c r="I309" s="4" t="s">
        <v>2659</v>
      </c>
      <c r="J309" s="1" t="s">
        <v>2660</v>
      </c>
      <c r="K309" s="1" t="s">
        <v>935</v>
      </c>
      <c r="L309" s="1" t="s">
        <v>2661</v>
      </c>
      <c r="M309" s="1" t="s">
        <v>2295</v>
      </c>
      <c r="N309" s="1" t="s">
        <v>139</v>
      </c>
      <c r="O309" s="1" t="s">
        <v>367</v>
      </c>
      <c r="Q309" s="1" t="s">
        <v>1916</v>
      </c>
      <c r="R309" s="1" t="s">
        <v>1914</v>
      </c>
      <c r="S309" s="1" t="s">
        <v>70</v>
      </c>
      <c r="T309" s="1" t="s">
        <v>1458</v>
      </c>
      <c r="U309" s="4" t="s">
        <v>2685</v>
      </c>
      <c r="V309" s="4" t="str">
        <f>IFERROR(__xludf.DUMMYFUNCTION("SPLIT(F309, "" "")"),"покупке")</f>
        <v>покупке</v>
      </c>
      <c r="W309" s="1" t="str">
        <f>IFERROR(__xludf.DUMMYFUNCTION("""COMPUTED_VALUE"""),"(«Ух")</f>
        <v>(«Ух</v>
      </c>
      <c r="X309" s="1" t="str">
        <f>IFERROR(__xludf.DUMMYFUNCTION("""COMPUTED_VALUE"""),"ты,")</f>
        <v>ты,</v>
      </c>
      <c r="Y309" s="1" t="str">
        <f>IFERROR(__xludf.DUMMYFUNCTION("""COMPUTED_VALUE"""),"Ленинградский")</f>
        <v>Ленинградский</v>
      </c>
      <c r="Z309" s="1" t="str">
        <f>IFERROR(__xludf.DUMMYFUNCTION("""COMPUTED_VALUE"""),"межзональный!»")</f>
        <v>межзональный!»</v>
      </c>
    </row>
    <row r="310" ht="14.25" customHeight="1">
      <c r="A310" s="1" t="s">
        <v>2686</v>
      </c>
      <c r="B310" s="1" t="s">
        <v>2687</v>
      </c>
      <c r="C310" s="2" t="s">
        <v>2688</v>
      </c>
      <c r="D310" s="7" t="s">
        <v>2689</v>
      </c>
      <c r="E310" s="1" t="s">
        <v>25</v>
      </c>
      <c r="F310" s="4" t="s">
        <v>2690</v>
      </c>
      <c r="G310" s="7" t="s">
        <v>2689</v>
      </c>
      <c r="H310" s="7" t="s">
        <v>2691</v>
      </c>
      <c r="I310" s="4" t="s">
        <v>2659</v>
      </c>
      <c r="J310" s="1" t="s">
        <v>2660</v>
      </c>
      <c r="K310" s="1" t="s">
        <v>935</v>
      </c>
      <c r="L310" s="1" t="s">
        <v>2661</v>
      </c>
      <c r="M310" s="1" t="s">
        <v>2295</v>
      </c>
      <c r="N310" s="1" t="s">
        <v>139</v>
      </c>
      <c r="O310" s="1" t="s">
        <v>367</v>
      </c>
      <c r="Q310" s="1" t="s">
        <v>1916</v>
      </c>
      <c r="R310" s="1" t="s">
        <v>1914</v>
      </c>
      <c r="S310" s="1" t="s">
        <v>70</v>
      </c>
      <c r="T310" s="1" t="s">
        <v>1458</v>
      </c>
      <c r="U310" s="4" t="s">
        <v>2692</v>
      </c>
      <c r="V310" s="4" t="str">
        <f>IFERROR(__xludf.DUMMYFUNCTION("SPLIT(F310, "" "")"),"ясности")</f>
        <v>ясности</v>
      </c>
      <c r="W310" s="1" t="str">
        <f>IFERROR(__xludf.DUMMYFUNCTION("""COMPUTED_VALUE"""),"выступило")</f>
        <v>выступило</v>
      </c>
      <c r="X310" s="1" t="str">
        <f>IFERROR(__xludf.DUMMYFUNCTION("""COMPUTED_VALUE"""),"в")</f>
        <v>в</v>
      </c>
      <c r="Y310" s="1" t="str">
        <f>IFERROR(__xludf.DUMMYFUNCTION("""COMPUTED_VALUE"""),"лице")</f>
        <v>лице</v>
      </c>
      <c r="Z310" s="1" t="str">
        <f>IFERROR(__xludf.DUMMYFUNCTION("""COMPUTED_VALUE"""),"подруги.")</f>
        <v>подруги.</v>
      </c>
      <c r="AA310" s="1" t="str">
        <f>IFERROR(__xludf.DUMMYFUNCTION("""COMPUTED_VALUE"""),"***")</f>
        <v>***</v>
      </c>
    </row>
    <row r="311" ht="14.25" customHeight="1">
      <c r="A311" s="1" t="s">
        <v>2693</v>
      </c>
      <c r="B311" s="1" t="s">
        <v>2694</v>
      </c>
      <c r="C311" s="2" t="s">
        <v>2695</v>
      </c>
      <c r="D311" s="7" t="s">
        <v>2696</v>
      </c>
      <c r="E311" s="1" t="s">
        <v>25</v>
      </c>
      <c r="F311" s="4" t="s">
        <v>2697</v>
      </c>
      <c r="G311" s="7" t="s">
        <v>2696</v>
      </c>
      <c r="H311" s="7" t="s">
        <v>2698</v>
      </c>
      <c r="I311" s="4" t="s">
        <v>2699</v>
      </c>
      <c r="J311" s="1" t="s">
        <v>2700</v>
      </c>
      <c r="K311" s="1" t="s">
        <v>595</v>
      </c>
      <c r="L311" s="1" t="s">
        <v>2701</v>
      </c>
      <c r="M311" s="1" t="s">
        <v>2295</v>
      </c>
      <c r="N311" s="1" t="s">
        <v>51</v>
      </c>
      <c r="O311" s="1" t="s">
        <v>1375</v>
      </c>
      <c r="P311" s="1" t="s">
        <v>53</v>
      </c>
      <c r="Q311" s="1" t="s">
        <v>1916</v>
      </c>
      <c r="R311" s="1" t="s">
        <v>2295</v>
      </c>
      <c r="S311" s="1" t="s">
        <v>70</v>
      </c>
      <c r="T311" s="1" t="s">
        <v>1458</v>
      </c>
      <c r="U311" s="4" t="s">
        <v>2702</v>
      </c>
      <c r="V311" s="4" t="str">
        <f>IFERROR(__xludf.DUMMYFUNCTION("SPLIT(F311, "" "")"),"Чеховым")</f>
        <v>Чеховым</v>
      </c>
      <c r="W311" s="1" t="str">
        <f>IFERROR(__xludf.DUMMYFUNCTION("""COMPUTED_VALUE"""),"и")</f>
        <v>и</v>
      </c>
      <c r="X311" s="1" t="str">
        <f>IFERROR(__xludf.DUMMYFUNCTION("""COMPUTED_VALUE"""),"Толстым,")</f>
        <v>Толстым,</v>
      </c>
      <c r="Y311" s="1" t="str">
        <f>IFERROR(__xludf.DUMMYFUNCTION("""COMPUTED_VALUE"""),"горящие")</f>
        <v>горящие</v>
      </c>
      <c r="Z311" s="1" t="str">
        <f>IFERROR(__xludf.DUMMYFUNCTION("""COMPUTED_VALUE"""),"в")</f>
        <v>в</v>
      </c>
      <c r="AA311" s="1" t="str">
        <f>IFERROR(__xludf.DUMMYFUNCTION("""COMPUTED_VALUE"""),"камне")</f>
        <v>камне</v>
      </c>
    </row>
    <row r="312" ht="14.25" customHeight="1">
      <c r="A312" s="1" t="s">
        <v>2703</v>
      </c>
      <c r="B312" s="1" t="s">
        <v>22</v>
      </c>
      <c r="C312" s="2" t="s">
        <v>2704</v>
      </c>
      <c r="D312" s="7" t="s">
        <v>24</v>
      </c>
      <c r="E312" s="1" t="s">
        <v>25</v>
      </c>
      <c r="F312" s="4" t="s">
        <v>2705</v>
      </c>
      <c r="G312" s="7" t="s">
        <v>24</v>
      </c>
      <c r="H312" s="7" t="s">
        <v>27</v>
      </c>
      <c r="I312" s="4" t="s">
        <v>2706</v>
      </c>
      <c r="J312" s="1" t="s">
        <v>2700</v>
      </c>
      <c r="K312" s="1" t="s">
        <v>595</v>
      </c>
      <c r="L312" s="1" t="s">
        <v>2707</v>
      </c>
      <c r="M312" s="1" t="s">
        <v>2295</v>
      </c>
      <c r="N312" s="1" t="s">
        <v>51</v>
      </c>
      <c r="O312" s="1" t="s">
        <v>1375</v>
      </c>
      <c r="P312" s="1" t="s">
        <v>53</v>
      </c>
      <c r="Q312" s="1" t="s">
        <v>1916</v>
      </c>
      <c r="R312" s="1" t="s">
        <v>2295</v>
      </c>
      <c r="S312" s="1" t="s">
        <v>70</v>
      </c>
      <c r="T312" s="1" t="s">
        <v>1458</v>
      </c>
      <c r="U312" s="4" t="s">
        <v>2708</v>
      </c>
      <c r="V312" s="4" t="str">
        <f>IFERROR(__xludf.DUMMYFUNCTION("SPLIT(F312, "" "")"),"героям")</f>
        <v>героям</v>
      </c>
      <c r="W312" s="1" t="str">
        <f>IFERROR(__xludf.DUMMYFUNCTION("""COMPUTED_VALUE"""),"ни")</f>
        <v>ни</v>
      </c>
      <c r="X312" s="1" t="str">
        <f>IFERROR(__xludf.DUMMYFUNCTION("""COMPUTED_VALUE"""),"минуты")</f>
        <v>минуты</v>
      </c>
      <c r="Y312" s="1" t="str">
        <f>IFERROR(__xludf.DUMMYFUNCTION("""COMPUTED_VALUE"""),"―")</f>
        <v>―</v>
      </c>
      <c r="Z312" s="1" t="str">
        <f>IFERROR(__xludf.DUMMYFUNCTION("""COMPUTED_VALUE"""),"Пазолини")</f>
        <v>Пазолини</v>
      </c>
      <c r="AA312" s="1" t="str">
        <f>IFERROR(__xludf.DUMMYFUNCTION("""COMPUTED_VALUE"""),"глубоко")</f>
        <v>глубоко</v>
      </c>
      <c r="AB312" s="1" t="str">
        <f>IFERROR(__xludf.DUMMYFUNCTION("""COMPUTED_VALUE"""),"нырял")</f>
        <v>нырял</v>
      </c>
    </row>
    <row r="313" ht="14.25" customHeight="1">
      <c r="A313" s="1" t="s">
        <v>2709</v>
      </c>
      <c r="B313" s="1" t="s">
        <v>1005</v>
      </c>
      <c r="C313" s="2" t="s">
        <v>2710</v>
      </c>
      <c r="D313" s="7" t="s">
        <v>1007</v>
      </c>
      <c r="E313" s="1" t="s">
        <v>25</v>
      </c>
      <c r="F313" s="4" t="s">
        <v>2711</v>
      </c>
      <c r="G313" s="7" t="s">
        <v>1007</v>
      </c>
      <c r="H313" s="7" t="s">
        <v>86</v>
      </c>
      <c r="I313" s="4" t="s">
        <v>2712</v>
      </c>
      <c r="J313" s="1" t="s">
        <v>2713</v>
      </c>
      <c r="K313" s="1" t="s">
        <v>1584</v>
      </c>
      <c r="L313" s="1" t="s">
        <v>2714</v>
      </c>
      <c r="M313" s="1" t="s">
        <v>2295</v>
      </c>
      <c r="N313" s="1" t="s">
        <v>51</v>
      </c>
      <c r="O313" s="1" t="s">
        <v>1375</v>
      </c>
      <c r="P313" s="1" t="s">
        <v>2715</v>
      </c>
      <c r="Q313" s="1" t="s">
        <v>1916</v>
      </c>
      <c r="R313" s="1" t="s">
        <v>2295</v>
      </c>
      <c r="S313" s="1" t="s">
        <v>70</v>
      </c>
      <c r="T313" s="1" t="s">
        <v>1458</v>
      </c>
      <c r="U313" s="4" t="s">
        <v>2716</v>
      </c>
      <c r="V313" s="4" t="str">
        <f>IFERROR(__xludf.DUMMYFUNCTION("SPLIT(F313, "" "")"),"жизни,")</f>
        <v>жизни,</v>
      </c>
      <c r="W313" s="1" t="str">
        <f>IFERROR(__xludf.DUMMYFUNCTION("""COMPUTED_VALUE"""),"а")</f>
        <v>а</v>
      </c>
      <c r="X313" s="1" t="str">
        <f>IFERROR(__xludf.DUMMYFUNCTION("""COMPUTED_VALUE"""),"«лайкаются»,")</f>
        <v>«лайкаются»,</v>
      </c>
      <c r="Y313" s="1" t="str">
        <f>IFERROR(__xludf.DUMMYFUNCTION("""COMPUTED_VALUE"""),"не")</f>
        <v>не</v>
      </c>
      <c r="Z313" s="1" t="str">
        <f>IFERROR(__xludf.DUMMYFUNCTION("""COMPUTED_VALUE"""),"встречаются,")</f>
        <v>встречаются,</v>
      </c>
      <c r="AA313" s="1" t="str">
        <f>IFERROR(__xludf.DUMMYFUNCTION("""COMPUTED_VALUE"""),"а")</f>
        <v>а</v>
      </c>
    </row>
    <row r="314" ht="14.25" customHeight="1">
      <c r="A314" s="1" t="s">
        <v>2717</v>
      </c>
      <c r="B314" s="1" t="s">
        <v>720</v>
      </c>
      <c r="C314" s="2" t="s">
        <v>2718</v>
      </c>
      <c r="D314" s="7" t="s">
        <v>722</v>
      </c>
      <c r="E314" s="1" t="s">
        <v>25</v>
      </c>
      <c r="F314" s="4" t="s">
        <v>2719</v>
      </c>
      <c r="G314" s="7" t="s">
        <v>722</v>
      </c>
      <c r="H314" s="7" t="s">
        <v>2720</v>
      </c>
      <c r="I314" s="4" t="s">
        <v>2721</v>
      </c>
      <c r="J314" s="1" t="s">
        <v>2722</v>
      </c>
      <c r="K314" s="1" t="s">
        <v>2723</v>
      </c>
      <c r="L314" s="1" t="s">
        <v>2724</v>
      </c>
      <c r="M314" s="1" t="s">
        <v>2295</v>
      </c>
      <c r="N314" s="1" t="s">
        <v>51</v>
      </c>
      <c r="O314" s="1" t="s">
        <v>2066</v>
      </c>
      <c r="P314" s="1" t="s">
        <v>2725</v>
      </c>
      <c r="Q314" s="1" t="s">
        <v>2724</v>
      </c>
      <c r="R314" s="1" t="s">
        <v>2295</v>
      </c>
      <c r="S314" s="1" t="s">
        <v>70</v>
      </c>
      <c r="T314" s="1" t="s">
        <v>1458</v>
      </c>
      <c r="U314" s="4" t="s">
        <v>2726</v>
      </c>
      <c r="V314" s="4" t="str">
        <f>IFERROR(__xludf.DUMMYFUNCTION("SPLIT(F314, "" "")"),"части")</f>
        <v>части</v>
      </c>
      <c r="W314" s="1" t="str">
        <f>IFERROR(__xludf.DUMMYFUNCTION("""COMPUTED_VALUE"""),"большевистских")</f>
        <v>большевистских</v>
      </c>
      <c r="X314" s="1" t="str">
        <f>IFERROR(__xludf.DUMMYFUNCTION("""COMPUTED_VALUE"""),"реформаторов.")</f>
        <v>реформаторов.</v>
      </c>
    </row>
    <row r="315" ht="14.25" customHeight="1">
      <c r="A315" s="1" t="s">
        <v>2727</v>
      </c>
      <c r="B315" s="1" t="s">
        <v>2728</v>
      </c>
      <c r="C315" s="2" t="s">
        <v>2729</v>
      </c>
      <c r="D315" s="7" t="s">
        <v>2730</v>
      </c>
      <c r="E315" s="1" t="s">
        <v>25</v>
      </c>
      <c r="F315" s="4" t="s">
        <v>2731</v>
      </c>
      <c r="G315" s="7" t="s">
        <v>2730</v>
      </c>
      <c r="H315" s="7" t="s">
        <v>2732</v>
      </c>
      <c r="I315" s="4" t="s">
        <v>2733</v>
      </c>
      <c r="J315" s="1" t="s">
        <v>2734</v>
      </c>
      <c r="K315" s="1" t="s">
        <v>1245</v>
      </c>
      <c r="L315" s="1" t="s">
        <v>2735</v>
      </c>
      <c r="M315" s="1" t="s">
        <v>2295</v>
      </c>
      <c r="N315" s="1" t="s">
        <v>126</v>
      </c>
      <c r="O315" s="1" t="s">
        <v>67</v>
      </c>
      <c r="P315" s="1" t="s">
        <v>2736</v>
      </c>
      <c r="R315" s="1" t="s">
        <v>2295</v>
      </c>
      <c r="S315" s="1" t="s">
        <v>56</v>
      </c>
      <c r="T315" s="1" t="s">
        <v>1458</v>
      </c>
      <c r="U315" s="4" t="s">
        <v>2737</v>
      </c>
      <c r="V315" s="4" t="str">
        <f>IFERROR(__xludf.DUMMYFUNCTION("SPLIT(F315, "" "")"),"комиссарам,")</f>
        <v>комиссарам,</v>
      </c>
      <c r="W315" s="1" t="str">
        <f>IFERROR(__xludf.DUMMYFUNCTION("""COMPUTED_VALUE"""),"несмотря")</f>
        <v>несмотря</v>
      </c>
      <c r="X315" s="1" t="str">
        <f>IFERROR(__xludf.DUMMYFUNCTION("""COMPUTED_VALUE"""),"на")</f>
        <v>на</v>
      </c>
      <c r="Y315" s="1" t="str">
        <f>IFERROR(__xludf.DUMMYFUNCTION("""COMPUTED_VALUE"""),"то")</f>
        <v>то</v>
      </c>
      <c r="Z315" s="1" t="str">
        <f>IFERROR(__xludf.DUMMYFUNCTION("""COMPUTED_VALUE"""),"что")</f>
        <v>что</v>
      </c>
      <c r="AA315" s="1" t="str">
        <f>IFERROR(__xludf.DUMMYFUNCTION("""COMPUTED_VALUE"""),"все")</f>
        <v>все</v>
      </c>
    </row>
    <row r="316" ht="14.25" customHeight="1">
      <c r="A316" s="1" t="s">
        <v>2738</v>
      </c>
      <c r="B316" s="1" t="s">
        <v>2739</v>
      </c>
      <c r="C316" s="2" t="s">
        <v>2740</v>
      </c>
      <c r="D316" s="7" t="s">
        <v>2741</v>
      </c>
      <c r="E316" s="1" t="s">
        <v>25</v>
      </c>
      <c r="F316" s="4" t="s">
        <v>2742</v>
      </c>
      <c r="G316" s="7" t="s">
        <v>2741</v>
      </c>
      <c r="H316" s="7" t="s">
        <v>2743</v>
      </c>
      <c r="I316" s="4" t="s">
        <v>2744</v>
      </c>
      <c r="J316" s="1" t="s">
        <v>2745</v>
      </c>
      <c r="K316" s="1" t="s">
        <v>1127</v>
      </c>
      <c r="L316" s="1" t="s">
        <v>2746</v>
      </c>
      <c r="M316" s="1" t="s">
        <v>2295</v>
      </c>
      <c r="N316" s="1" t="s">
        <v>51</v>
      </c>
      <c r="O316" s="1" t="s">
        <v>1760</v>
      </c>
      <c r="P316" s="1" t="s">
        <v>53</v>
      </c>
      <c r="Q316" s="1" t="s">
        <v>1916</v>
      </c>
      <c r="R316" s="1" t="s">
        <v>2295</v>
      </c>
      <c r="S316" s="1" t="s">
        <v>70</v>
      </c>
      <c r="T316" s="1" t="s">
        <v>1458</v>
      </c>
      <c r="U316" s="4" t="s">
        <v>2747</v>
      </c>
      <c r="V316" s="4" t="str">
        <f>IFERROR(__xludf.DUMMYFUNCTION("SPLIT(F316, "" "")"),"фамильярности.")</f>
        <v>фамильярности.</v>
      </c>
    </row>
    <row r="317" ht="14.25" customHeight="1">
      <c r="A317" s="1" t="s">
        <v>2748</v>
      </c>
      <c r="B317" s="1" t="s">
        <v>777</v>
      </c>
      <c r="C317" s="2" t="s">
        <v>2749</v>
      </c>
      <c r="D317" s="7" t="s">
        <v>779</v>
      </c>
      <c r="E317" s="1" t="s">
        <v>25</v>
      </c>
      <c r="F317" s="4" t="s">
        <v>2750</v>
      </c>
      <c r="G317" s="7" t="s">
        <v>779</v>
      </c>
      <c r="H317" s="7" t="s">
        <v>2751</v>
      </c>
      <c r="I317" s="4" t="s">
        <v>2752</v>
      </c>
      <c r="J317" s="1" t="s">
        <v>2745</v>
      </c>
      <c r="K317" s="1" t="s">
        <v>1127</v>
      </c>
      <c r="L317" s="1" t="s">
        <v>2753</v>
      </c>
      <c r="M317" s="1" t="s">
        <v>2295</v>
      </c>
      <c r="N317" s="1" t="s">
        <v>51</v>
      </c>
      <c r="O317" s="1" t="s">
        <v>67</v>
      </c>
      <c r="P317" s="1" t="s">
        <v>53</v>
      </c>
      <c r="Q317" s="1" t="s">
        <v>1916</v>
      </c>
      <c r="R317" s="1" t="s">
        <v>2295</v>
      </c>
      <c r="S317" s="1" t="s">
        <v>70</v>
      </c>
      <c r="T317" s="1" t="s">
        <v>1458</v>
      </c>
      <c r="U317" s="4" t="s">
        <v>2754</v>
      </c>
      <c r="V317" s="4" t="str">
        <f>IFERROR(__xludf.DUMMYFUNCTION("SPLIT(F317, "" "")"),"Чудиным")</f>
        <v>Чудиным</v>
      </c>
      <c r="W317" s="1" t="str">
        <f>IFERROR(__xludf.DUMMYFUNCTION("""COMPUTED_VALUE"""),"Есенину")</f>
        <v>Есенину</v>
      </c>
      <c r="X317" s="1" t="str">
        <f>IFERROR(__xludf.DUMMYFUNCTION("""COMPUTED_VALUE"""),"―")</f>
        <v>―</v>
      </c>
      <c r="Y317" s="1" t="str">
        <f>IFERROR(__xludf.DUMMYFUNCTION("""COMPUTED_VALUE"""),"«Цветы")</f>
        <v>«Цветы</v>
      </c>
      <c r="Z317" s="1" t="str">
        <f>IFERROR(__xludf.DUMMYFUNCTION("""COMPUTED_VALUE"""),"мне")</f>
        <v>мне</v>
      </c>
      <c r="AA317" s="1" t="str">
        <f>IFERROR(__xludf.DUMMYFUNCTION("""COMPUTED_VALUE"""),"говорят,")</f>
        <v>говорят,</v>
      </c>
      <c r="AB317" s="1" t="str">
        <f>IFERROR(__xludf.DUMMYFUNCTION("""COMPUTED_VALUE"""),"―")</f>
        <v>―</v>
      </c>
      <c r="AC317" s="1" t="str">
        <f>IFERROR(__xludf.DUMMYFUNCTION("""COMPUTED_VALUE"""),"Прощай!")</f>
        <v>Прощай!</v>
      </c>
    </row>
    <row r="318" ht="14.25" customHeight="1">
      <c r="A318" s="1" t="s">
        <v>2755</v>
      </c>
      <c r="B318" s="1" t="s">
        <v>2756</v>
      </c>
      <c r="C318" s="2" t="s">
        <v>2757</v>
      </c>
      <c r="D318" s="7" t="s">
        <v>2758</v>
      </c>
      <c r="E318" s="1" t="s">
        <v>197</v>
      </c>
      <c r="F318" s="4" t="s">
        <v>2759</v>
      </c>
      <c r="G318" s="7" t="s">
        <v>2758</v>
      </c>
      <c r="H318" s="7" t="s">
        <v>2760</v>
      </c>
      <c r="I318" s="4" t="s">
        <v>2761</v>
      </c>
      <c r="J318" s="1" t="s">
        <v>256</v>
      </c>
      <c r="K318" s="1" t="s">
        <v>202</v>
      </c>
      <c r="L318" s="1" t="s">
        <v>2762</v>
      </c>
      <c r="M318" s="1" t="s">
        <v>2295</v>
      </c>
      <c r="N318" s="1" t="s">
        <v>2377</v>
      </c>
      <c r="O318" s="1" t="s">
        <v>67</v>
      </c>
      <c r="P318" s="1" t="s">
        <v>2763</v>
      </c>
      <c r="Q318" s="1" t="s">
        <v>2047</v>
      </c>
      <c r="R318" s="1" t="s">
        <v>2295</v>
      </c>
      <c r="S318" s="1" t="s">
        <v>70</v>
      </c>
      <c r="T318" s="1" t="s">
        <v>1458</v>
      </c>
      <c r="U318" s="4" t="s">
        <v>2764</v>
      </c>
      <c r="V318" s="4" t="str">
        <f>IFERROR(__xludf.DUMMYFUNCTION("SPLIT(F318, "" "")"),"лошади")</f>
        <v>лошади</v>
      </c>
      <c r="W318" s="1" t="str">
        <f>IFERROR(__xludf.DUMMYFUNCTION("""COMPUTED_VALUE"""),"измучены,")</f>
        <v>измучены,</v>
      </c>
      <c r="X318" s="1" t="str">
        <f>IFERROR(__xludf.DUMMYFUNCTION("""COMPUTED_VALUE"""),"а")</f>
        <v>а</v>
      </c>
      <c r="Y318" s="1" t="str">
        <f>IFERROR(__xludf.DUMMYFUNCTION("""COMPUTED_VALUE"""),"тридцать")</f>
        <v>тридцать</v>
      </c>
      <c r="Z318" s="1" t="str">
        <f>IFERROR(__xludf.DUMMYFUNCTION("""COMPUTED_VALUE"""),"лет")</f>
        <v>лет</v>
      </c>
      <c r="AA318" s="1" t="str">
        <f>IFERROR(__xludf.DUMMYFUNCTION("""COMPUTED_VALUE"""),"назад")</f>
        <v>назад</v>
      </c>
    </row>
    <row r="319" ht="14.25" customHeight="1">
      <c r="A319" s="1" t="s">
        <v>2765</v>
      </c>
      <c r="B319" s="1" t="s">
        <v>2766</v>
      </c>
      <c r="C319" s="2" t="s">
        <v>2767</v>
      </c>
      <c r="D319" s="7" t="s">
        <v>2768</v>
      </c>
      <c r="E319" s="1" t="s">
        <v>25</v>
      </c>
      <c r="F319" s="4" t="s">
        <v>2769</v>
      </c>
      <c r="G319" s="7" t="s">
        <v>2768</v>
      </c>
      <c r="H319" s="7" t="s">
        <v>1521</v>
      </c>
      <c r="I319" s="4" t="s">
        <v>2761</v>
      </c>
      <c r="J319" s="1" t="s">
        <v>256</v>
      </c>
      <c r="K319" s="1" t="s">
        <v>202</v>
      </c>
      <c r="L319" s="1" t="s">
        <v>2762</v>
      </c>
      <c r="M319" s="1" t="s">
        <v>2295</v>
      </c>
      <c r="N319" s="1" t="s">
        <v>2377</v>
      </c>
      <c r="O319" s="1" t="s">
        <v>67</v>
      </c>
      <c r="P319" s="1" t="s">
        <v>2763</v>
      </c>
      <c r="Q319" s="1" t="s">
        <v>2047</v>
      </c>
      <c r="R319" s="1" t="s">
        <v>2295</v>
      </c>
      <c r="S319" s="1" t="s">
        <v>70</v>
      </c>
      <c r="T319" s="1" t="s">
        <v>1458</v>
      </c>
      <c r="U319" s="4" t="s">
        <v>2770</v>
      </c>
      <c r="V319" s="4" t="str">
        <f>IFERROR(__xludf.DUMMYFUNCTION("SPLIT(F319, "" "")"),"тому,")</f>
        <v>тому,</v>
      </c>
      <c r="W319" s="1" t="str">
        <f>IFERROR(__xludf.DUMMYFUNCTION("""COMPUTED_VALUE"""),"что")</f>
        <v>что</v>
      </c>
      <c r="X319" s="1" t="str">
        <f>IFERROR(__xludf.DUMMYFUNCTION("""COMPUTED_VALUE"""),"ей")</f>
        <v>ей</v>
      </c>
      <c r="Y319" s="1" t="str">
        <f>IFERROR(__xludf.DUMMYFUNCTION("""COMPUTED_VALUE"""),"не")</f>
        <v>не</v>
      </c>
      <c r="Z319" s="1" t="str">
        <f>IFERROR(__xludf.DUMMYFUNCTION("""COMPUTED_VALUE"""),"внимают")</f>
        <v>внимают</v>
      </c>
      <c r="AA319" s="1" t="str">
        <f>IFERROR(__xludf.DUMMYFUNCTION("""COMPUTED_VALUE"""),"с")</f>
        <v>с</v>
      </c>
    </row>
    <row r="320" ht="14.25" customHeight="1">
      <c r="A320" s="1" t="s">
        <v>25</v>
      </c>
      <c r="B320" s="1" t="s">
        <v>2024</v>
      </c>
      <c r="C320" s="2"/>
      <c r="D320" s="7" t="s">
        <v>2025</v>
      </c>
      <c r="E320" s="1" t="s">
        <v>197</v>
      </c>
      <c r="F320" s="4" t="s">
        <v>2771</v>
      </c>
      <c r="G320" s="7" t="s">
        <v>2025</v>
      </c>
      <c r="H320" s="7" t="s">
        <v>2772</v>
      </c>
      <c r="I320" s="4" t="s">
        <v>2773</v>
      </c>
      <c r="J320" s="1" t="s">
        <v>2774</v>
      </c>
      <c r="L320" s="1" t="s">
        <v>2775</v>
      </c>
      <c r="M320" s="1" t="s">
        <v>2295</v>
      </c>
      <c r="N320" s="1" t="s">
        <v>139</v>
      </c>
      <c r="O320" s="1" t="s">
        <v>367</v>
      </c>
      <c r="Q320" s="1" t="s">
        <v>2776</v>
      </c>
      <c r="R320" s="1" t="s">
        <v>2295</v>
      </c>
      <c r="S320" s="1" t="s">
        <v>273</v>
      </c>
      <c r="T320" s="1" t="s">
        <v>1458</v>
      </c>
      <c r="U320" s="4" t="s">
        <v>2777</v>
      </c>
      <c r="V320" s="4" t="str">
        <f>IFERROR(__xludf.DUMMYFUNCTION("SPLIT(F320, "" "")"),"пропылесосю?")</f>
        <v>пропылесосю?</v>
      </c>
    </row>
    <row r="321" ht="14.25" customHeight="1">
      <c r="A321" s="1" t="s">
        <v>2778</v>
      </c>
      <c r="B321" s="1" t="s">
        <v>2779</v>
      </c>
      <c r="C321" s="2" t="s">
        <v>2780</v>
      </c>
      <c r="D321" s="7" t="s">
        <v>2781</v>
      </c>
      <c r="E321" s="1" t="s">
        <v>25</v>
      </c>
      <c r="F321" s="4" t="s">
        <v>2782</v>
      </c>
      <c r="G321" s="7" t="s">
        <v>2781</v>
      </c>
      <c r="H321" s="7" t="s">
        <v>2783</v>
      </c>
      <c r="I321" s="4" t="s">
        <v>2773</v>
      </c>
      <c r="J321" s="1" t="s">
        <v>2774</v>
      </c>
      <c r="L321" s="1" t="s">
        <v>2775</v>
      </c>
      <c r="M321" s="1" t="s">
        <v>2295</v>
      </c>
      <c r="N321" s="1" t="s">
        <v>139</v>
      </c>
      <c r="O321" s="1" t="s">
        <v>367</v>
      </c>
      <c r="Q321" s="1" t="s">
        <v>2776</v>
      </c>
      <c r="R321" s="1" t="s">
        <v>2295</v>
      </c>
      <c r="S321" s="1" t="s">
        <v>273</v>
      </c>
      <c r="T321" s="1" t="s">
        <v>1458</v>
      </c>
      <c r="U321" s="4" t="s">
        <v>2784</v>
      </c>
      <c r="V321" s="4" t="str">
        <f>IFERROR(__xludf.DUMMYFUNCTION("SPLIT(F321, "" "")"),"Лидии")</f>
        <v>Лидии</v>
      </c>
      <c r="W321" s="1" t="str">
        <f>IFERROR(__xludf.DUMMYFUNCTION("""COMPUTED_VALUE"""),"Петровне")</f>
        <v>Петровне</v>
      </c>
      <c r="X321" s="1" t="str">
        <f>IFERROR(__xludf.DUMMYFUNCTION("""COMPUTED_VALUE"""),"как-нибудь")</f>
        <v>как-нибудь</v>
      </c>
      <c r="Y321" s="1" t="str">
        <f>IFERROR(__xludf.DUMMYFUNCTION("""COMPUTED_VALUE"""),"зайти")</f>
        <v>зайти</v>
      </c>
      <c r="Z321" s="1" t="str">
        <f>IFERROR(__xludf.DUMMYFUNCTION("""COMPUTED_VALUE"""),"на")</f>
        <v>на</v>
      </c>
      <c r="AA321" s="1" t="str">
        <f>IFERROR(__xludf.DUMMYFUNCTION("""COMPUTED_VALUE"""),"досуге")</f>
        <v>досуге</v>
      </c>
    </row>
    <row r="322" ht="14.25" customHeight="1">
      <c r="A322" s="1" t="s">
        <v>769</v>
      </c>
      <c r="B322" s="1" t="s">
        <v>2785</v>
      </c>
      <c r="C322" s="2" t="s">
        <v>771</v>
      </c>
      <c r="D322" s="7" t="s">
        <v>2786</v>
      </c>
      <c r="E322" s="1" t="s">
        <v>25</v>
      </c>
      <c r="F322" s="4" t="s">
        <v>2787</v>
      </c>
      <c r="G322" s="7" t="s">
        <v>2786</v>
      </c>
      <c r="H322" s="7" t="s">
        <v>2788</v>
      </c>
      <c r="I322" s="4" t="s">
        <v>2773</v>
      </c>
      <c r="J322" s="1" t="s">
        <v>2774</v>
      </c>
      <c r="L322" s="1" t="s">
        <v>2775</v>
      </c>
      <c r="M322" s="1" t="s">
        <v>2295</v>
      </c>
      <c r="N322" s="1" t="s">
        <v>139</v>
      </c>
      <c r="O322" s="1" t="s">
        <v>367</v>
      </c>
      <c r="Q322" s="1" t="s">
        <v>2776</v>
      </c>
      <c r="R322" s="1" t="s">
        <v>2295</v>
      </c>
      <c r="S322" s="1" t="s">
        <v>273</v>
      </c>
      <c r="T322" s="1" t="s">
        <v>1458</v>
      </c>
      <c r="U322" s="4" t="s">
        <v>2789</v>
      </c>
      <c r="V322" s="4" t="str">
        <f>IFERROR(__xludf.DUMMYFUNCTION("SPLIT(F322, "" "")"),"математику,")</f>
        <v>математику,</v>
      </c>
      <c r="W322" s="1" t="str">
        <f>IFERROR(__xludf.DUMMYFUNCTION("""COMPUTED_VALUE"""),"дремучие")</f>
        <v>дремучие</v>
      </c>
      <c r="X322" s="1" t="str">
        <f>IFERROR(__xludf.DUMMYFUNCTION("""COMPUTED_VALUE"""),"романы")</f>
        <v>романы</v>
      </c>
      <c r="Y322" s="1" t="str">
        <f>IFERROR(__xludf.DUMMYFUNCTION("""COMPUTED_VALUE"""),"Казанцева")</f>
        <v>Казанцева</v>
      </c>
      <c r="Z322" s="1" t="str">
        <f>IFERROR(__xludf.DUMMYFUNCTION("""COMPUTED_VALUE"""),"и")</f>
        <v>и</v>
      </c>
      <c r="AA322" s="1" t="str">
        <f>IFERROR(__xludf.DUMMYFUNCTION("""COMPUTED_VALUE"""),"ранних")</f>
        <v>ранних</v>
      </c>
    </row>
    <row r="323" ht="14.25" customHeight="1">
      <c r="A323" s="1" t="s">
        <v>2790</v>
      </c>
      <c r="B323" s="1" t="s">
        <v>720</v>
      </c>
      <c r="C323" s="2" t="s">
        <v>2791</v>
      </c>
      <c r="D323" s="7" t="s">
        <v>722</v>
      </c>
      <c r="E323" s="1" t="s">
        <v>25</v>
      </c>
      <c r="F323" s="4" t="s">
        <v>2792</v>
      </c>
      <c r="G323" s="7" t="s">
        <v>722</v>
      </c>
      <c r="H323" s="7" t="s">
        <v>2793</v>
      </c>
      <c r="I323" s="4" t="s">
        <v>2773</v>
      </c>
      <c r="J323" s="1" t="s">
        <v>2774</v>
      </c>
      <c r="L323" s="1" t="s">
        <v>2775</v>
      </c>
      <c r="M323" s="1" t="s">
        <v>2295</v>
      </c>
      <c r="N323" s="1" t="s">
        <v>139</v>
      </c>
      <c r="O323" s="1" t="s">
        <v>367</v>
      </c>
      <c r="Q323" s="1" t="s">
        <v>2776</v>
      </c>
      <c r="R323" s="1" t="s">
        <v>2295</v>
      </c>
      <c r="S323" s="1" t="s">
        <v>273</v>
      </c>
      <c r="T323" s="1" t="s">
        <v>1458</v>
      </c>
      <c r="U323" s="4" t="s">
        <v>2794</v>
      </c>
      <c r="V323" s="4" t="str">
        <f>IFERROR(__xludf.DUMMYFUNCTION("SPLIT(F323, "" "")"),"Демидову")</f>
        <v>Демидову</v>
      </c>
      <c r="W323" s="1" t="str">
        <f>IFERROR(__xludf.DUMMYFUNCTION("""COMPUTED_VALUE"""),"Олегу")</f>
        <v>Олегу</v>
      </c>
      <c r="X323" s="1" t="str">
        <f>IFERROR(__xludf.DUMMYFUNCTION("""COMPUTED_VALUE"""),"побыстрее")</f>
        <v>побыстрее</v>
      </c>
      <c r="Y323" s="1" t="str">
        <f>IFERROR(__xludf.DUMMYFUNCTION("""COMPUTED_VALUE"""),"очутиться")</f>
        <v>очутиться</v>
      </c>
      <c r="Z323" s="1" t="str">
        <f>IFERROR(__xludf.DUMMYFUNCTION("""COMPUTED_VALUE"""),"дома")</f>
        <v>дома</v>
      </c>
      <c r="AA323" s="1" t="str">
        <f>IFERROR(__xludf.DUMMYFUNCTION("""COMPUTED_VALUE"""),"и")</f>
        <v>и</v>
      </c>
    </row>
    <row r="324" ht="14.25" customHeight="1">
      <c r="A324" s="1" t="s">
        <v>2795</v>
      </c>
      <c r="B324" s="1" t="s">
        <v>326</v>
      </c>
      <c r="C324" s="2" t="s">
        <v>2796</v>
      </c>
      <c r="D324" s="7" t="s">
        <v>328</v>
      </c>
      <c r="E324" s="1" t="s">
        <v>25</v>
      </c>
      <c r="F324" s="4" t="s">
        <v>2797</v>
      </c>
      <c r="G324" s="7" t="s">
        <v>328</v>
      </c>
      <c r="H324" s="7" t="s">
        <v>2798</v>
      </c>
      <c r="I324" s="4" t="s">
        <v>2773</v>
      </c>
      <c r="J324" s="1" t="s">
        <v>2774</v>
      </c>
      <c r="L324" s="1" t="s">
        <v>2775</v>
      </c>
      <c r="M324" s="1" t="s">
        <v>2295</v>
      </c>
      <c r="N324" s="1" t="s">
        <v>139</v>
      </c>
      <c r="O324" s="1" t="s">
        <v>367</v>
      </c>
      <c r="Q324" s="1" t="s">
        <v>2776</v>
      </c>
      <c r="R324" s="1" t="s">
        <v>2295</v>
      </c>
      <c r="S324" s="1" t="s">
        <v>273</v>
      </c>
      <c r="T324" s="1" t="s">
        <v>1458</v>
      </c>
      <c r="U324" s="4" t="s">
        <v>2799</v>
      </c>
      <c r="V324" s="4" t="str">
        <f>IFERROR(__xludf.DUMMYFUNCTION("SPLIT(F324, "" "")"),"жизни.")</f>
        <v>жизни.</v>
      </c>
    </row>
    <row r="325" ht="14.25" customHeight="1">
      <c r="A325" s="1" t="s">
        <v>2800</v>
      </c>
      <c r="B325" s="1" t="s">
        <v>414</v>
      </c>
      <c r="C325" s="2" t="s">
        <v>2801</v>
      </c>
      <c r="D325" s="7" t="s">
        <v>416</v>
      </c>
      <c r="E325" s="1" t="s">
        <v>25</v>
      </c>
      <c r="F325" s="4" t="s">
        <v>2802</v>
      </c>
      <c r="G325" s="7" t="s">
        <v>416</v>
      </c>
      <c r="H325" s="7" t="s">
        <v>86</v>
      </c>
      <c r="I325" s="4" t="s">
        <v>2773</v>
      </c>
      <c r="J325" s="1" t="s">
        <v>2774</v>
      </c>
      <c r="L325" s="1" t="s">
        <v>2775</v>
      </c>
      <c r="M325" s="1" t="s">
        <v>2295</v>
      </c>
      <c r="N325" s="1" t="s">
        <v>139</v>
      </c>
      <c r="O325" s="1" t="s">
        <v>367</v>
      </c>
      <c r="Q325" s="1" t="s">
        <v>2776</v>
      </c>
      <c r="R325" s="1" t="s">
        <v>2295</v>
      </c>
      <c r="S325" s="1" t="s">
        <v>273</v>
      </c>
      <c r="T325" s="1" t="s">
        <v>1458</v>
      </c>
      <c r="U325" s="4" t="s">
        <v>2803</v>
      </c>
      <c r="V325" s="4" t="str">
        <f>IFERROR(__xludf.DUMMYFUNCTION("SPLIT(F325, "" "")"),"жизни,")</f>
        <v>жизни,</v>
      </c>
      <c r="W325" s="1" t="str">
        <f>IFERROR(__xludf.DUMMYFUNCTION("""COMPUTED_VALUE"""),"Борис")</f>
        <v>Борис</v>
      </c>
      <c r="X325" s="1" t="str">
        <f>IFERROR(__xludf.DUMMYFUNCTION("""COMPUTED_VALUE"""),"Сергеевич")</f>
        <v>Сергеевич</v>
      </c>
      <c r="Y325" s="1" t="str">
        <f>IFERROR(__xludf.DUMMYFUNCTION("""COMPUTED_VALUE"""),"уверенно")</f>
        <v>уверенно</v>
      </c>
      <c r="Z325" s="1" t="str">
        <f>IFERROR(__xludf.DUMMYFUNCTION("""COMPUTED_VALUE"""),"направлял")</f>
        <v>направлял</v>
      </c>
      <c r="AA325" s="1" t="str">
        <f>IFERROR(__xludf.DUMMYFUNCTION("""COMPUTED_VALUE"""),"свои")</f>
        <v>свои</v>
      </c>
    </row>
    <row r="326" ht="14.25" customHeight="1">
      <c r="A326" s="1" t="s">
        <v>2804</v>
      </c>
      <c r="B326" s="1" t="s">
        <v>2805</v>
      </c>
      <c r="C326" s="2" t="s">
        <v>2806</v>
      </c>
      <c r="D326" s="7" t="s">
        <v>2807</v>
      </c>
      <c r="E326" s="1" t="s">
        <v>25</v>
      </c>
      <c r="F326" s="4" t="s">
        <v>2808</v>
      </c>
      <c r="G326" s="7" t="s">
        <v>2807</v>
      </c>
      <c r="H326" s="7" t="s">
        <v>2809</v>
      </c>
      <c r="I326" s="4" t="s">
        <v>2773</v>
      </c>
      <c r="J326" s="1" t="s">
        <v>2774</v>
      </c>
      <c r="L326" s="1" t="s">
        <v>2775</v>
      </c>
      <c r="M326" s="1" t="s">
        <v>2295</v>
      </c>
      <c r="N326" s="1" t="s">
        <v>139</v>
      </c>
      <c r="O326" s="1" t="s">
        <v>367</v>
      </c>
      <c r="Q326" s="1" t="s">
        <v>2776</v>
      </c>
      <c r="R326" s="1" t="s">
        <v>2295</v>
      </c>
      <c r="S326" s="1" t="s">
        <v>273</v>
      </c>
      <c r="T326" s="1" t="s">
        <v>1458</v>
      </c>
      <c r="U326" s="4" t="s">
        <v>2810</v>
      </c>
      <c r="V326" s="4" t="str">
        <f>IFERROR(__xludf.DUMMYFUNCTION("SPLIT(F326, "" "")"),"Козелкиным,")</f>
        <v>Козелкиным,</v>
      </c>
      <c r="W326" s="1" t="str">
        <f>IFERROR(__xludf.DUMMYFUNCTION("""COMPUTED_VALUE"""),"потому")</f>
        <v>потому</v>
      </c>
      <c r="X326" s="1" t="str">
        <f>IFERROR(__xludf.DUMMYFUNCTION("""COMPUTED_VALUE"""),"как")</f>
        <v>как</v>
      </c>
      <c r="Y326" s="1" t="str">
        <f>IFERROR(__xludf.DUMMYFUNCTION("""COMPUTED_VALUE"""),"пальтишко")</f>
        <v>пальтишко</v>
      </c>
      <c r="Z326" s="1" t="str">
        <f>IFERROR(__xludf.DUMMYFUNCTION("""COMPUTED_VALUE"""),"было")</f>
        <v>было</v>
      </c>
      <c r="AA326" s="1" t="str">
        <f>IFERROR(__xludf.DUMMYFUNCTION("""COMPUTED_VALUE"""),"наброшено")</f>
        <v>наброшено</v>
      </c>
    </row>
    <row r="327" ht="14.25" customHeight="1">
      <c r="A327" s="1" t="s">
        <v>2811</v>
      </c>
      <c r="B327" s="1" t="s">
        <v>1448</v>
      </c>
      <c r="C327" s="2" t="s">
        <v>2812</v>
      </c>
      <c r="D327" s="7" t="s">
        <v>1450</v>
      </c>
      <c r="E327" s="1" t="s">
        <v>25</v>
      </c>
      <c r="F327" s="4" t="s">
        <v>2813</v>
      </c>
      <c r="G327" s="7" t="s">
        <v>1450</v>
      </c>
      <c r="H327" s="7" t="s">
        <v>2814</v>
      </c>
      <c r="I327" s="4" t="s">
        <v>2773</v>
      </c>
      <c r="J327" s="1" t="s">
        <v>2774</v>
      </c>
      <c r="L327" s="1" t="s">
        <v>2775</v>
      </c>
      <c r="M327" s="1" t="s">
        <v>2295</v>
      </c>
      <c r="N327" s="1" t="s">
        <v>139</v>
      </c>
      <c r="O327" s="1" t="s">
        <v>367</v>
      </c>
      <c r="Q327" s="1" t="s">
        <v>2776</v>
      </c>
      <c r="R327" s="1" t="s">
        <v>2295</v>
      </c>
      <c r="S327" s="1" t="s">
        <v>273</v>
      </c>
      <c r="T327" s="1" t="s">
        <v>1458</v>
      </c>
      <c r="U327" s="4" t="s">
        <v>2815</v>
      </c>
      <c r="V327" s="4" t="str">
        <f>IFERROR(__xludf.DUMMYFUNCTION("SPLIT(F327, "" "")"),"Вике")</f>
        <v>Вике</v>
      </c>
      <c r="W327" s="1" t="str">
        <f>IFERROR(__xludf.DUMMYFUNCTION("""COMPUTED_VALUE"""),"от")</f>
        <v>от</v>
      </c>
      <c r="X327" s="1" t="str">
        <f>IFERROR(__xludf.DUMMYFUNCTION("""COMPUTED_VALUE"""),"скуки")</f>
        <v>скуки</v>
      </c>
      <c r="Y327" s="1" t="str">
        <f>IFERROR(__xludf.DUMMYFUNCTION("""COMPUTED_VALUE"""),"базара")</f>
        <v>базара</v>
      </c>
      <c r="Z327" s="1" t="str">
        <f>IFERROR(__xludf.DUMMYFUNCTION("""COMPUTED_VALUE"""),"очень")</f>
        <v>очень</v>
      </c>
      <c r="AA327" s="1" t="str">
        <f>IFERROR(__xludf.DUMMYFUNCTION("""COMPUTED_VALUE"""),"хотелось.")</f>
        <v>хотелось.</v>
      </c>
    </row>
    <row r="328" ht="14.25" customHeight="1">
      <c r="A328" s="1" t="s">
        <v>2816</v>
      </c>
      <c r="B328" s="1" t="s">
        <v>289</v>
      </c>
      <c r="C328" s="2" t="s">
        <v>2817</v>
      </c>
      <c r="D328" s="7" t="s">
        <v>291</v>
      </c>
      <c r="E328" s="1" t="s">
        <v>25</v>
      </c>
      <c r="F328" s="4" t="s">
        <v>2818</v>
      </c>
      <c r="G328" s="7" t="s">
        <v>291</v>
      </c>
      <c r="H328" s="7" t="s">
        <v>2668</v>
      </c>
      <c r="I328" s="4" t="s">
        <v>2773</v>
      </c>
      <c r="J328" s="1" t="s">
        <v>2774</v>
      </c>
      <c r="L328" s="1" t="s">
        <v>2775</v>
      </c>
      <c r="M328" s="1" t="s">
        <v>2295</v>
      </c>
      <c r="N328" s="1" t="s">
        <v>139</v>
      </c>
      <c r="O328" s="1" t="s">
        <v>367</v>
      </c>
      <c r="Q328" s="1" t="s">
        <v>2776</v>
      </c>
      <c r="R328" s="1" t="s">
        <v>2295</v>
      </c>
      <c r="S328" s="1" t="s">
        <v>273</v>
      </c>
      <c r="T328" s="1" t="s">
        <v>1458</v>
      </c>
      <c r="U328" s="4" t="s">
        <v>2819</v>
      </c>
      <c r="V328" s="4" t="str">
        <f>IFERROR(__xludf.DUMMYFUNCTION("SPLIT(F328, "" "")"),"встрече.")</f>
        <v>встрече.</v>
      </c>
    </row>
    <row r="329" ht="14.25" customHeight="1">
      <c r="A329" s="1" t="s">
        <v>2820</v>
      </c>
      <c r="B329" s="1" t="s">
        <v>2821</v>
      </c>
      <c r="C329" s="2" t="s">
        <v>2822</v>
      </c>
      <c r="D329" s="7" t="s">
        <v>2823</v>
      </c>
      <c r="E329" s="1" t="s">
        <v>25</v>
      </c>
      <c r="F329" s="4" t="s">
        <v>2824</v>
      </c>
      <c r="G329" s="7" t="s">
        <v>2823</v>
      </c>
      <c r="H329" s="7" t="s">
        <v>2825</v>
      </c>
      <c r="I329" s="4" t="s">
        <v>2773</v>
      </c>
      <c r="J329" s="1" t="s">
        <v>2774</v>
      </c>
      <c r="L329" s="1" t="s">
        <v>2775</v>
      </c>
      <c r="M329" s="1" t="s">
        <v>2295</v>
      </c>
      <c r="N329" s="1" t="s">
        <v>139</v>
      </c>
      <c r="O329" s="1" t="s">
        <v>367</v>
      </c>
      <c r="Q329" s="1" t="s">
        <v>2776</v>
      </c>
      <c r="R329" s="1" t="s">
        <v>2295</v>
      </c>
      <c r="S329" s="1" t="s">
        <v>273</v>
      </c>
      <c r="T329" s="1" t="s">
        <v>1458</v>
      </c>
      <c r="U329" s="4" t="s">
        <v>2826</v>
      </c>
      <c r="V329" s="4" t="str">
        <f>IFERROR(__xludf.DUMMYFUNCTION("SPLIT(F329, "" "")"),"спину")</f>
        <v>спину</v>
      </c>
      <c r="W329" s="1" t="str">
        <f>IFERROR(__xludf.DUMMYFUNCTION("""COMPUTED_VALUE"""),"ей")</f>
        <v>ей</v>
      </c>
      <c r="X329" s="1" t="str">
        <f>IFERROR(__xludf.DUMMYFUNCTION("""COMPUTED_VALUE"""),"смотреть")</f>
        <v>смотреть</v>
      </c>
      <c r="Y329" s="1" t="str">
        <f>IFERROR(__xludf.DUMMYFUNCTION("""COMPUTED_VALUE"""),"не")</f>
        <v>не</v>
      </c>
      <c r="Z329" s="1" t="str">
        <f>IFERROR(__xludf.DUMMYFUNCTION("""COMPUTED_VALUE"""),"хотелось.")</f>
        <v>хотелось.</v>
      </c>
    </row>
    <row r="330" ht="14.25" customHeight="1">
      <c r="A330" s="1" t="s">
        <v>25</v>
      </c>
      <c r="B330" s="1" t="s">
        <v>1477</v>
      </c>
      <c r="C330" s="2"/>
      <c r="D330" s="7" t="s">
        <v>1478</v>
      </c>
      <c r="E330" s="1" t="s">
        <v>25</v>
      </c>
      <c r="F330" s="4" t="s">
        <v>2827</v>
      </c>
      <c r="G330" s="7" t="s">
        <v>1478</v>
      </c>
      <c r="H330" s="7" t="s">
        <v>1863</v>
      </c>
      <c r="I330" s="4" t="s">
        <v>2828</v>
      </c>
      <c r="J330" s="1" t="s">
        <v>2829</v>
      </c>
      <c r="K330" s="1" t="s">
        <v>1912</v>
      </c>
      <c r="L330" s="1" t="s">
        <v>2830</v>
      </c>
      <c r="M330" s="1" t="s">
        <v>2295</v>
      </c>
      <c r="N330" s="1" t="s">
        <v>2377</v>
      </c>
      <c r="O330" s="1" t="s">
        <v>67</v>
      </c>
      <c r="P330" s="1" t="s">
        <v>2831</v>
      </c>
      <c r="Q330" s="1" t="s">
        <v>2047</v>
      </c>
      <c r="R330" s="1" t="s">
        <v>2295</v>
      </c>
      <c r="S330" s="1" t="s">
        <v>70</v>
      </c>
      <c r="T330" s="1" t="s">
        <v>1458</v>
      </c>
      <c r="U330" s="4" t="s">
        <v>2832</v>
      </c>
      <c r="V330" s="4" t="str">
        <f>IFERROR(__xludf.DUMMYFUNCTION("SPLIT(F330, "" "")"),"чаще")</f>
        <v>чаще</v>
      </c>
      <c r="W330" s="1" t="str">
        <f>IFERROR(__xludf.DUMMYFUNCTION("""COMPUTED_VALUE"""),"всего")</f>
        <v>всего</v>
      </c>
      <c r="X330" s="1" t="str">
        <f>IFERROR(__xludf.DUMMYFUNCTION("""COMPUTED_VALUE"""),"информация")</f>
        <v>информация</v>
      </c>
      <c r="Y330" s="1" t="str">
        <f>IFERROR(__xludf.DUMMYFUNCTION("""COMPUTED_VALUE"""),"о")</f>
        <v>о</v>
      </c>
      <c r="Z330" s="1" t="str">
        <f>IFERROR(__xludf.DUMMYFUNCTION("""COMPUTED_VALUE"""),"стратегии")</f>
        <v>стратегии</v>
      </c>
      <c r="AA330" s="1" t="str">
        <f>IFERROR(__xludf.DUMMYFUNCTION("""COMPUTED_VALUE"""),"развития")</f>
        <v>развития</v>
      </c>
    </row>
    <row r="331" ht="14.25" customHeight="1">
      <c r="A331" s="1" t="s">
        <v>2833</v>
      </c>
      <c r="B331" s="1" t="s">
        <v>777</v>
      </c>
      <c r="C331" s="2" t="s">
        <v>2834</v>
      </c>
      <c r="D331" s="7" t="s">
        <v>779</v>
      </c>
      <c r="E331" s="1" t="s">
        <v>25</v>
      </c>
      <c r="F331" s="4" t="s">
        <v>2835</v>
      </c>
      <c r="G331" s="7" t="s">
        <v>779</v>
      </c>
      <c r="H331" s="7" t="s">
        <v>2836</v>
      </c>
      <c r="I331" s="4" t="s">
        <v>2837</v>
      </c>
      <c r="J331" s="1" t="s">
        <v>2838</v>
      </c>
      <c r="K331" s="1" t="s">
        <v>283</v>
      </c>
      <c r="L331" s="1" t="s">
        <v>2839</v>
      </c>
      <c r="M331" s="1" t="s">
        <v>2295</v>
      </c>
      <c r="N331" s="1" t="s">
        <v>51</v>
      </c>
      <c r="O331" s="1" t="s">
        <v>189</v>
      </c>
      <c r="P331" s="1" t="s">
        <v>2840</v>
      </c>
      <c r="S331" s="1" t="s">
        <v>273</v>
      </c>
      <c r="T331" s="1" t="s">
        <v>1458</v>
      </c>
      <c r="U331" s="4" t="s">
        <v>2841</v>
      </c>
      <c r="V331" s="4" t="str">
        <f>IFERROR(__xludf.DUMMYFUNCTION("SPLIT(F331, "" "")"),"Борису")</f>
        <v>Борису</v>
      </c>
      <c r="W331" s="1" t="str">
        <f>IFERROR(__xludf.DUMMYFUNCTION("""COMPUTED_VALUE"""),"Шергину")</f>
        <v>Шергину</v>
      </c>
      <c r="X331" s="1" t="str">
        <f>IFERROR(__xludf.DUMMYFUNCTION("""COMPUTED_VALUE"""),"вы")</f>
        <v>вы</v>
      </c>
      <c r="Y331" s="1" t="str">
        <f>IFERROR(__xludf.DUMMYFUNCTION("""COMPUTED_VALUE"""),"подбирались")</f>
        <v>подбирались</v>
      </c>
      <c r="Z331" s="1" t="str">
        <f>IFERROR(__xludf.DUMMYFUNCTION("""COMPUTED_VALUE"""),"долго,")</f>
        <v>долго,</v>
      </c>
      <c r="AA331" s="1" t="str">
        <f>IFERROR(__xludf.DUMMYFUNCTION("""COMPUTED_VALUE"""),"но")</f>
        <v>но</v>
      </c>
    </row>
    <row r="332" ht="14.25" customHeight="1">
      <c r="A332" s="1" t="s">
        <v>2842</v>
      </c>
      <c r="B332" s="1" t="s">
        <v>1274</v>
      </c>
      <c r="C332" s="2" t="s">
        <v>2843</v>
      </c>
      <c r="D332" s="7" t="s">
        <v>1276</v>
      </c>
      <c r="E332" s="1" t="s">
        <v>25</v>
      </c>
      <c r="F332" s="4" t="s">
        <v>2844</v>
      </c>
      <c r="G332" s="7" t="s">
        <v>1276</v>
      </c>
      <c r="H332" s="7" t="s">
        <v>2845</v>
      </c>
      <c r="I332" s="4" t="s">
        <v>2846</v>
      </c>
      <c r="J332" s="1" t="s">
        <v>2847</v>
      </c>
      <c r="K332" s="1" t="s">
        <v>1298</v>
      </c>
      <c r="L332" s="1" t="s">
        <v>2848</v>
      </c>
      <c r="M332" s="1" t="s">
        <v>2295</v>
      </c>
      <c r="N332" s="1" t="s">
        <v>139</v>
      </c>
      <c r="O332" s="1" t="s">
        <v>458</v>
      </c>
      <c r="Q332" s="1" t="s">
        <v>1916</v>
      </c>
      <c r="R332" s="1" t="s">
        <v>1914</v>
      </c>
      <c r="S332" s="1" t="s">
        <v>70</v>
      </c>
      <c r="T332" s="1" t="s">
        <v>1458</v>
      </c>
      <c r="U332" s="4" t="s">
        <v>2849</v>
      </c>
      <c r="V332" s="4" t="str">
        <f>IFERROR(__xludf.DUMMYFUNCTION("SPLIT(F332, "" "")"),"делом.")</f>
        <v>делом.</v>
      </c>
    </row>
    <row r="333" ht="14.25" customHeight="1">
      <c r="A333" s="1" t="s">
        <v>2850</v>
      </c>
      <c r="B333" s="1" t="s">
        <v>1448</v>
      </c>
      <c r="C333" s="2" t="s">
        <v>2851</v>
      </c>
      <c r="D333" s="7" t="s">
        <v>1450</v>
      </c>
      <c r="E333" s="1" t="s">
        <v>25</v>
      </c>
      <c r="F333" s="4" t="s">
        <v>2852</v>
      </c>
      <c r="G333" s="7" t="s">
        <v>1450</v>
      </c>
      <c r="H333" s="7" t="s">
        <v>2853</v>
      </c>
      <c r="I333" s="4" t="s">
        <v>2854</v>
      </c>
      <c r="J333" s="1" t="s">
        <v>2855</v>
      </c>
      <c r="K333" s="1" t="s">
        <v>2201</v>
      </c>
      <c r="L333" s="1" t="s">
        <v>2856</v>
      </c>
      <c r="M333" s="1" t="s">
        <v>2295</v>
      </c>
      <c r="N333" s="1" t="s">
        <v>2377</v>
      </c>
      <c r="O333" s="1" t="s">
        <v>67</v>
      </c>
      <c r="P333" s="1" t="s">
        <v>2046</v>
      </c>
      <c r="Q333" s="1" t="s">
        <v>2002</v>
      </c>
      <c r="R333" s="1" t="s">
        <v>2295</v>
      </c>
      <c r="S333" s="1" t="s">
        <v>70</v>
      </c>
      <c r="T333" s="1" t="s">
        <v>1458</v>
      </c>
      <c r="U333" s="4" t="s">
        <v>2857</v>
      </c>
      <c r="V333" s="4" t="str">
        <f>IFERROR(__xludf.DUMMYFUNCTION("SPLIT(F333, "" "")"),"детали")</f>
        <v>детали</v>
      </c>
      <c r="W333" s="1" t="str">
        <f>IFERROR(__xludf.DUMMYFUNCTION("""COMPUTED_VALUE"""),"плана")</f>
        <v>плана</v>
      </c>
      <c r="X333" s="1" t="str">
        <f>IFERROR(__xludf.DUMMYFUNCTION("""COMPUTED_VALUE"""),"не")</f>
        <v>не</v>
      </c>
      <c r="Y333" s="1" t="str">
        <f>IFERROR(__xludf.DUMMYFUNCTION("""COMPUTED_VALUE"""),"раскрываются.")</f>
        <v>раскрываются.</v>
      </c>
    </row>
    <row r="334" ht="14.25" customHeight="1">
      <c r="A334" s="1" t="s">
        <v>2858</v>
      </c>
      <c r="B334" s="1" t="s">
        <v>194</v>
      </c>
      <c r="C334" s="2" t="s">
        <v>2859</v>
      </c>
      <c r="D334" s="7" t="s">
        <v>196</v>
      </c>
      <c r="E334" s="1" t="s">
        <v>25</v>
      </c>
      <c r="F334" s="4" t="s">
        <v>2860</v>
      </c>
      <c r="G334" s="7" t="s">
        <v>196</v>
      </c>
      <c r="H334" s="7" t="s">
        <v>2184</v>
      </c>
      <c r="I334" s="4" t="s">
        <v>2861</v>
      </c>
      <c r="J334" s="1" t="s">
        <v>2862</v>
      </c>
      <c r="L334" s="1" t="s">
        <v>2863</v>
      </c>
      <c r="M334" s="1" t="s">
        <v>2295</v>
      </c>
      <c r="N334" s="1" t="s">
        <v>2377</v>
      </c>
      <c r="O334" s="1" t="s">
        <v>67</v>
      </c>
      <c r="P334" s="1" t="s">
        <v>2763</v>
      </c>
      <c r="Q334" s="1" t="s">
        <v>2047</v>
      </c>
      <c r="R334" s="1" t="s">
        <v>2295</v>
      </c>
      <c r="S334" s="1" t="s">
        <v>70</v>
      </c>
      <c r="T334" s="1" t="s">
        <v>1458</v>
      </c>
      <c r="U334" s="4" t="s">
        <v>2864</v>
      </c>
      <c r="V334" s="4" t="str">
        <f>IFERROR(__xludf.DUMMYFUNCTION("SPLIT(F334, "" "")"),"политической")</f>
        <v>политической</v>
      </c>
      <c r="W334" s="1" t="str">
        <f>IFERROR(__xludf.DUMMYFUNCTION("""COMPUTED_VALUE"""),"конкуренции,")</f>
        <v>конкуренции,</v>
      </c>
      <c r="X334" s="1" t="str">
        <f>IFERROR(__xludf.DUMMYFUNCTION("""COMPUTED_VALUE"""),"а")</f>
        <v>а</v>
      </c>
      <c r="Y334" s="1" t="str">
        <f>IFERROR(__xludf.DUMMYFUNCTION("""COMPUTED_VALUE"""),"потому")</f>
        <v>потому</v>
      </c>
      <c r="Z334" s="1" t="str">
        <f>IFERROR(__xludf.DUMMYFUNCTION("""COMPUTED_VALUE"""),"без")</f>
        <v>без</v>
      </c>
      <c r="AA334" s="1" t="str">
        <f>IFERROR(__xludf.DUMMYFUNCTION("""COMPUTED_VALUE"""),"опаски")</f>
        <v>опаски</v>
      </c>
    </row>
    <row r="335" ht="14.25" customHeight="1">
      <c r="A335" s="1" t="s">
        <v>2865</v>
      </c>
      <c r="B335" s="1" t="s">
        <v>2866</v>
      </c>
      <c r="C335" s="2" t="s">
        <v>2867</v>
      </c>
      <c r="D335" s="7" t="s">
        <v>2868</v>
      </c>
      <c r="E335" s="1" t="s">
        <v>25</v>
      </c>
      <c r="F335" s="4" t="s">
        <v>2869</v>
      </c>
      <c r="G335" s="7" t="s">
        <v>2868</v>
      </c>
      <c r="H335" s="7" t="s">
        <v>2870</v>
      </c>
      <c r="I335" s="4" t="s">
        <v>2871</v>
      </c>
      <c r="J335" s="1" t="s">
        <v>2872</v>
      </c>
      <c r="K335" s="1" t="s">
        <v>905</v>
      </c>
      <c r="L335" s="1" t="s">
        <v>2873</v>
      </c>
      <c r="M335" s="1" t="s">
        <v>2295</v>
      </c>
      <c r="N335" s="1" t="s">
        <v>51</v>
      </c>
      <c r="O335" s="1" t="s">
        <v>67</v>
      </c>
      <c r="P335" s="1" t="s">
        <v>2874</v>
      </c>
      <c r="Q335" s="1" t="s">
        <v>1916</v>
      </c>
      <c r="R335" s="1" t="s">
        <v>2295</v>
      </c>
      <c r="S335" s="1" t="s">
        <v>70</v>
      </c>
      <c r="T335" s="1" t="s">
        <v>1458</v>
      </c>
      <c r="U335" s="4" t="s">
        <v>2875</v>
      </c>
      <c r="V335" s="4" t="str">
        <f>IFERROR(__xludf.DUMMYFUNCTION("SPLIT(F335, "" "")"),"имени")</f>
        <v>имени</v>
      </c>
      <c r="W335" s="1" t="str">
        <f>IFERROR(__xludf.DUMMYFUNCTION("""COMPUTED_VALUE"""),"концептуализма,")</f>
        <v>концептуализма,</v>
      </c>
      <c r="X335" s="1" t="str">
        <f>IFERROR(__xludf.DUMMYFUNCTION("""COMPUTED_VALUE"""),"но")</f>
        <v>но</v>
      </c>
      <c r="Y335" s="1" t="str">
        <f>IFERROR(__xludf.DUMMYFUNCTION("""COMPUTED_VALUE"""),"и")</f>
        <v>и</v>
      </c>
      <c r="Z335" s="1" t="str">
        <f>IFERROR(__xludf.DUMMYFUNCTION("""COMPUTED_VALUE"""),"памятуя")</f>
        <v>памятуя</v>
      </c>
      <c r="AA335" s="1" t="str">
        <f>IFERROR(__xludf.DUMMYFUNCTION("""COMPUTED_VALUE"""),"все-таки")</f>
        <v>все-таки</v>
      </c>
    </row>
    <row r="336" ht="14.25" customHeight="1">
      <c r="A336" s="1" t="s">
        <v>627</v>
      </c>
      <c r="B336" s="1" t="s">
        <v>2876</v>
      </c>
      <c r="C336" s="2" t="s">
        <v>2672</v>
      </c>
      <c r="D336" s="7" t="s">
        <v>2877</v>
      </c>
      <c r="E336" s="1" t="s">
        <v>25</v>
      </c>
      <c r="F336" s="4" t="s">
        <v>2878</v>
      </c>
      <c r="G336" s="7" t="s">
        <v>2877</v>
      </c>
      <c r="H336" s="7" t="s">
        <v>2879</v>
      </c>
      <c r="I336" s="4" t="s">
        <v>2880</v>
      </c>
      <c r="J336" s="1" t="s">
        <v>2087</v>
      </c>
      <c r="K336" s="1" t="s">
        <v>745</v>
      </c>
      <c r="L336" s="1" t="s">
        <v>2881</v>
      </c>
      <c r="M336" s="1" t="s">
        <v>2295</v>
      </c>
      <c r="N336" s="1" t="s">
        <v>139</v>
      </c>
      <c r="O336" s="1" t="s">
        <v>367</v>
      </c>
      <c r="Q336" s="1" t="s">
        <v>1916</v>
      </c>
      <c r="R336" s="1" t="s">
        <v>2295</v>
      </c>
      <c r="S336" s="1" t="s">
        <v>70</v>
      </c>
      <c r="T336" s="1" t="s">
        <v>1458</v>
      </c>
      <c r="U336" s="4" t="s">
        <v>2882</v>
      </c>
      <c r="V336" s="4" t="str">
        <f>IFERROR(__xludf.DUMMYFUNCTION("SPLIT(F336, "" "")"),"Молодой.")</f>
        <v>Молодой.</v>
      </c>
    </row>
    <row r="337" ht="14.25" customHeight="1">
      <c r="A337" s="1" t="s">
        <v>2883</v>
      </c>
      <c r="B337" s="1" t="s">
        <v>382</v>
      </c>
      <c r="C337" s="2" t="s">
        <v>2884</v>
      </c>
      <c r="D337" s="7" t="s">
        <v>384</v>
      </c>
      <c r="E337" s="1" t="s">
        <v>25</v>
      </c>
      <c r="F337" s="4" t="s">
        <v>2885</v>
      </c>
      <c r="G337" s="7" t="s">
        <v>384</v>
      </c>
      <c r="H337" s="7" t="s">
        <v>1521</v>
      </c>
      <c r="I337" s="4" t="s">
        <v>2880</v>
      </c>
      <c r="J337" s="1" t="s">
        <v>2087</v>
      </c>
      <c r="K337" s="1" t="s">
        <v>745</v>
      </c>
      <c r="L337" s="1" t="s">
        <v>2881</v>
      </c>
      <c r="M337" s="1" t="s">
        <v>2295</v>
      </c>
      <c r="N337" s="1" t="s">
        <v>139</v>
      </c>
      <c r="O337" s="1" t="s">
        <v>367</v>
      </c>
      <c r="Q337" s="1" t="s">
        <v>1916</v>
      </c>
      <c r="R337" s="1" t="s">
        <v>2295</v>
      </c>
      <c r="S337" s="1" t="s">
        <v>70</v>
      </c>
      <c r="T337" s="1" t="s">
        <v>1458</v>
      </c>
      <c r="U337" s="4" t="s">
        <v>2886</v>
      </c>
      <c r="V337" s="4" t="str">
        <f>IFERROR(__xludf.DUMMYFUNCTION("SPLIT(F337, "" "")"),"тому,")</f>
        <v>тому,</v>
      </c>
      <c r="W337" s="1" t="str">
        <f>IFERROR(__xludf.DUMMYFUNCTION("""COMPUTED_VALUE"""),"что")</f>
        <v>что</v>
      </c>
      <c r="X337" s="1" t="str">
        <f>IFERROR(__xludf.DUMMYFUNCTION("""COMPUTED_VALUE"""),"его")</f>
        <v>его</v>
      </c>
      <c r="Y337" s="1" t="str">
        <f>IFERROR(__xludf.DUMMYFUNCTION("""COMPUTED_VALUE"""),"еще")</f>
        <v>еще</v>
      </c>
      <c r="Z337" s="1" t="str">
        <f>IFERROR(__xludf.DUMMYFUNCTION("""COMPUTED_VALUE"""),"волнуют")</f>
        <v>волнуют</v>
      </c>
      <c r="AA337" s="1" t="str">
        <f>IFERROR(__xludf.DUMMYFUNCTION("""COMPUTED_VALUE"""),"такие")</f>
        <v>такие</v>
      </c>
    </row>
    <row r="338" ht="14.25" customHeight="1">
      <c r="A338" s="1" t="s">
        <v>627</v>
      </c>
      <c r="B338" s="1" t="s">
        <v>382</v>
      </c>
      <c r="C338" s="2" t="s">
        <v>2672</v>
      </c>
      <c r="D338" s="7" t="s">
        <v>384</v>
      </c>
      <c r="E338" s="1" t="s">
        <v>25</v>
      </c>
      <c r="F338" s="4" t="s">
        <v>2887</v>
      </c>
      <c r="G338" s="7" t="s">
        <v>384</v>
      </c>
      <c r="H338" s="7" t="s">
        <v>2879</v>
      </c>
      <c r="I338" s="4" t="s">
        <v>2880</v>
      </c>
      <c r="J338" s="1" t="s">
        <v>2087</v>
      </c>
      <c r="K338" s="1" t="s">
        <v>745</v>
      </c>
      <c r="L338" s="1" t="s">
        <v>2881</v>
      </c>
      <c r="M338" s="1" t="s">
        <v>2295</v>
      </c>
      <c r="N338" s="1" t="s">
        <v>139</v>
      </c>
      <c r="O338" s="1" t="s">
        <v>367</v>
      </c>
      <c r="Q338" s="1" t="s">
        <v>1916</v>
      </c>
      <c r="R338" s="1" t="s">
        <v>2295</v>
      </c>
      <c r="S338" s="1" t="s">
        <v>70</v>
      </c>
      <c r="T338" s="1" t="s">
        <v>1458</v>
      </c>
      <c r="U338" s="4" t="s">
        <v>2888</v>
      </c>
      <c r="V338" s="4" t="str">
        <f>IFERROR(__xludf.DUMMYFUNCTION("SPLIT(F338, "" "")"),"Молодой.")</f>
        <v>Молодой.</v>
      </c>
    </row>
    <row r="339" ht="14.25" customHeight="1">
      <c r="A339" s="1" t="s">
        <v>2889</v>
      </c>
      <c r="B339" s="1" t="s">
        <v>382</v>
      </c>
      <c r="C339" s="2" t="s">
        <v>2890</v>
      </c>
      <c r="D339" s="7" t="s">
        <v>384</v>
      </c>
      <c r="E339" s="1" t="s">
        <v>25</v>
      </c>
      <c r="F339" s="4" t="s">
        <v>2891</v>
      </c>
      <c r="G339" s="7" t="s">
        <v>384</v>
      </c>
      <c r="H339" s="7" t="s">
        <v>1521</v>
      </c>
      <c r="I339" s="4" t="s">
        <v>2880</v>
      </c>
      <c r="J339" s="1" t="s">
        <v>2087</v>
      </c>
      <c r="K339" s="1" t="s">
        <v>745</v>
      </c>
      <c r="L339" s="1" t="s">
        <v>2881</v>
      </c>
      <c r="M339" s="1" t="s">
        <v>2295</v>
      </c>
      <c r="N339" s="1" t="s">
        <v>139</v>
      </c>
      <c r="O339" s="1" t="s">
        <v>367</v>
      </c>
      <c r="Q339" s="1" t="s">
        <v>1916</v>
      </c>
      <c r="R339" s="1" t="s">
        <v>2295</v>
      </c>
      <c r="S339" s="1" t="s">
        <v>70</v>
      </c>
      <c r="T339" s="1" t="s">
        <v>1458</v>
      </c>
      <c r="U339" s="4" t="s">
        <v>2892</v>
      </c>
      <c r="V339" s="4" t="str">
        <f>IFERROR(__xludf.DUMMYFUNCTION("SPLIT(F339, "" "")"),"тому,")</f>
        <v>тому,</v>
      </c>
      <c r="W339" s="1" t="str">
        <f>IFERROR(__xludf.DUMMYFUNCTION("""COMPUTED_VALUE"""),"что")</f>
        <v>что</v>
      </c>
      <c r="X339" s="1" t="str">
        <f>IFERROR(__xludf.DUMMYFUNCTION("""COMPUTED_VALUE"""),"Фил")</f>
        <v>Фил</v>
      </c>
      <c r="Y339" s="1" t="str">
        <f>IFERROR(__xludf.DUMMYFUNCTION("""COMPUTED_VALUE"""),"―")</f>
        <v>―</v>
      </c>
      <c r="Z339" s="1" t="str">
        <f>IFERROR(__xludf.DUMMYFUNCTION("""COMPUTED_VALUE"""),"тезка")</f>
        <v>тезка</v>
      </c>
      <c r="AA339" s="1" t="str">
        <f>IFERROR(__xludf.DUMMYFUNCTION("""COMPUTED_VALUE"""),"его")</f>
        <v>его</v>
      </c>
      <c r="AB339" s="1" t="str">
        <f>IFERROR(__xludf.DUMMYFUNCTION("""COMPUTED_VALUE"""),"сына.")</f>
        <v>сына.</v>
      </c>
    </row>
    <row r="340" ht="14.25" customHeight="1">
      <c r="A340" s="1" t="s">
        <v>2893</v>
      </c>
      <c r="B340" s="1" t="s">
        <v>2894</v>
      </c>
      <c r="C340" s="2" t="s">
        <v>2895</v>
      </c>
      <c r="D340" s="7" t="s">
        <v>2896</v>
      </c>
      <c r="E340" s="1" t="s">
        <v>25</v>
      </c>
      <c r="F340" s="4" t="s">
        <v>2897</v>
      </c>
      <c r="G340" s="7" t="s">
        <v>2896</v>
      </c>
      <c r="H340" s="7" t="s">
        <v>77</v>
      </c>
      <c r="I340" s="4" t="s">
        <v>2880</v>
      </c>
      <c r="J340" s="1" t="s">
        <v>2087</v>
      </c>
      <c r="K340" s="1" t="s">
        <v>745</v>
      </c>
      <c r="L340" s="1" t="s">
        <v>2881</v>
      </c>
      <c r="M340" s="1" t="s">
        <v>2295</v>
      </c>
      <c r="N340" s="1" t="s">
        <v>139</v>
      </c>
      <c r="O340" s="1" t="s">
        <v>367</v>
      </c>
      <c r="Q340" s="1" t="s">
        <v>1916</v>
      </c>
      <c r="R340" s="1" t="s">
        <v>2295</v>
      </c>
      <c r="S340" s="1" t="s">
        <v>70</v>
      </c>
      <c r="T340" s="1" t="s">
        <v>1458</v>
      </c>
      <c r="U340" s="4" t="s">
        <v>2898</v>
      </c>
      <c r="V340" s="4" t="str">
        <f>IFERROR(__xludf.DUMMYFUNCTION("SPLIT(F340, "" "")"),"отсутствию")</f>
        <v>отсутствию</v>
      </c>
      <c r="W340" s="1" t="str">
        <f>IFERROR(__xludf.DUMMYFUNCTION("""COMPUTED_VALUE"""),"французов")</f>
        <v>французов</v>
      </c>
      <c r="X340" s="1" t="str">
        <f>IFERROR(__xludf.DUMMYFUNCTION("""COMPUTED_VALUE"""),"на")</f>
        <v>на</v>
      </c>
      <c r="Y340" s="1" t="str">
        <f>IFERROR(__xludf.DUMMYFUNCTION("""COMPUTED_VALUE"""),"телеэкране,")</f>
        <v>телеэкране,</v>
      </c>
      <c r="Z340" s="1" t="str">
        <f>IFERROR(__xludf.DUMMYFUNCTION("""COMPUTED_VALUE"""),"ему")</f>
        <v>ему</v>
      </c>
      <c r="AA340" s="1" t="str">
        <f>IFERROR(__xludf.DUMMYFUNCTION("""COMPUTED_VALUE"""),"вдруг")</f>
        <v>вдруг</v>
      </c>
    </row>
    <row r="341" ht="14.25" customHeight="1">
      <c r="A341" s="1" t="s">
        <v>2899</v>
      </c>
      <c r="B341" s="1" t="s">
        <v>494</v>
      </c>
      <c r="C341" s="2" t="s">
        <v>2900</v>
      </c>
      <c r="D341" s="7" t="s">
        <v>496</v>
      </c>
      <c r="E341" s="1" t="s">
        <v>25</v>
      </c>
      <c r="F341" s="4" t="s">
        <v>2901</v>
      </c>
      <c r="G341" s="7" t="s">
        <v>496</v>
      </c>
      <c r="H341" s="7" t="s">
        <v>1521</v>
      </c>
      <c r="I341" s="4" t="s">
        <v>2880</v>
      </c>
      <c r="J341" s="1" t="s">
        <v>2087</v>
      </c>
      <c r="K341" s="1" t="s">
        <v>745</v>
      </c>
      <c r="L341" s="1" t="s">
        <v>2881</v>
      </c>
      <c r="M341" s="1" t="s">
        <v>2295</v>
      </c>
      <c r="N341" s="1" t="s">
        <v>139</v>
      </c>
      <c r="O341" s="1" t="s">
        <v>367</v>
      </c>
      <c r="Q341" s="1" t="s">
        <v>1916</v>
      </c>
      <c r="R341" s="1" t="s">
        <v>2295</v>
      </c>
      <c r="S341" s="1" t="s">
        <v>70</v>
      </c>
      <c r="T341" s="1" t="s">
        <v>1458</v>
      </c>
      <c r="U341" s="4" t="s">
        <v>2902</v>
      </c>
      <c r="V341" s="4" t="str">
        <f>IFERROR(__xludf.DUMMYFUNCTION("SPLIT(F341, "" "")"),"тому,")</f>
        <v>тому,</v>
      </c>
      <c r="W341" s="1" t="str">
        <f>IFERROR(__xludf.DUMMYFUNCTION("""COMPUTED_VALUE"""),"как")</f>
        <v>как</v>
      </c>
      <c r="X341" s="1" t="str">
        <f>IFERROR(__xludf.DUMMYFUNCTION("""COMPUTED_VALUE"""),"все")</f>
        <v>все</v>
      </c>
      <c r="Y341" s="1" t="str">
        <f>IFERROR(__xludf.DUMMYFUNCTION("""COMPUTED_VALUE"""),"вдруг")</f>
        <v>вдруг</v>
      </c>
      <c r="Z341" s="1" t="str">
        <f>IFERROR(__xludf.DUMMYFUNCTION("""COMPUTED_VALUE"""),"заговорили")</f>
        <v>заговорили</v>
      </c>
      <c r="AA341" s="1" t="str">
        <f>IFERROR(__xludf.DUMMYFUNCTION("""COMPUTED_VALUE"""),"про")</f>
        <v>про</v>
      </c>
    </row>
    <row r="342" ht="14.25" customHeight="1">
      <c r="A342" s="1" t="s">
        <v>627</v>
      </c>
      <c r="B342" s="1" t="s">
        <v>2876</v>
      </c>
      <c r="C342" s="2" t="s">
        <v>2672</v>
      </c>
      <c r="D342" s="7" t="s">
        <v>2877</v>
      </c>
      <c r="E342" s="1" t="s">
        <v>25</v>
      </c>
      <c r="F342" s="4" t="s">
        <v>2903</v>
      </c>
      <c r="G342" s="7" t="s">
        <v>2877</v>
      </c>
      <c r="H342" s="7" t="s">
        <v>2904</v>
      </c>
      <c r="I342" s="4" t="s">
        <v>2880</v>
      </c>
      <c r="J342" s="1" t="s">
        <v>2087</v>
      </c>
      <c r="K342" s="1" t="s">
        <v>745</v>
      </c>
      <c r="L342" s="1" t="s">
        <v>2881</v>
      </c>
      <c r="M342" s="1" t="s">
        <v>2295</v>
      </c>
      <c r="N342" s="1" t="s">
        <v>139</v>
      </c>
      <c r="O342" s="1" t="s">
        <v>367</v>
      </c>
      <c r="Q342" s="1" t="s">
        <v>1916</v>
      </c>
      <c r="R342" s="1" t="s">
        <v>2295</v>
      </c>
      <c r="S342" s="1" t="s">
        <v>70</v>
      </c>
      <c r="T342" s="1" t="s">
        <v>1458</v>
      </c>
      <c r="U342" s="4" t="s">
        <v>2905</v>
      </c>
      <c r="V342" s="4" t="str">
        <f>IFERROR(__xludf.DUMMYFUNCTION("SPLIT(F342, "" "")"),"Молодой")</f>
        <v>Молодой</v>
      </c>
      <c r="W342" s="1" t="str">
        <f>IFERROR(__xludf.DUMMYFUNCTION("""COMPUTED_VALUE"""),"и")</f>
        <v>и</v>
      </c>
      <c r="X342" s="1" t="str">
        <f>IFERROR(__xludf.DUMMYFUNCTION("""COMPUTED_VALUE"""),"некрасиво")</f>
        <v>некрасиво</v>
      </c>
      <c r="Y342" s="1" t="str">
        <f>IFERROR(__xludf.DUMMYFUNCTION("""COMPUTED_VALUE"""),"искривил")</f>
        <v>искривил</v>
      </c>
      <c r="Z342" s="1" t="str">
        <f>IFERROR(__xludf.DUMMYFUNCTION("""COMPUTED_VALUE"""),"свое")</f>
        <v>свое</v>
      </c>
      <c r="AA342" s="1" t="str">
        <f>IFERROR(__xludf.DUMMYFUNCTION("""COMPUTED_VALUE"""),"и")</f>
        <v>и</v>
      </c>
    </row>
    <row r="343" ht="14.25" customHeight="1">
      <c r="A343" s="1" t="s">
        <v>2906</v>
      </c>
      <c r="B343" s="1" t="s">
        <v>2876</v>
      </c>
      <c r="C343" s="2" t="s">
        <v>2907</v>
      </c>
      <c r="D343" s="7" t="s">
        <v>2877</v>
      </c>
      <c r="E343" s="1" t="s">
        <v>25</v>
      </c>
      <c r="F343" s="4" t="s">
        <v>2908</v>
      </c>
      <c r="G343" s="7" t="s">
        <v>2877</v>
      </c>
      <c r="H343" s="7" t="s">
        <v>2879</v>
      </c>
      <c r="I343" s="4" t="s">
        <v>2880</v>
      </c>
      <c r="J343" s="1" t="s">
        <v>2087</v>
      </c>
      <c r="K343" s="1" t="s">
        <v>745</v>
      </c>
      <c r="L343" s="1" t="s">
        <v>2881</v>
      </c>
      <c r="M343" s="1" t="s">
        <v>2295</v>
      </c>
      <c r="N343" s="1" t="s">
        <v>139</v>
      </c>
      <c r="O343" s="1" t="s">
        <v>367</v>
      </c>
      <c r="Q343" s="1" t="s">
        <v>1916</v>
      </c>
      <c r="R343" s="1" t="s">
        <v>2295</v>
      </c>
      <c r="S343" s="1" t="s">
        <v>70</v>
      </c>
      <c r="T343" s="1" t="s">
        <v>1458</v>
      </c>
      <c r="U343" s="4" t="s">
        <v>2909</v>
      </c>
      <c r="V343" s="4" t="str">
        <f>IFERROR(__xludf.DUMMYFUNCTION("SPLIT(F343, "" "")"),"Молодой.")</f>
        <v>Молодой.</v>
      </c>
    </row>
    <row r="344" ht="14.25" customHeight="1">
      <c r="A344" s="1" t="s">
        <v>2910</v>
      </c>
      <c r="B344" s="1" t="s">
        <v>2911</v>
      </c>
      <c r="C344" s="2" t="s">
        <v>2912</v>
      </c>
      <c r="D344" s="7" t="s">
        <v>2913</v>
      </c>
      <c r="E344" s="1" t="s">
        <v>25</v>
      </c>
      <c r="F344" s="4" t="s">
        <v>2914</v>
      </c>
      <c r="G344" s="7" t="s">
        <v>2913</v>
      </c>
      <c r="H344" s="7" t="s">
        <v>2915</v>
      </c>
      <c r="I344" s="4" t="s">
        <v>2880</v>
      </c>
      <c r="J344" s="1" t="s">
        <v>2087</v>
      </c>
      <c r="K344" s="1" t="s">
        <v>745</v>
      </c>
      <c r="L344" s="1" t="s">
        <v>2881</v>
      </c>
      <c r="M344" s="1" t="s">
        <v>2295</v>
      </c>
      <c r="N344" s="1" t="s">
        <v>139</v>
      </c>
      <c r="O344" s="1" t="s">
        <v>367</v>
      </c>
      <c r="Q344" s="1" t="s">
        <v>1916</v>
      </c>
      <c r="R344" s="1" t="s">
        <v>2295</v>
      </c>
      <c r="S344" s="1" t="s">
        <v>70</v>
      </c>
      <c r="T344" s="1" t="s">
        <v>1458</v>
      </c>
      <c r="U344" s="4" t="s">
        <v>2916</v>
      </c>
      <c r="V344" s="4" t="str">
        <f>IFERROR(__xludf.DUMMYFUNCTION("SPLIT(F344, "" "")"),"Молодой,")</f>
        <v>Молодой,</v>
      </c>
      <c r="W344" s="1" t="str">
        <f>IFERROR(__xludf.DUMMYFUNCTION("""COMPUTED_VALUE"""),"―")</f>
        <v>―</v>
      </c>
      <c r="X344" s="1" t="str">
        <f>IFERROR(__xludf.DUMMYFUNCTION("""COMPUTED_VALUE"""),"пару")</f>
        <v>пару</v>
      </c>
      <c r="Y344" s="1" t="str">
        <f>IFERROR(__xludf.DUMMYFUNCTION("""COMPUTED_VALUE"""),"раз")</f>
        <v>раз</v>
      </c>
      <c r="Z344" s="1" t="str">
        <f>IFERROR(__xludf.DUMMYFUNCTION("""COMPUTED_VALUE"""),"Уорхола")</f>
        <v>Уорхола</v>
      </c>
      <c r="AA344" s="1" t="str">
        <f>IFERROR(__xludf.DUMMYFUNCTION("""COMPUTED_VALUE"""),"упомяну,")</f>
        <v>упомяну,</v>
      </c>
      <c r="AB344" s="1" t="str">
        <f>IFERROR(__xludf.DUMMYFUNCTION("""COMPUTED_VALUE"""),"им")</f>
        <v>им</v>
      </c>
    </row>
    <row r="345" ht="14.25" customHeight="1">
      <c r="A345" s="1" t="s">
        <v>2917</v>
      </c>
      <c r="B345" s="1" t="s">
        <v>2918</v>
      </c>
      <c r="C345" s="2" t="s">
        <v>2919</v>
      </c>
      <c r="D345" s="7" t="s">
        <v>2920</v>
      </c>
      <c r="E345" s="1" t="s">
        <v>25</v>
      </c>
      <c r="F345" s="4" t="s">
        <v>2921</v>
      </c>
      <c r="G345" s="7" t="s">
        <v>2920</v>
      </c>
      <c r="H345" s="7" t="s">
        <v>2922</v>
      </c>
      <c r="I345" s="4" t="s">
        <v>2880</v>
      </c>
      <c r="J345" s="1" t="s">
        <v>2087</v>
      </c>
      <c r="K345" s="1" t="s">
        <v>745</v>
      </c>
      <c r="L345" s="1" t="s">
        <v>2881</v>
      </c>
      <c r="M345" s="1" t="s">
        <v>2295</v>
      </c>
      <c r="N345" s="1" t="s">
        <v>139</v>
      </c>
      <c r="O345" s="1" t="s">
        <v>367</v>
      </c>
      <c r="Q345" s="1" t="s">
        <v>1916</v>
      </c>
      <c r="R345" s="1" t="s">
        <v>2295</v>
      </c>
      <c r="S345" s="1" t="s">
        <v>70</v>
      </c>
      <c r="T345" s="1" t="s">
        <v>1458</v>
      </c>
      <c r="U345" s="4" t="s">
        <v>2923</v>
      </c>
      <c r="V345" s="4" t="str">
        <f>IFERROR(__xludf.DUMMYFUNCTION("SPLIT(F345, "" "")"),"Игоревым")</f>
        <v>Игоревым</v>
      </c>
      <c r="W345" s="1" t="str">
        <f>IFERROR(__xludf.DUMMYFUNCTION("""COMPUTED_VALUE"""),"недоумением.")</f>
        <v>недоумением.</v>
      </c>
    </row>
    <row r="346" ht="14.25" customHeight="1">
      <c r="A346" s="1" t="s">
        <v>2924</v>
      </c>
      <c r="B346" s="1" t="s">
        <v>1802</v>
      </c>
      <c r="C346" s="2" t="s">
        <v>2925</v>
      </c>
      <c r="D346" s="7" t="s">
        <v>1804</v>
      </c>
      <c r="E346" s="1" t="s">
        <v>25</v>
      </c>
      <c r="F346" s="4" t="s">
        <v>2926</v>
      </c>
      <c r="G346" s="7" t="s">
        <v>1804</v>
      </c>
      <c r="H346" s="7" t="s">
        <v>2927</v>
      </c>
      <c r="I346" s="4" t="s">
        <v>2928</v>
      </c>
      <c r="J346" s="1" t="s">
        <v>2929</v>
      </c>
      <c r="K346" s="1" t="s">
        <v>1256</v>
      </c>
      <c r="L346" s="1" t="s">
        <v>2930</v>
      </c>
      <c r="M346" s="1" t="s">
        <v>2295</v>
      </c>
      <c r="N346" s="1" t="s">
        <v>139</v>
      </c>
      <c r="O346" s="1" t="s">
        <v>458</v>
      </c>
      <c r="Q346" s="1" t="s">
        <v>1916</v>
      </c>
      <c r="R346" s="1" t="s">
        <v>2295</v>
      </c>
      <c r="S346" s="1" t="s">
        <v>70</v>
      </c>
      <c r="T346" s="1" t="s">
        <v>1458</v>
      </c>
      <c r="U346" s="4" t="s">
        <v>2931</v>
      </c>
      <c r="V346" s="4" t="str">
        <f>IFERROR(__xludf.DUMMYFUNCTION("SPLIT(F346, "" "")"),"Миру,")</f>
        <v>Миру,</v>
      </c>
      <c r="W346" s="1" t="str">
        <f>IFERROR(__xludf.DUMMYFUNCTION("""COMPUTED_VALUE"""),"―")</f>
        <v>―</v>
      </c>
      <c r="X346" s="1" t="str">
        <f>IFERROR(__xludf.DUMMYFUNCTION("""COMPUTED_VALUE"""),"сказал")</f>
        <v>сказал</v>
      </c>
      <c r="Y346" s="1" t="str">
        <f>IFERROR(__xludf.DUMMYFUNCTION("""COMPUTED_VALUE"""),"рокер,")</f>
        <v>рокер,</v>
      </c>
      <c r="Z346" s="1" t="str">
        <f>IFERROR(__xludf.DUMMYFUNCTION("""COMPUTED_VALUE"""),"―")</f>
        <v>―</v>
      </c>
      <c r="AA346" s="1" t="str">
        <f>IFERROR(__xludf.DUMMYFUNCTION("""COMPUTED_VALUE"""),"она")</f>
        <v>она</v>
      </c>
      <c r="AB346" s="1" t="str">
        <f>IFERROR(__xludf.DUMMYFUNCTION("""COMPUTED_VALUE"""),"всегда")</f>
        <v>всегда</v>
      </c>
      <c r="AC346" s="1" t="str">
        <f>IFERROR(__xludf.DUMMYFUNCTION("""COMPUTED_VALUE"""),"появляется")</f>
        <v>появляется</v>
      </c>
    </row>
    <row r="347" ht="14.25" customHeight="1">
      <c r="A347" s="1" t="s">
        <v>2932</v>
      </c>
      <c r="B347" s="1" t="s">
        <v>1365</v>
      </c>
      <c r="C347" s="2" t="s">
        <v>2933</v>
      </c>
      <c r="D347" s="7" t="s">
        <v>1367</v>
      </c>
      <c r="E347" s="1" t="s">
        <v>25</v>
      </c>
      <c r="F347" s="4" t="s">
        <v>2934</v>
      </c>
      <c r="G347" s="7" t="s">
        <v>1367</v>
      </c>
      <c r="H347" s="7" t="s">
        <v>2935</v>
      </c>
      <c r="I347" s="4" t="s">
        <v>2936</v>
      </c>
      <c r="J347" s="1" t="s">
        <v>2937</v>
      </c>
      <c r="K347" s="1" t="s">
        <v>455</v>
      </c>
      <c r="L347" s="1" t="s">
        <v>2938</v>
      </c>
      <c r="M347" s="1" t="s">
        <v>2295</v>
      </c>
      <c r="N347" s="1" t="s">
        <v>139</v>
      </c>
      <c r="O347" s="1" t="s">
        <v>367</v>
      </c>
      <c r="Q347" s="1" t="s">
        <v>2939</v>
      </c>
      <c r="R347" s="1" t="s">
        <v>2295</v>
      </c>
      <c r="S347" s="1" t="s">
        <v>273</v>
      </c>
      <c r="T347" s="1" t="s">
        <v>1458</v>
      </c>
      <c r="U347" s="4" t="s">
        <v>2940</v>
      </c>
      <c r="V347" s="4" t="str">
        <f>IFERROR(__xludf.DUMMYFUNCTION("SPLIT(F347, "" "")"),"оперу")</f>
        <v>оперу</v>
      </c>
      <c r="W347" s="1" t="str">
        <f>IFERROR(__xludf.DUMMYFUNCTION("""COMPUTED_VALUE"""),"послушать")</f>
        <v>послушать</v>
      </c>
      <c r="X347" s="1" t="str">
        <f>IFERROR(__xludf.DUMMYFUNCTION("""COMPUTED_VALUE"""),"—")</f>
        <v>—</v>
      </c>
      <c r="Y347" s="1" t="str">
        <f>IFERROR(__xludf.DUMMYFUNCTION("""COMPUTED_VALUE"""),"в")</f>
        <v>в</v>
      </c>
      <c r="Z347" s="1" t="str">
        <f>IFERROR(__xludf.DUMMYFUNCTION("""COMPUTED_VALUE"""),"семь")</f>
        <v>семь</v>
      </c>
      <c r="AA347" s="1" t="str">
        <f>IFERROR(__xludf.DUMMYFUNCTION("""COMPUTED_VALUE"""),"на")</f>
        <v>на</v>
      </c>
      <c r="AB347" s="1" t="str">
        <f>IFERROR(__xludf.DUMMYFUNCTION("""COMPUTED_VALUE"""),"втором")</f>
        <v>втором</v>
      </c>
    </row>
    <row r="348" ht="14.25" customHeight="1">
      <c r="A348" s="1" t="s">
        <v>2941</v>
      </c>
      <c r="B348" s="1" t="s">
        <v>1365</v>
      </c>
      <c r="C348" s="2" t="s">
        <v>2942</v>
      </c>
      <c r="D348" s="7" t="s">
        <v>1367</v>
      </c>
      <c r="E348" s="1" t="s">
        <v>197</v>
      </c>
      <c r="F348" s="4" t="s">
        <v>2943</v>
      </c>
      <c r="G348" s="7" t="s">
        <v>1367</v>
      </c>
      <c r="H348" s="7" t="s">
        <v>2944</v>
      </c>
      <c r="I348" s="4" t="s">
        <v>2945</v>
      </c>
      <c r="J348" s="1" t="s">
        <v>2946</v>
      </c>
      <c r="L348" s="1" t="s">
        <v>2947</v>
      </c>
      <c r="M348" s="1" t="s">
        <v>2295</v>
      </c>
      <c r="N348" s="1" t="s">
        <v>2377</v>
      </c>
      <c r="O348" s="1" t="s">
        <v>67</v>
      </c>
      <c r="P348" s="1" t="s">
        <v>2948</v>
      </c>
      <c r="Q348" s="1" t="s">
        <v>2002</v>
      </c>
      <c r="R348" s="1" t="s">
        <v>2295</v>
      </c>
      <c r="S348" s="1" t="s">
        <v>70</v>
      </c>
      <c r="T348" s="1" t="s">
        <v>1458</v>
      </c>
      <c r="U348" s="4" t="s">
        <v>2949</v>
      </c>
      <c r="V348" s="4" t="str">
        <f>IFERROR(__xludf.DUMMYFUNCTION("SPLIT(F348, "" "")"),"море")</f>
        <v>море</v>
      </c>
      <c r="W348" s="1" t="str">
        <f>IFERROR(__xludf.DUMMYFUNCTION("""COMPUTED_VALUE"""),"эсэмэсок.")</f>
        <v>эсэмэсок.</v>
      </c>
    </row>
    <row r="349" ht="14.25" customHeight="1">
      <c r="A349" s="1" t="s">
        <v>2950</v>
      </c>
      <c r="B349" s="1" t="s">
        <v>2951</v>
      </c>
      <c r="C349" s="2" t="s">
        <v>2952</v>
      </c>
      <c r="D349" s="7" t="s">
        <v>2953</v>
      </c>
      <c r="E349" s="1" t="s">
        <v>627</v>
      </c>
      <c r="F349" s="4" t="s">
        <v>2954</v>
      </c>
      <c r="G349" s="7" t="s">
        <v>2953</v>
      </c>
      <c r="H349" s="7" t="s">
        <v>1719</v>
      </c>
      <c r="I349" s="4" t="s">
        <v>2955</v>
      </c>
      <c r="J349" s="1" t="s">
        <v>2956</v>
      </c>
      <c r="K349" s="1" t="s">
        <v>797</v>
      </c>
      <c r="L349" s="1" t="s">
        <v>2957</v>
      </c>
      <c r="M349" s="1" t="s">
        <v>2295</v>
      </c>
      <c r="N349" s="1" t="s">
        <v>51</v>
      </c>
      <c r="O349" s="1" t="s">
        <v>1375</v>
      </c>
      <c r="P349" s="1" t="s">
        <v>53</v>
      </c>
      <c r="Q349" s="1" t="s">
        <v>1916</v>
      </c>
      <c r="R349" s="1" t="s">
        <v>2295</v>
      </c>
      <c r="S349" s="1" t="s">
        <v>70</v>
      </c>
      <c r="T349" s="1" t="s">
        <v>1458</v>
      </c>
      <c r="U349" s="4" t="s">
        <v>2958</v>
      </c>
      <c r="V349" s="4" t="str">
        <f>IFERROR(__xludf.DUMMYFUNCTION("SPLIT(F349, "" "")"),"настоящим,")</f>
        <v>настоящим,</v>
      </c>
      <c r="W349" s="1" t="str">
        <f>IFERROR(__xludf.DUMMYFUNCTION("""COMPUTED_VALUE"""),"Трусливый")</f>
        <v>Трусливый</v>
      </c>
      <c r="X349" s="1" t="str">
        <f>IFERROR(__xludf.DUMMYFUNCTION("""COMPUTED_VALUE"""),"Лев")</f>
        <v>Лев</v>
      </c>
      <c r="Y349" s="1" t="str">
        <f>IFERROR(__xludf.DUMMYFUNCTION("""COMPUTED_VALUE"""),"мечтает")</f>
        <v>мечтает</v>
      </c>
      <c r="Z349" s="1" t="str">
        <f>IFERROR(__xludf.DUMMYFUNCTION("""COMPUTED_VALUE"""),"о")</f>
        <v>о</v>
      </c>
      <c r="AA349" s="1" t="str">
        <f>IFERROR(__xludf.DUMMYFUNCTION("""COMPUTED_VALUE"""),"будущем.")</f>
        <v>будущем.</v>
      </c>
    </row>
    <row r="350" ht="14.25" customHeight="1">
      <c r="A350" s="1" t="s">
        <v>2959</v>
      </c>
      <c r="B350" s="1" t="s">
        <v>2504</v>
      </c>
      <c r="C350" s="2" t="s">
        <v>2960</v>
      </c>
      <c r="D350" s="7" t="s">
        <v>2506</v>
      </c>
      <c r="E350" s="1" t="s">
        <v>25</v>
      </c>
      <c r="F350" s="4" t="s">
        <v>2961</v>
      </c>
      <c r="G350" s="7" t="s">
        <v>2506</v>
      </c>
      <c r="H350" s="7" t="s">
        <v>2962</v>
      </c>
      <c r="I350" s="4" t="s">
        <v>2963</v>
      </c>
      <c r="J350" s="1" t="s">
        <v>2964</v>
      </c>
      <c r="K350" s="1" t="s">
        <v>2965</v>
      </c>
      <c r="L350" s="1" t="s">
        <v>2966</v>
      </c>
      <c r="M350" s="1" t="s">
        <v>2295</v>
      </c>
      <c r="N350" s="1" t="s">
        <v>139</v>
      </c>
      <c r="O350" s="1" t="s">
        <v>285</v>
      </c>
      <c r="Q350" s="1" t="s">
        <v>1916</v>
      </c>
      <c r="R350" s="1" t="s">
        <v>2295</v>
      </c>
      <c r="S350" s="1" t="s">
        <v>70</v>
      </c>
      <c r="T350" s="1" t="s">
        <v>1458</v>
      </c>
      <c r="U350" s="4" t="s">
        <v>2967</v>
      </c>
      <c r="V350" s="4" t="str">
        <f>IFERROR(__xludf.DUMMYFUNCTION("SPLIT(F350, "" "")"),"истории")</f>
        <v>истории</v>
      </c>
      <c r="W350" s="1" t="str">
        <f>IFERROR(__xludf.DUMMYFUNCTION("""COMPUTED_VALUE"""),"как")</f>
        <v>как</v>
      </c>
      <c r="X350" s="1" t="str">
        <f>IFERROR(__xludf.DUMMYFUNCTION("""COMPUTED_VALUE"""),"истории")</f>
        <v>истории</v>
      </c>
      <c r="Y350" s="1" t="str">
        <f>IFERROR(__xludf.DUMMYFUNCTION("""COMPUTED_VALUE"""),"отсутствия")</f>
        <v>отсутствия</v>
      </c>
      <c r="Z350" s="1" t="str">
        <f>IFERROR(__xludf.DUMMYFUNCTION("""COMPUTED_VALUE"""),"истины…")</f>
        <v>истины…</v>
      </c>
    </row>
    <row r="351" ht="14.25" customHeight="1">
      <c r="A351" s="1" t="s">
        <v>2968</v>
      </c>
      <c r="B351" s="1" t="s">
        <v>1448</v>
      </c>
      <c r="C351" s="2" t="s">
        <v>2969</v>
      </c>
      <c r="D351" s="7" t="s">
        <v>1450</v>
      </c>
      <c r="E351" s="1" t="s">
        <v>25</v>
      </c>
      <c r="F351" s="4" t="s">
        <v>2970</v>
      </c>
      <c r="G351" s="7" t="s">
        <v>1450</v>
      </c>
      <c r="H351" s="7" t="s">
        <v>2971</v>
      </c>
      <c r="I351" s="4" t="s">
        <v>2972</v>
      </c>
      <c r="J351" s="1" t="s">
        <v>2973</v>
      </c>
      <c r="K351" s="1" t="s">
        <v>1298</v>
      </c>
      <c r="L351" s="1" t="s">
        <v>2974</v>
      </c>
      <c r="M351" s="1" t="s">
        <v>2295</v>
      </c>
      <c r="N351" s="1" t="s">
        <v>139</v>
      </c>
      <c r="O351" s="1" t="s">
        <v>964</v>
      </c>
      <c r="Q351" s="1" t="s">
        <v>2975</v>
      </c>
      <c r="R351" s="1" t="s">
        <v>2295</v>
      </c>
      <c r="S351" s="1" t="s">
        <v>273</v>
      </c>
      <c r="T351" s="1" t="s">
        <v>1458</v>
      </c>
      <c r="U351" s="4" t="s">
        <v>2976</v>
      </c>
      <c r="V351" s="4" t="str">
        <f>IFERROR(__xludf.DUMMYFUNCTION("SPLIT(F351, "" "")"),"маме")</f>
        <v>маме</v>
      </c>
      <c r="W351" s="1" t="str">
        <f>IFERROR(__xludf.DUMMYFUNCTION("""COMPUTED_VALUE"""),"мешали")</f>
        <v>мешали</v>
      </c>
      <c r="X351" s="1" t="str">
        <f>IFERROR(__xludf.DUMMYFUNCTION("""COMPUTED_VALUE"""),"принципы:")</f>
        <v>принципы:</v>
      </c>
      <c r="Y351" s="1" t="str">
        <f>IFERROR(__xludf.DUMMYFUNCTION("""COMPUTED_VALUE"""),"мама")</f>
        <v>мама</v>
      </c>
      <c r="Z351" s="1" t="str">
        <f>IFERROR(__xludf.DUMMYFUNCTION("""COMPUTED_VALUE"""),"считала,")</f>
        <v>считала,</v>
      </c>
      <c r="AA351" s="1" t="str">
        <f>IFERROR(__xludf.DUMMYFUNCTION("""COMPUTED_VALUE"""),"что")</f>
        <v>что</v>
      </c>
    </row>
    <row r="352" ht="14.25" customHeight="1">
      <c r="A352" s="1" t="s">
        <v>2977</v>
      </c>
      <c r="B352" s="1" t="s">
        <v>1530</v>
      </c>
      <c r="C352" s="2" t="s">
        <v>2978</v>
      </c>
      <c r="D352" s="7" t="s">
        <v>1532</v>
      </c>
      <c r="E352" s="1" t="s">
        <v>25</v>
      </c>
      <c r="F352" s="4" t="s">
        <v>2979</v>
      </c>
      <c r="G352" s="7" t="s">
        <v>1532</v>
      </c>
      <c r="H352" s="7" t="s">
        <v>2980</v>
      </c>
      <c r="I352" s="4" t="s">
        <v>2972</v>
      </c>
      <c r="J352" s="1" t="s">
        <v>2973</v>
      </c>
      <c r="K352" s="1" t="s">
        <v>1298</v>
      </c>
      <c r="L352" s="1" t="s">
        <v>2974</v>
      </c>
      <c r="M352" s="1" t="s">
        <v>2295</v>
      </c>
      <c r="N352" s="1" t="s">
        <v>139</v>
      </c>
      <c r="O352" s="1" t="s">
        <v>964</v>
      </c>
      <c r="Q352" s="1" t="s">
        <v>2975</v>
      </c>
      <c r="R352" s="1" t="s">
        <v>2295</v>
      </c>
      <c r="S352" s="1" t="s">
        <v>273</v>
      </c>
      <c r="T352" s="1" t="s">
        <v>1458</v>
      </c>
      <c r="U352" s="4" t="s">
        <v>2981</v>
      </c>
      <c r="V352" s="4" t="str">
        <f>IFERROR(__xludf.DUMMYFUNCTION("SPLIT(F352, "" "")"),"очереди")</f>
        <v>очереди</v>
      </c>
      <c r="W352" s="1" t="str">
        <f>IFERROR(__xludf.DUMMYFUNCTION("""COMPUTED_VALUE"""),"среди")</f>
        <v>среди</v>
      </c>
      <c r="X352" s="1" t="str">
        <f>IFERROR(__xludf.DUMMYFUNCTION("""COMPUTED_VALUE"""),"криков")</f>
        <v>криков</v>
      </c>
      <c r="Y352" s="1" t="str">
        <f>IFERROR(__xludf.DUMMYFUNCTION("""COMPUTED_VALUE"""),"граждан")</f>
        <v>граждан</v>
      </c>
      <c r="Z352" s="1" t="str">
        <f>IFERROR(__xludf.DUMMYFUNCTION("""COMPUTED_VALUE"""),"и")</f>
        <v>и</v>
      </c>
      <c r="AA352" s="1" t="str">
        <f>IFERROR(__xludf.DUMMYFUNCTION("""COMPUTED_VALUE"""),"крикнуть")</f>
        <v>крикнуть</v>
      </c>
    </row>
    <row r="353" ht="14.25" customHeight="1">
      <c r="A353" s="1" t="s">
        <v>2982</v>
      </c>
      <c r="B353" s="1" t="s">
        <v>2983</v>
      </c>
      <c r="C353" s="2" t="s">
        <v>2984</v>
      </c>
      <c r="D353" s="7" t="s">
        <v>2985</v>
      </c>
      <c r="E353" s="1" t="s">
        <v>627</v>
      </c>
      <c r="F353" s="4" t="s">
        <v>2986</v>
      </c>
      <c r="G353" s="7" t="s">
        <v>2985</v>
      </c>
      <c r="H353" s="7" t="s">
        <v>2987</v>
      </c>
      <c r="I353" s="4" t="s">
        <v>2972</v>
      </c>
      <c r="J353" s="1" t="s">
        <v>2973</v>
      </c>
      <c r="K353" s="1" t="s">
        <v>1298</v>
      </c>
      <c r="L353" s="1" t="s">
        <v>2974</v>
      </c>
      <c r="M353" s="1" t="s">
        <v>2295</v>
      </c>
      <c r="N353" s="1" t="s">
        <v>139</v>
      </c>
      <c r="O353" s="1" t="s">
        <v>964</v>
      </c>
      <c r="Q353" s="1" t="s">
        <v>2975</v>
      </c>
      <c r="R353" s="1" t="s">
        <v>2295</v>
      </c>
      <c r="S353" s="1" t="s">
        <v>273</v>
      </c>
      <c r="T353" s="1" t="s">
        <v>1458</v>
      </c>
      <c r="U353" s="4" t="s">
        <v>2988</v>
      </c>
      <c r="V353" s="4" t="str">
        <f>IFERROR(__xludf.DUMMYFUNCTION("SPLIT(F353, "" "")"),"чаю")</f>
        <v>чаю</v>
      </c>
      <c r="W353" s="1" t="str">
        <f>IFERROR(__xludf.DUMMYFUNCTION("""COMPUTED_VALUE"""),"дает…»")</f>
        <v>дает…»</v>
      </c>
    </row>
    <row r="354" ht="14.25" customHeight="1">
      <c r="A354" s="1" t="s">
        <v>2989</v>
      </c>
      <c r="B354" s="1" t="s">
        <v>2687</v>
      </c>
      <c r="C354" s="2" t="s">
        <v>2990</v>
      </c>
      <c r="D354" s="7" t="s">
        <v>2689</v>
      </c>
      <c r="E354" s="1" t="s">
        <v>25</v>
      </c>
      <c r="F354" s="4" t="s">
        <v>2991</v>
      </c>
      <c r="G354" s="7" t="s">
        <v>2689</v>
      </c>
      <c r="H354" s="7" t="s">
        <v>2992</v>
      </c>
      <c r="I354" s="4" t="s">
        <v>2993</v>
      </c>
      <c r="J354" s="1" t="s">
        <v>2994</v>
      </c>
      <c r="K354" s="1" t="s">
        <v>811</v>
      </c>
      <c r="L354" s="1" t="s">
        <v>2995</v>
      </c>
      <c r="M354" s="1" t="s">
        <v>2295</v>
      </c>
      <c r="N354" s="1" t="s">
        <v>51</v>
      </c>
      <c r="O354" s="1" t="s">
        <v>1375</v>
      </c>
      <c r="P354" s="1" t="s">
        <v>53</v>
      </c>
      <c r="Q354" s="1" t="s">
        <v>1916</v>
      </c>
      <c r="R354" s="1" t="s">
        <v>2295</v>
      </c>
      <c r="S354" s="1" t="s">
        <v>70</v>
      </c>
      <c r="T354" s="1" t="s">
        <v>1458</v>
      </c>
      <c r="U354" s="4" t="s">
        <v>2996</v>
      </c>
      <c r="V354" s="4" t="str">
        <f>IFERROR(__xludf.DUMMYFUNCTION("SPLIT(F354, "" "")"),"стерильности")</f>
        <v>стерильности</v>
      </c>
      <c r="W354" s="1" t="str">
        <f>IFERROR(__xludf.DUMMYFUNCTION("""COMPUTED_VALUE"""),"и")</f>
        <v>и</v>
      </c>
      <c r="X354" s="1" t="str">
        <f>IFERROR(__xludf.DUMMYFUNCTION("""COMPUTED_VALUE"""),"правильности.")</f>
        <v>правильности.</v>
      </c>
    </row>
    <row r="355" ht="14.25" customHeight="1">
      <c r="A355" s="1" t="s">
        <v>2997</v>
      </c>
      <c r="B355" s="1" t="s">
        <v>1570</v>
      </c>
      <c r="C355" s="2" t="s">
        <v>2998</v>
      </c>
      <c r="D355" s="7" t="s">
        <v>1572</v>
      </c>
      <c r="E355" s="1" t="s">
        <v>25</v>
      </c>
      <c r="F355" s="4" t="s">
        <v>2999</v>
      </c>
      <c r="G355" s="7" t="s">
        <v>1572</v>
      </c>
      <c r="H355" s="7" t="s">
        <v>3000</v>
      </c>
      <c r="I355" s="4" t="s">
        <v>3001</v>
      </c>
      <c r="J355" s="1" t="s">
        <v>2200</v>
      </c>
      <c r="K355" s="1" t="s">
        <v>2201</v>
      </c>
      <c r="L355" s="1" t="s">
        <v>3002</v>
      </c>
      <c r="M355" s="1" t="s">
        <v>2295</v>
      </c>
      <c r="N355" s="1" t="s">
        <v>139</v>
      </c>
      <c r="O355" s="1" t="s">
        <v>458</v>
      </c>
      <c r="Q355" s="1" t="s">
        <v>1916</v>
      </c>
      <c r="R355" s="1" t="s">
        <v>2295</v>
      </c>
      <c r="S355" s="1" t="s">
        <v>70</v>
      </c>
      <c r="T355" s="1" t="s">
        <v>1458</v>
      </c>
      <c r="U355" s="4" t="s">
        <v>3003</v>
      </c>
      <c r="V355" s="4" t="str">
        <f>IFERROR(__xludf.DUMMYFUNCTION("SPLIT(F355, "" "")"),"тишину,")</f>
        <v>тишину,</v>
      </c>
      <c r="W355" s="1" t="str">
        <f>IFERROR(__xludf.DUMMYFUNCTION("""COMPUTED_VALUE"""),"и")</f>
        <v>и</v>
      </c>
      <c r="X355" s="1" t="str">
        <f>IFERROR(__xludf.DUMMYFUNCTION("""COMPUTED_VALUE"""),"узкогрудому,")</f>
        <v>узкогрудому,</v>
      </c>
      <c r="Y355" s="1" t="str">
        <f>IFERROR(__xludf.DUMMYFUNCTION("""COMPUTED_VALUE"""),"но")</f>
        <v>но</v>
      </c>
      <c r="Z355" s="1" t="str">
        <f>IFERROR(__xludf.DUMMYFUNCTION("""COMPUTED_VALUE"""),"жилистому")</f>
        <v>жилистому</v>
      </c>
      <c r="AA355" s="1" t="str">
        <f>IFERROR(__xludf.DUMMYFUNCTION("""COMPUTED_VALUE"""),"Игорю")</f>
        <v>Игорю</v>
      </c>
    </row>
    <row r="356" ht="14.25" customHeight="1">
      <c r="A356" s="1" t="s">
        <v>3004</v>
      </c>
      <c r="B356" s="1" t="s">
        <v>1072</v>
      </c>
      <c r="C356" s="2" t="s">
        <v>3005</v>
      </c>
      <c r="D356" s="7" t="s">
        <v>1074</v>
      </c>
      <c r="E356" s="1" t="s">
        <v>25</v>
      </c>
      <c r="F356" s="4" t="s">
        <v>3006</v>
      </c>
      <c r="G356" s="7" t="s">
        <v>1074</v>
      </c>
      <c r="H356" s="7" t="s">
        <v>3007</v>
      </c>
      <c r="I356" s="4" t="s">
        <v>3008</v>
      </c>
      <c r="J356" s="1" t="s">
        <v>3009</v>
      </c>
      <c r="K356" s="1" t="s">
        <v>850</v>
      </c>
      <c r="L356" s="1" t="s">
        <v>3010</v>
      </c>
      <c r="M356" s="1" t="s">
        <v>2295</v>
      </c>
      <c r="N356" s="1" t="s">
        <v>139</v>
      </c>
      <c r="O356" s="1" t="s">
        <v>367</v>
      </c>
      <c r="Q356" s="1" t="s">
        <v>1916</v>
      </c>
      <c r="R356" s="1" t="s">
        <v>2295</v>
      </c>
      <c r="S356" s="1" t="s">
        <v>70</v>
      </c>
      <c r="T356" s="1" t="s">
        <v>1458</v>
      </c>
      <c r="U356" s="4" t="s">
        <v>3011</v>
      </c>
      <c r="V356" s="4" t="str">
        <f>IFERROR(__xludf.DUMMYFUNCTION("SPLIT(F356, "" "")"),"Алёне")</f>
        <v>Алёне</v>
      </c>
      <c r="W356" s="1" t="str">
        <f>IFERROR(__xludf.DUMMYFUNCTION("""COMPUTED_VALUE"""),"бирюзу")</f>
        <v>бирюзу</v>
      </c>
      <c r="X356" s="1" t="str">
        <f>IFERROR(__xludf.DUMMYFUNCTION("""COMPUTED_VALUE"""),"купить.")</f>
        <v>купить.</v>
      </c>
    </row>
    <row r="357" ht="14.25" customHeight="1">
      <c r="A357" s="1" t="s">
        <v>430</v>
      </c>
      <c r="B357" s="1" t="s">
        <v>2005</v>
      </c>
      <c r="C357" s="2" t="s">
        <v>431</v>
      </c>
      <c r="D357" s="7" t="s">
        <v>2007</v>
      </c>
      <c r="E357" s="1" t="s">
        <v>25</v>
      </c>
      <c r="F357" s="4" t="s">
        <v>3012</v>
      </c>
      <c r="G357" s="7" t="s">
        <v>2007</v>
      </c>
      <c r="H357" s="7" t="s">
        <v>3013</v>
      </c>
      <c r="I357" s="4" t="s">
        <v>3008</v>
      </c>
      <c r="J357" s="1" t="s">
        <v>3009</v>
      </c>
      <c r="K357" s="1" t="s">
        <v>850</v>
      </c>
      <c r="L357" s="1" t="s">
        <v>3010</v>
      </c>
      <c r="M357" s="1" t="s">
        <v>2295</v>
      </c>
      <c r="N357" s="1" t="s">
        <v>139</v>
      </c>
      <c r="O357" s="1" t="s">
        <v>367</v>
      </c>
      <c r="Q357" s="1" t="s">
        <v>1916</v>
      </c>
      <c r="R357" s="1" t="s">
        <v>2295</v>
      </c>
      <c r="S357" s="1" t="s">
        <v>70</v>
      </c>
      <c r="T357" s="1" t="s">
        <v>1458</v>
      </c>
      <c r="U357" s="4" t="s">
        <v>3014</v>
      </c>
      <c r="V357" s="4" t="str">
        <f>IFERROR(__xludf.DUMMYFUNCTION("SPLIT(F357, "" "")"),"Марину,")</f>
        <v>Марину,</v>
      </c>
      <c r="W357" s="1" t="str">
        <f>IFERROR(__xludf.DUMMYFUNCTION("""COMPUTED_VALUE"""),"то")</f>
        <v>то</v>
      </c>
      <c r="X357" s="1" t="str">
        <f>IFERROR(__xludf.DUMMYFUNCTION("""COMPUTED_VALUE"""),"есть")</f>
        <v>есть</v>
      </c>
      <c r="Y357" s="1" t="str">
        <f>IFERROR(__xludf.DUMMYFUNCTION("""COMPUTED_VALUE"""),"―")</f>
        <v>―</v>
      </c>
      <c r="Z357" s="1" t="str">
        <f>IFERROR(__xludf.DUMMYFUNCTION("""COMPUTED_VALUE"""),"бездельник")</f>
        <v>бездельник</v>
      </c>
      <c r="AA357" s="1" t="str">
        <f>IFERROR(__xludf.DUMMYFUNCTION("""COMPUTED_VALUE"""),"сын")</f>
        <v>сын</v>
      </c>
      <c r="AB357" s="1" t="str">
        <f>IFERROR(__xludf.DUMMYFUNCTION("""COMPUTED_VALUE"""),"жалел")</f>
        <v>жалел</v>
      </c>
    </row>
    <row r="358" ht="14.25" customHeight="1">
      <c r="A358" s="1" t="s">
        <v>25</v>
      </c>
      <c r="B358" s="1" t="s">
        <v>1477</v>
      </c>
      <c r="C358" s="2"/>
      <c r="D358" s="7" t="s">
        <v>1478</v>
      </c>
      <c r="E358" s="1" t="s">
        <v>25</v>
      </c>
      <c r="F358" s="4" t="s">
        <v>3015</v>
      </c>
      <c r="G358" s="7" t="s">
        <v>1478</v>
      </c>
      <c r="H358" s="7" t="s">
        <v>1872</v>
      </c>
      <c r="I358" s="4" t="s">
        <v>3008</v>
      </c>
      <c r="J358" s="1" t="s">
        <v>3009</v>
      </c>
      <c r="K358" s="1" t="s">
        <v>850</v>
      </c>
      <c r="L358" s="1" t="s">
        <v>3010</v>
      </c>
      <c r="M358" s="1" t="s">
        <v>2295</v>
      </c>
      <c r="N358" s="1" t="s">
        <v>139</v>
      </c>
      <c r="O358" s="1" t="s">
        <v>367</v>
      </c>
      <c r="Q358" s="1" t="s">
        <v>1916</v>
      </c>
      <c r="R358" s="1" t="s">
        <v>2295</v>
      </c>
      <c r="S358" s="1" t="s">
        <v>70</v>
      </c>
      <c r="T358" s="1" t="s">
        <v>1458</v>
      </c>
      <c r="U358" s="4" t="s">
        <v>3016</v>
      </c>
      <c r="V358" s="4" t="str">
        <f>IFERROR(__xludf.DUMMYFUNCTION("SPLIT(F358, "" "")"),"были")</f>
        <v>были</v>
      </c>
      <c r="W358" s="1" t="str">
        <f>IFERROR(__xludf.DUMMYFUNCTION("""COMPUTED_VALUE"""),"предпосылки;")</f>
        <v>предпосылки;</v>
      </c>
      <c r="X358" s="1" t="str">
        <f>IFERROR(__xludf.DUMMYFUNCTION("""COMPUTED_VALUE"""),"он")</f>
        <v>он</v>
      </c>
      <c r="Y358" s="1" t="str">
        <f>IFERROR(__xludf.DUMMYFUNCTION("""COMPUTED_VALUE"""),"явно")</f>
        <v>явно</v>
      </c>
      <c r="Z358" s="1" t="str">
        <f>IFERROR(__xludf.DUMMYFUNCTION("""COMPUTED_VALUE"""),"болел")</f>
        <v>болел</v>
      </c>
      <c r="AA358" s="1" t="str">
        <f>IFERROR(__xludf.DUMMYFUNCTION("""COMPUTED_VALUE"""),"пневмонией")</f>
        <v>пневмонией</v>
      </c>
    </row>
    <row r="359" ht="14.25" customHeight="1">
      <c r="A359" s="1" t="s">
        <v>3017</v>
      </c>
      <c r="B359" s="1" t="s">
        <v>720</v>
      </c>
      <c r="C359" s="2" t="s">
        <v>3018</v>
      </c>
      <c r="D359" s="7" t="s">
        <v>722</v>
      </c>
      <c r="E359" s="1" t="s">
        <v>25</v>
      </c>
      <c r="F359" s="4" t="s">
        <v>3019</v>
      </c>
      <c r="G359" s="7" t="s">
        <v>722</v>
      </c>
      <c r="H359" s="7" t="s">
        <v>2543</v>
      </c>
      <c r="I359" s="4" t="s">
        <v>3008</v>
      </c>
      <c r="J359" s="1" t="s">
        <v>3009</v>
      </c>
      <c r="K359" s="1" t="s">
        <v>850</v>
      </c>
      <c r="L359" s="1" t="s">
        <v>3010</v>
      </c>
      <c r="M359" s="1" t="s">
        <v>2295</v>
      </c>
      <c r="N359" s="1" t="s">
        <v>139</v>
      </c>
      <c r="O359" s="1" t="s">
        <v>367</v>
      </c>
      <c r="Q359" s="1" t="s">
        <v>1916</v>
      </c>
      <c r="R359" s="1" t="s">
        <v>2295</v>
      </c>
      <c r="S359" s="1" t="s">
        <v>70</v>
      </c>
      <c r="T359" s="1" t="s">
        <v>1458</v>
      </c>
      <c r="U359" s="4" t="s">
        <v>3020</v>
      </c>
      <c r="V359" s="4" t="str">
        <f>IFERROR(__xludf.DUMMYFUNCTION("SPLIT(F359, "" "")"),"Марину")</f>
        <v>Марину</v>
      </c>
      <c r="W359" s="1" t="str">
        <f>IFERROR(__xludf.DUMMYFUNCTION("""COMPUTED_VALUE"""),"ударить.")</f>
        <v>ударить.</v>
      </c>
    </row>
    <row r="360" ht="14.25" customHeight="1">
      <c r="A360" s="1" t="s">
        <v>3021</v>
      </c>
      <c r="B360" s="1" t="s">
        <v>1740</v>
      </c>
      <c r="C360" s="2" t="s">
        <v>3022</v>
      </c>
      <c r="D360" s="7" t="s">
        <v>1742</v>
      </c>
      <c r="E360" s="1" t="s">
        <v>25</v>
      </c>
      <c r="F360" s="4" t="s">
        <v>3023</v>
      </c>
      <c r="G360" s="7" t="s">
        <v>1742</v>
      </c>
      <c r="H360" s="7" t="s">
        <v>3024</v>
      </c>
      <c r="I360" s="4" t="s">
        <v>3008</v>
      </c>
      <c r="J360" s="1" t="s">
        <v>3009</v>
      </c>
      <c r="K360" s="1" t="s">
        <v>850</v>
      </c>
      <c r="L360" s="1" t="s">
        <v>3010</v>
      </c>
      <c r="M360" s="1" t="s">
        <v>2295</v>
      </c>
      <c r="N360" s="1" t="s">
        <v>139</v>
      </c>
      <c r="O360" s="1" t="s">
        <v>367</v>
      </c>
      <c r="Q360" s="1" t="s">
        <v>1916</v>
      </c>
      <c r="R360" s="1" t="s">
        <v>2295</v>
      </c>
      <c r="S360" s="1" t="s">
        <v>70</v>
      </c>
      <c r="T360" s="1" t="s">
        <v>1458</v>
      </c>
      <c r="U360" s="4" t="s">
        <v>3025</v>
      </c>
      <c r="V360" s="4" t="str">
        <f>IFERROR(__xludf.DUMMYFUNCTION("SPLIT(F360, "" "")"),"решительности")</f>
        <v>решительности</v>
      </c>
      <c r="W360" s="1" t="str">
        <f>IFERROR(__xludf.DUMMYFUNCTION("""COMPUTED_VALUE"""),"в")</f>
        <v>в</v>
      </c>
      <c r="X360" s="1" t="str">
        <f>IFERROR(__xludf.DUMMYFUNCTION("""COMPUTED_VALUE"""),"женщинах.")</f>
        <v>женщинах.</v>
      </c>
    </row>
    <row r="361" ht="14.25" customHeight="1">
      <c r="A361" s="1" t="s">
        <v>3026</v>
      </c>
      <c r="B361" s="1" t="s">
        <v>3027</v>
      </c>
      <c r="C361" s="2" t="s">
        <v>3028</v>
      </c>
      <c r="D361" s="7" t="s">
        <v>3029</v>
      </c>
      <c r="E361" s="1" t="s">
        <v>25</v>
      </c>
      <c r="F361" s="4" t="s">
        <v>3030</v>
      </c>
      <c r="G361" s="7" t="s">
        <v>3029</v>
      </c>
      <c r="H361" s="7" t="s">
        <v>3031</v>
      </c>
      <c r="I361" s="4" t="s">
        <v>3008</v>
      </c>
      <c r="J361" s="1" t="s">
        <v>3009</v>
      </c>
      <c r="K361" s="1" t="s">
        <v>850</v>
      </c>
      <c r="L361" s="1" t="s">
        <v>3010</v>
      </c>
      <c r="M361" s="1" t="s">
        <v>2295</v>
      </c>
      <c r="N361" s="1" t="s">
        <v>139</v>
      </c>
      <c r="O361" s="1" t="s">
        <v>367</v>
      </c>
      <c r="Q361" s="1" t="s">
        <v>1916</v>
      </c>
      <c r="R361" s="1" t="s">
        <v>2295</v>
      </c>
      <c r="S361" s="1" t="s">
        <v>70</v>
      </c>
      <c r="T361" s="1" t="s">
        <v>1458</v>
      </c>
      <c r="U361" s="4" t="s">
        <v>3032</v>
      </c>
      <c r="V361" s="4" t="str">
        <f>IFERROR(__xludf.DUMMYFUNCTION("SPLIT(F361, "" "")"),"паузе")</f>
        <v>паузе</v>
      </c>
      <c r="W361" s="1" t="str">
        <f>IFERROR(__xludf.DUMMYFUNCTION("""COMPUTED_VALUE"""),"расставил")</f>
        <v>расставил</v>
      </c>
      <c r="X361" s="1" t="str">
        <f>IFERROR(__xludf.DUMMYFUNCTION("""COMPUTED_VALUE"""),"чашки")</f>
        <v>чашки</v>
      </c>
      <c r="Y361" s="1" t="str">
        <f>IFERROR(__xludf.DUMMYFUNCTION("""COMPUTED_VALUE"""),"и")</f>
        <v>и</v>
      </c>
      <c r="Z361" s="1" t="str">
        <f>IFERROR(__xludf.DUMMYFUNCTION("""COMPUTED_VALUE"""),"налил")</f>
        <v>налил</v>
      </c>
      <c r="AA361" s="1" t="str">
        <f>IFERROR(__xludf.DUMMYFUNCTION("""COMPUTED_VALUE"""),"в")</f>
        <v>в</v>
      </c>
    </row>
    <row r="362" ht="14.25" customHeight="1">
      <c r="A362" s="1" t="s">
        <v>3033</v>
      </c>
      <c r="B362" s="1" t="s">
        <v>1448</v>
      </c>
      <c r="C362" s="2" t="s">
        <v>3034</v>
      </c>
      <c r="D362" s="7" t="s">
        <v>1450</v>
      </c>
      <c r="E362" s="1" t="s">
        <v>25</v>
      </c>
      <c r="F362" s="4" t="s">
        <v>3035</v>
      </c>
      <c r="G362" s="7" t="s">
        <v>1450</v>
      </c>
      <c r="H362" s="7" t="s">
        <v>3036</v>
      </c>
      <c r="I362" s="4" t="s">
        <v>3037</v>
      </c>
      <c r="J362" s="1" t="s">
        <v>3009</v>
      </c>
      <c r="K362" s="1" t="s">
        <v>850</v>
      </c>
      <c r="L362" s="1" t="s">
        <v>3038</v>
      </c>
      <c r="M362" s="1" t="s">
        <v>2295</v>
      </c>
      <c r="N362" s="1" t="s">
        <v>139</v>
      </c>
      <c r="O362" s="1" t="s">
        <v>367</v>
      </c>
      <c r="Q362" s="1" t="s">
        <v>1916</v>
      </c>
      <c r="R362" s="1" t="s">
        <v>2295</v>
      </c>
      <c r="S362" s="1" t="s">
        <v>70</v>
      </c>
      <c r="T362" s="1" t="s">
        <v>1458</v>
      </c>
      <c r="U362" s="4" t="s">
        <v>3039</v>
      </c>
      <c r="V362" s="4" t="str">
        <f>IFERROR(__xludf.DUMMYFUNCTION("SPLIT(F362, "" "")"),"Руслану")</f>
        <v>Руслану</v>
      </c>
      <c r="W362" s="1" t="str">
        <f>IFERROR(__xludf.DUMMYFUNCTION("""COMPUTED_VALUE"""),"казалось,")</f>
        <v>казалось,</v>
      </c>
      <c r="X362" s="1" t="str">
        <f>IFERROR(__xludf.DUMMYFUNCTION("""COMPUTED_VALUE"""),"что")</f>
        <v>что</v>
      </c>
      <c r="Y362" s="1" t="str">
        <f>IFERROR(__xludf.DUMMYFUNCTION("""COMPUTED_VALUE"""),"совсем")</f>
        <v>совсем</v>
      </c>
      <c r="Z362" s="1" t="str">
        <f>IFERROR(__xludf.DUMMYFUNCTION("""COMPUTED_VALUE"""),"не")</f>
        <v>не</v>
      </c>
      <c r="AA362" s="1" t="str">
        <f>IFERROR(__xludf.DUMMYFUNCTION("""COMPUTED_VALUE"""),"отличается.")</f>
        <v>отличается.</v>
      </c>
    </row>
    <row r="363" ht="14.25" customHeight="1">
      <c r="A363" s="1" t="s">
        <v>3040</v>
      </c>
      <c r="B363" s="1" t="s">
        <v>1802</v>
      </c>
      <c r="C363" s="2" t="s">
        <v>3041</v>
      </c>
      <c r="D363" s="7" t="s">
        <v>1804</v>
      </c>
      <c r="E363" s="1" t="s">
        <v>25</v>
      </c>
      <c r="F363" s="4" t="s">
        <v>3042</v>
      </c>
      <c r="G363" s="7" t="s">
        <v>1804</v>
      </c>
      <c r="H363" s="7" t="s">
        <v>3043</v>
      </c>
      <c r="I363" s="4" t="s">
        <v>3037</v>
      </c>
      <c r="J363" s="1" t="s">
        <v>3009</v>
      </c>
      <c r="K363" s="1" t="s">
        <v>850</v>
      </c>
      <c r="L363" s="1" t="s">
        <v>3038</v>
      </c>
      <c r="M363" s="1" t="s">
        <v>2295</v>
      </c>
      <c r="N363" s="1" t="s">
        <v>139</v>
      </c>
      <c r="O363" s="1" t="s">
        <v>367</v>
      </c>
      <c r="Q363" s="1" t="s">
        <v>1916</v>
      </c>
      <c r="R363" s="1" t="s">
        <v>2295</v>
      </c>
      <c r="S363" s="1" t="s">
        <v>70</v>
      </c>
      <c r="T363" s="1" t="s">
        <v>1458</v>
      </c>
      <c r="U363" s="4" t="s">
        <v>3044</v>
      </c>
      <c r="V363" s="4" t="str">
        <f>IFERROR(__xludf.DUMMYFUNCTION("SPLIT(F363, "" "")"),"Алёну.")</f>
        <v>Алёну.</v>
      </c>
    </row>
    <row r="364" ht="14.25" customHeight="1">
      <c r="A364" s="1" t="s">
        <v>3045</v>
      </c>
      <c r="B364" s="1" t="s">
        <v>1740</v>
      </c>
      <c r="C364" s="2" t="s">
        <v>3046</v>
      </c>
      <c r="D364" s="7" t="s">
        <v>1742</v>
      </c>
      <c r="E364" s="1" t="s">
        <v>25</v>
      </c>
      <c r="F364" s="4" t="s">
        <v>3047</v>
      </c>
      <c r="G364" s="7" t="s">
        <v>1742</v>
      </c>
      <c r="H364" s="7" t="s">
        <v>3048</v>
      </c>
      <c r="I364" s="4" t="s">
        <v>3037</v>
      </c>
      <c r="J364" s="1" t="s">
        <v>3009</v>
      </c>
      <c r="K364" s="1" t="s">
        <v>850</v>
      </c>
      <c r="L364" s="1" t="s">
        <v>3038</v>
      </c>
      <c r="M364" s="1" t="s">
        <v>2295</v>
      </c>
      <c r="N364" s="1" t="s">
        <v>139</v>
      </c>
      <c r="O364" s="1" t="s">
        <v>367</v>
      </c>
      <c r="Q364" s="1" t="s">
        <v>1916</v>
      </c>
      <c r="R364" s="1" t="s">
        <v>2295</v>
      </c>
      <c r="S364" s="1" t="s">
        <v>70</v>
      </c>
      <c r="T364" s="1" t="s">
        <v>1458</v>
      </c>
      <c r="U364" s="4" t="s">
        <v>3049</v>
      </c>
      <c r="V364" s="4" t="str">
        <f>IFERROR(__xludf.DUMMYFUNCTION("SPLIT(F364, "" "")"),"Алину,")</f>
        <v>Алину,</v>
      </c>
      <c r="W364" s="1" t="str">
        <f>IFERROR(__xludf.DUMMYFUNCTION("""COMPUTED_VALUE"""),"он")</f>
        <v>он</v>
      </c>
      <c r="X364" s="1" t="str">
        <f>IFERROR(__xludf.DUMMYFUNCTION("""COMPUTED_VALUE"""),"что")</f>
        <v>что</v>
      </c>
      <c r="Y364" s="1" t="str">
        <f>IFERROR(__xludf.DUMMYFUNCTION("""COMPUTED_VALUE"""),"―")</f>
        <v>―</v>
      </c>
      <c r="Z364" s="1" t="str">
        <f>IFERROR(__xludf.DUMMYFUNCTION("""COMPUTED_VALUE"""),"ничем")</f>
        <v>ничем</v>
      </c>
      <c r="AA364" s="1" t="str">
        <f>IFERROR(__xludf.DUMMYFUNCTION("""COMPUTED_VALUE"""),"не")</f>
        <v>не</v>
      </c>
      <c r="AB364" s="1" t="str">
        <f>IFERROR(__xludf.DUMMYFUNCTION("""COMPUTED_VALUE"""),"дорожит.")</f>
        <v>дорожит.</v>
      </c>
    </row>
    <row r="365" ht="14.25" customHeight="1">
      <c r="A365" s="1" t="s">
        <v>25</v>
      </c>
      <c r="B365" s="1" t="s">
        <v>1477</v>
      </c>
      <c r="C365" s="2"/>
      <c r="D365" s="7" t="s">
        <v>1478</v>
      </c>
      <c r="E365" s="1" t="s">
        <v>25</v>
      </c>
      <c r="F365" s="4" t="s">
        <v>3050</v>
      </c>
      <c r="G365" s="7" t="s">
        <v>1478</v>
      </c>
      <c r="H365" s="7" t="s">
        <v>3051</v>
      </c>
      <c r="I365" s="4" t="s">
        <v>3037</v>
      </c>
      <c r="J365" s="1" t="s">
        <v>3009</v>
      </c>
      <c r="K365" s="1" t="s">
        <v>850</v>
      </c>
      <c r="L365" s="1" t="s">
        <v>3038</v>
      </c>
      <c r="M365" s="1" t="s">
        <v>2295</v>
      </c>
      <c r="N365" s="1" t="s">
        <v>139</v>
      </c>
      <c r="O365" s="1" t="s">
        <v>367</v>
      </c>
      <c r="Q365" s="1" t="s">
        <v>1916</v>
      </c>
      <c r="R365" s="1" t="s">
        <v>2295</v>
      </c>
      <c r="S365" s="1" t="s">
        <v>70</v>
      </c>
      <c r="T365" s="1" t="s">
        <v>1458</v>
      </c>
      <c r="U365" s="4" t="s">
        <v>3052</v>
      </c>
      <c r="V365" s="4" t="str">
        <f>IFERROR(__xludf.DUMMYFUNCTION("SPLIT(F365, "" "")"),"Игорю")</f>
        <v>Игорю</v>
      </c>
      <c r="W365" s="1" t="str">
        <f>IFERROR(__xludf.DUMMYFUNCTION("""COMPUTED_VALUE"""),"―")</f>
        <v>―</v>
      </c>
      <c r="X365" s="1" t="str">
        <f>IFERROR(__xludf.DUMMYFUNCTION("""COMPUTED_VALUE"""),"какая")</f>
        <v>какая</v>
      </c>
      <c r="Y365" s="1" t="str">
        <f>IFERROR(__xludf.DUMMYFUNCTION("""COMPUTED_VALUE"""),"разница,")</f>
        <v>разница,</v>
      </c>
      <c r="Z365" s="1" t="str">
        <f>IFERROR(__xludf.DUMMYFUNCTION("""COMPUTED_VALUE"""),"когда")</f>
        <v>когда</v>
      </c>
      <c r="AA365" s="1" t="str">
        <f>IFERROR(__xludf.DUMMYFUNCTION("""COMPUTED_VALUE"""),"по")</f>
        <v>по</v>
      </c>
      <c r="AB365" s="1" t="str">
        <f>IFERROR(__xludf.DUMMYFUNCTION("""COMPUTED_VALUE"""),"мукам")</f>
        <v>мукам</v>
      </c>
    </row>
    <row r="366" ht="14.25" customHeight="1">
      <c r="A366" s="1" t="s">
        <v>3053</v>
      </c>
      <c r="B366" s="1" t="s">
        <v>3054</v>
      </c>
      <c r="C366" s="2" t="s">
        <v>3055</v>
      </c>
      <c r="D366" s="7" t="s">
        <v>3056</v>
      </c>
      <c r="E366" s="1" t="s">
        <v>25</v>
      </c>
      <c r="F366" s="4" t="s">
        <v>3057</v>
      </c>
      <c r="G366" s="7" t="s">
        <v>3056</v>
      </c>
      <c r="H366" s="7" t="s">
        <v>3058</v>
      </c>
      <c r="I366" s="4" t="s">
        <v>3059</v>
      </c>
      <c r="J366" s="1" t="s">
        <v>3060</v>
      </c>
      <c r="K366" s="1" t="s">
        <v>176</v>
      </c>
      <c r="L366" s="1" t="s">
        <v>3061</v>
      </c>
      <c r="M366" s="1" t="s">
        <v>2295</v>
      </c>
      <c r="N366" s="1" t="s">
        <v>139</v>
      </c>
      <c r="O366" s="1" t="s">
        <v>458</v>
      </c>
      <c r="Q366" s="1" t="s">
        <v>1916</v>
      </c>
      <c r="R366" s="1" t="s">
        <v>2295</v>
      </c>
      <c r="S366" s="1" t="s">
        <v>70</v>
      </c>
      <c r="T366" s="1" t="s">
        <v>1458</v>
      </c>
      <c r="U366" s="4" t="s">
        <v>3062</v>
      </c>
      <c r="V366" s="4" t="str">
        <f>IFERROR(__xludf.DUMMYFUNCTION("SPLIT(F366, "" "")"),"брови,")</f>
        <v>брови,</v>
      </c>
      <c r="W366" s="1" t="str">
        <f>IFERROR(__xludf.DUMMYFUNCTION("""COMPUTED_VALUE"""),"как")</f>
        <v>как</v>
      </c>
      <c r="X366" s="1" t="str">
        <f>IFERROR(__xludf.DUMMYFUNCTION("""COMPUTED_VALUE"""),"кто-то,")</f>
        <v>кто-то,</v>
      </c>
      <c r="Y366" s="1" t="str">
        <f>IFERROR(__xludf.DUMMYFUNCTION("""COMPUTED_VALUE"""),"оскалившись,")</f>
        <v>оскалившись,</v>
      </c>
      <c r="Z366" s="1" t="str">
        <f>IFERROR(__xludf.DUMMYFUNCTION("""COMPUTED_VALUE"""),"смеялся,")</f>
        <v>смеялся,</v>
      </c>
      <c r="AA366" s="1" t="str">
        <f>IFERROR(__xludf.DUMMYFUNCTION("""COMPUTED_VALUE"""),"а")</f>
        <v>а</v>
      </c>
    </row>
    <row r="367" ht="14.25" customHeight="1">
      <c r="A367" s="1" t="s">
        <v>922</v>
      </c>
      <c r="B367" s="1" t="s">
        <v>3063</v>
      </c>
      <c r="C367" s="2" t="s">
        <v>924</v>
      </c>
      <c r="D367" s="7" t="s">
        <v>3064</v>
      </c>
      <c r="E367" s="1" t="s">
        <v>25</v>
      </c>
      <c r="F367" s="4" t="s">
        <v>3065</v>
      </c>
      <c r="G367" s="7" t="s">
        <v>3064</v>
      </c>
      <c r="H367" s="7" t="s">
        <v>3066</v>
      </c>
      <c r="I367" s="4" t="s">
        <v>3067</v>
      </c>
      <c r="J367" s="1" t="s">
        <v>29</v>
      </c>
      <c r="L367" s="1" t="s">
        <v>3068</v>
      </c>
      <c r="M367" s="1" t="s">
        <v>2295</v>
      </c>
      <c r="N367" s="1" t="s">
        <v>2377</v>
      </c>
      <c r="O367" s="1" t="s">
        <v>3069</v>
      </c>
      <c r="P367" s="1" t="s">
        <v>3070</v>
      </c>
      <c r="Q367" s="1" t="s">
        <v>2611</v>
      </c>
      <c r="R367" s="1" t="s">
        <v>2295</v>
      </c>
      <c r="S367" s="1" t="s">
        <v>70</v>
      </c>
      <c r="T367" s="1" t="s">
        <v>1458</v>
      </c>
      <c r="U367" s="4" t="s">
        <v>3071</v>
      </c>
      <c r="V367" s="4" t="str">
        <f>IFERROR(__xludf.DUMMYFUNCTION("SPLIT(F367, "" "")"),"грязи")</f>
        <v>грязи</v>
      </c>
      <c r="W367" s="1" t="str">
        <f>IFERROR(__xludf.DUMMYFUNCTION("""COMPUTED_VALUE"""),"и")</f>
        <v>и</v>
      </c>
      <c r="X367" s="1" t="str">
        <f>IFERROR(__xludf.DUMMYFUNCTION("""COMPUTED_VALUE"""),"тяжелой")</f>
        <v>тяжелой</v>
      </c>
      <c r="Y367" s="1" t="str">
        <f>IFERROR(__xludf.DUMMYFUNCTION("""COMPUTED_VALUE"""),"работы.")</f>
        <v>работы.</v>
      </c>
    </row>
    <row r="368" ht="14.25" customHeight="1">
      <c r="A368" s="1" t="s">
        <v>3072</v>
      </c>
      <c r="B368" s="1" t="s">
        <v>1274</v>
      </c>
      <c r="C368" s="2" t="s">
        <v>3073</v>
      </c>
      <c r="D368" s="7" t="s">
        <v>1276</v>
      </c>
      <c r="E368" s="1" t="s">
        <v>25</v>
      </c>
      <c r="F368" s="4" t="s">
        <v>3074</v>
      </c>
      <c r="G368" s="7" t="s">
        <v>1276</v>
      </c>
      <c r="H368" s="7" t="s">
        <v>2305</v>
      </c>
      <c r="I368" s="4" t="s">
        <v>3075</v>
      </c>
      <c r="J368" s="1" t="s">
        <v>29</v>
      </c>
      <c r="L368" s="1" t="s">
        <v>3076</v>
      </c>
      <c r="M368" s="1" t="s">
        <v>2295</v>
      </c>
      <c r="N368" s="1" t="s">
        <v>2377</v>
      </c>
      <c r="O368" s="1" t="s">
        <v>52</v>
      </c>
      <c r="P368" s="1" t="s">
        <v>3077</v>
      </c>
      <c r="Q368" s="1" t="s">
        <v>2002</v>
      </c>
      <c r="R368" s="1" t="s">
        <v>2295</v>
      </c>
      <c r="S368" s="1" t="s">
        <v>70</v>
      </c>
      <c r="T368" s="1" t="s">
        <v>1458</v>
      </c>
      <c r="U368" s="4" t="s">
        <v>3078</v>
      </c>
      <c r="V368" s="4" t="str">
        <f>IFERROR(__xludf.DUMMYFUNCTION("SPLIT(F368, "" "")"),"делом:")</f>
        <v>делом:</v>
      </c>
      <c r="W368" s="1" t="str">
        <f>IFERROR(__xludf.DUMMYFUNCTION("""COMPUTED_VALUE"""),"то")</f>
        <v>то</v>
      </c>
      <c r="X368" s="1" t="str">
        <f>IFERROR(__xludf.DUMMYFUNCTION("""COMPUTED_VALUE"""),"проведет")</f>
        <v>проведет</v>
      </c>
      <c r="Y368" s="1" t="str">
        <f>IFERROR(__xludf.DUMMYFUNCTION("""COMPUTED_VALUE"""),"в")</f>
        <v>в</v>
      </c>
      <c r="Z368" s="1" t="str">
        <f>IFERROR(__xludf.DUMMYFUNCTION("""COMPUTED_VALUE"""),"родном")</f>
        <v>родном</v>
      </c>
      <c r="AA368" s="1" t="str">
        <f>IFERROR(__xludf.DUMMYFUNCTION("""COMPUTED_VALUE"""),"Брянске")</f>
        <v>Брянске</v>
      </c>
    </row>
    <row r="369" ht="14.25" customHeight="1">
      <c r="A369" s="1" t="s">
        <v>3079</v>
      </c>
      <c r="B369" s="1" t="s">
        <v>3080</v>
      </c>
      <c r="C369" s="2" t="s">
        <v>3081</v>
      </c>
      <c r="D369" s="7" t="s">
        <v>3082</v>
      </c>
      <c r="E369" s="1" t="s">
        <v>25</v>
      </c>
      <c r="F369" s="4" t="s">
        <v>3083</v>
      </c>
      <c r="G369" s="7" t="s">
        <v>3082</v>
      </c>
      <c r="H369" s="7" t="s">
        <v>3084</v>
      </c>
      <c r="I369" s="4" t="s">
        <v>3085</v>
      </c>
      <c r="J369" s="1" t="s">
        <v>29</v>
      </c>
      <c r="L369" s="1" t="s">
        <v>3086</v>
      </c>
      <c r="M369" s="1" t="s">
        <v>2295</v>
      </c>
      <c r="N369" s="1" t="s">
        <v>51</v>
      </c>
      <c r="O369" s="1" t="s">
        <v>2066</v>
      </c>
      <c r="P369" s="1" t="s">
        <v>1376</v>
      </c>
      <c r="Q369" s="1" t="s">
        <v>3086</v>
      </c>
      <c r="R369" s="1" t="s">
        <v>2295</v>
      </c>
      <c r="S369" s="1" t="s">
        <v>273</v>
      </c>
      <c r="T369" s="1" t="s">
        <v>1458</v>
      </c>
      <c r="U369" s="4" t="s">
        <v>3087</v>
      </c>
      <c r="V369" s="4" t="str">
        <f>IFERROR(__xludf.DUMMYFUNCTION("SPLIT(F369, "" "")"),"учителю")</f>
        <v>учителю</v>
      </c>
      <c r="W369" s="1" t="str">
        <f>IFERROR(__xludf.DUMMYFUNCTION("""COMPUTED_VALUE"""),"ученики")</f>
        <v>ученики</v>
      </c>
      <c r="X369" s="1" t="str">
        <f>IFERROR(__xludf.DUMMYFUNCTION("""COMPUTED_VALUE"""),"несут")</f>
        <v>несут</v>
      </c>
      <c r="Y369" s="1" t="str">
        <f>IFERROR(__xludf.DUMMYFUNCTION("""COMPUTED_VALUE"""),"свои")</f>
        <v>свои</v>
      </c>
      <c r="Z369" s="1" t="str">
        <f>IFERROR(__xludf.DUMMYFUNCTION("""COMPUTED_VALUE"""),"радости")</f>
        <v>радости</v>
      </c>
      <c r="AA369" s="1" t="str">
        <f>IFERROR(__xludf.DUMMYFUNCTION("""COMPUTED_VALUE"""),"и")</f>
        <v>и</v>
      </c>
    </row>
    <row r="370" ht="14.25" customHeight="1">
      <c r="A370" s="1" t="s">
        <v>3088</v>
      </c>
      <c r="B370" s="1" t="s">
        <v>1274</v>
      </c>
      <c r="C370" s="2" t="s">
        <v>3089</v>
      </c>
      <c r="D370" s="7" t="s">
        <v>1276</v>
      </c>
      <c r="E370" s="1" t="s">
        <v>25</v>
      </c>
      <c r="F370" s="4" t="s">
        <v>3090</v>
      </c>
      <c r="G370" s="7" t="s">
        <v>1276</v>
      </c>
      <c r="H370" s="7" t="s">
        <v>3091</v>
      </c>
      <c r="I370" s="4" t="s">
        <v>3085</v>
      </c>
      <c r="J370" s="1" t="s">
        <v>29</v>
      </c>
      <c r="L370" s="1" t="s">
        <v>3086</v>
      </c>
      <c r="M370" s="1" t="s">
        <v>2295</v>
      </c>
      <c r="N370" s="1" t="s">
        <v>51</v>
      </c>
      <c r="O370" s="1" t="s">
        <v>2066</v>
      </c>
      <c r="P370" s="1" t="s">
        <v>1376</v>
      </c>
      <c r="Q370" s="1" t="s">
        <v>3086</v>
      </c>
      <c r="R370" s="1" t="s">
        <v>2295</v>
      </c>
      <c r="S370" s="1" t="s">
        <v>273</v>
      </c>
      <c r="T370" s="1" t="s">
        <v>1458</v>
      </c>
      <c r="U370" s="4" t="s">
        <v>3092</v>
      </c>
      <c r="V370" s="4" t="str">
        <f>IFERROR(__xludf.DUMMYFUNCTION("SPLIT(F370, "" "")"),"учителям.")</f>
        <v>учителям.</v>
      </c>
    </row>
    <row r="371" ht="14.25" customHeight="1">
      <c r="A371" s="1" t="s">
        <v>3093</v>
      </c>
      <c r="B371" s="1" t="s">
        <v>59</v>
      </c>
      <c r="C371" s="2" t="s">
        <v>3094</v>
      </c>
      <c r="D371" s="7" t="s">
        <v>61</v>
      </c>
      <c r="E371" s="1" t="s">
        <v>25</v>
      </c>
      <c r="F371" s="4" t="s">
        <v>3095</v>
      </c>
      <c r="G371" s="7" t="s">
        <v>61</v>
      </c>
      <c r="H371" s="7" t="s">
        <v>3096</v>
      </c>
      <c r="I371" s="4" t="s">
        <v>3085</v>
      </c>
      <c r="J371" s="1" t="s">
        <v>29</v>
      </c>
      <c r="L371" s="1" t="s">
        <v>3086</v>
      </c>
      <c r="M371" s="1" t="s">
        <v>2295</v>
      </c>
      <c r="N371" s="1" t="s">
        <v>51</v>
      </c>
      <c r="O371" s="1" t="s">
        <v>2066</v>
      </c>
      <c r="P371" s="1" t="s">
        <v>1376</v>
      </c>
      <c r="Q371" s="1" t="s">
        <v>3086</v>
      </c>
      <c r="R371" s="1" t="s">
        <v>2295</v>
      </c>
      <c r="S371" s="1" t="s">
        <v>273</v>
      </c>
      <c r="T371" s="1" t="s">
        <v>1458</v>
      </c>
      <c r="U371" s="4" t="s">
        <v>3097</v>
      </c>
      <c r="V371" s="4" t="str">
        <f>IFERROR(__xludf.DUMMYFUNCTION("SPLIT(F371, "" "")"),"лицам")</f>
        <v>лицам</v>
      </c>
      <c r="W371" s="1" t="str">
        <f>IFERROR(__xludf.DUMMYFUNCTION("""COMPUTED_VALUE"""),"уже")</f>
        <v>уже</v>
      </c>
      <c r="X371" s="1" t="str">
        <f>IFERROR(__xludf.DUMMYFUNCTION("""COMPUTED_VALUE"""),"было")</f>
        <v>было</v>
      </c>
      <c r="Y371" s="1" t="str">
        <f>IFERROR(__xludf.DUMMYFUNCTION("""COMPUTED_VALUE"""),"понятно,")</f>
        <v>понятно,</v>
      </c>
      <c r="Z371" s="1" t="str">
        <f>IFERROR(__xludf.DUMMYFUNCTION("""COMPUTED_VALUE"""),"что")</f>
        <v>что</v>
      </c>
      <c r="AA371" s="1" t="str">
        <f>IFERROR(__xludf.DUMMYFUNCTION("""COMPUTED_VALUE"""),"программа")</f>
        <v>программа</v>
      </c>
    </row>
    <row r="372" ht="14.25" customHeight="1">
      <c r="A372" s="1" t="s">
        <v>3098</v>
      </c>
      <c r="B372" s="1" t="s">
        <v>699</v>
      </c>
      <c r="C372" s="2" t="s">
        <v>3099</v>
      </c>
      <c r="D372" s="7" t="s">
        <v>701</v>
      </c>
      <c r="E372" s="1" t="s">
        <v>25</v>
      </c>
      <c r="F372" s="4" t="s">
        <v>3100</v>
      </c>
      <c r="G372" s="7" t="s">
        <v>701</v>
      </c>
      <c r="H372" s="7" t="s">
        <v>3101</v>
      </c>
      <c r="I372" s="4" t="s">
        <v>3085</v>
      </c>
      <c r="J372" s="1" t="s">
        <v>29</v>
      </c>
      <c r="L372" s="1" t="s">
        <v>3086</v>
      </c>
      <c r="M372" s="1" t="s">
        <v>2295</v>
      </c>
      <c r="N372" s="1" t="s">
        <v>51</v>
      </c>
      <c r="O372" s="1" t="s">
        <v>2066</v>
      </c>
      <c r="P372" s="1" t="s">
        <v>1376</v>
      </c>
      <c r="Q372" s="1" t="s">
        <v>3086</v>
      </c>
      <c r="R372" s="1" t="s">
        <v>2295</v>
      </c>
      <c r="S372" s="1" t="s">
        <v>273</v>
      </c>
      <c r="T372" s="1" t="s">
        <v>1458</v>
      </c>
      <c r="U372" s="4" t="s">
        <v>3102</v>
      </c>
      <c r="V372" s="4" t="str">
        <f>IFERROR(__xludf.DUMMYFUNCTION("SPLIT(F372, "" "")"),"Эвальду")</f>
        <v>Эвальду</v>
      </c>
      <c r="W372" s="1" t="str">
        <f>IFERROR(__xludf.DUMMYFUNCTION("""COMPUTED_VALUE"""),"Ильенкову711")</f>
        <v>Ильенкову711</v>
      </c>
      <c r="X372" s="1" t="str">
        <f>IFERROR(__xludf.DUMMYFUNCTION("""COMPUTED_VALUE"""),"и")</f>
        <v>и</v>
      </c>
      <c r="Y372" s="1" t="str">
        <f>IFERROR(__xludf.DUMMYFUNCTION("""COMPUTED_VALUE"""),"был")</f>
        <v>был</v>
      </c>
      <c r="Z372" s="1" t="str">
        <f>IFERROR(__xludf.DUMMYFUNCTION("""COMPUTED_VALUE"""),"автором")</f>
        <v>автором</v>
      </c>
    </row>
    <row r="373" ht="14.25" customHeight="1">
      <c r="A373" s="1" t="s">
        <v>3103</v>
      </c>
      <c r="B373" s="1" t="s">
        <v>923</v>
      </c>
      <c r="C373" s="2" t="s">
        <v>3104</v>
      </c>
      <c r="D373" s="7" t="s">
        <v>925</v>
      </c>
      <c r="E373" s="1" t="s">
        <v>25</v>
      </c>
      <c r="F373" s="4" t="s">
        <v>3105</v>
      </c>
      <c r="G373" s="7" t="s">
        <v>925</v>
      </c>
      <c r="H373" s="7" t="s">
        <v>3106</v>
      </c>
      <c r="I373" s="4" t="s">
        <v>3085</v>
      </c>
      <c r="J373" s="1" t="s">
        <v>29</v>
      </c>
      <c r="L373" s="1" t="s">
        <v>3086</v>
      </c>
      <c r="M373" s="1" t="s">
        <v>2295</v>
      </c>
      <c r="N373" s="1" t="s">
        <v>51</v>
      </c>
      <c r="O373" s="1" t="s">
        <v>2066</v>
      </c>
      <c r="P373" s="1" t="s">
        <v>1376</v>
      </c>
      <c r="Q373" s="1" t="s">
        <v>3086</v>
      </c>
      <c r="R373" s="1" t="s">
        <v>2295</v>
      </c>
      <c r="S373" s="1" t="s">
        <v>273</v>
      </c>
      <c r="T373" s="1" t="s">
        <v>1458</v>
      </c>
      <c r="U373" s="4" t="s">
        <v>3107</v>
      </c>
      <c r="V373" s="4" t="str">
        <f>IFERROR(__xludf.DUMMYFUNCTION("SPLIT(F373, "" "")"),"машину")</f>
        <v>машину</v>
      </c>
      <c r="W373" s="1" t="str">
        <f>IFERROR(__xludf.DUMMYFUNCTION("""COMPUTED_VALUE"""),"похитить.")</f>
        <v>похитить.</v>
      </c>
    </row>
    <row r="374" ht="14.25" customHeight="1">
      <c r="A374" s="1" t="s">
        <v>3108</v>
      </c>
      <c r="B374" s="1" t="s">
        <v>22</v>
      </c>
      <c r="C374" s="2" t="s">
        <v>3109</v>
      </c>
      <c r="D374" s="7" t="s">
        <v>24</v>
      </c>
      <c r="E374" s="1" t="s">
        <v>25</v>
      </c>
      <c r="F374" s="4" t="s">
        <v>3110</v>
      </c>
      <c r="G374" s="7" t="s">
        <v>24</v>
      </c>
      <c r="H374" s="7" t="s">
        <v>3111</v>
      </c>
      <c r="I374" s="4" t="s">
        <v>3085</v>
      </c>
      <c r="J374" s="1" t="s">
        <v>29</v>
      </c>
      <c r="L374" s="1" t="s">
        <v>3086</v>
      </c>
      <c r="M374" s="1" t="s">
        <v>2295</v>
      </c>
      <c r="N374" s="1" t="s">
        <v>51</v>
      </c>
      <c r="O374" s="1" t="s">
        <v>2066</v>
      </c>
      <c r="P374" s="1" t="s">
        <v>1376</v>
      </c>
      <c r="Q374" s="1" t="s">
        <v>3086</v>
      </c>
      <c r="R374" s="1" t="s">
        <v>2295</v>
      </c>
      <c r="S374" s="1" t="s">
        <v>273</v>
      </c>
      <c r="T374" s="1" t="s">
        <v>1458</v>
      </c>
      <c r="U374" s="4" t="s">
        <v>3112</v>
      </c>
      <c r="V374" s="4" t="str">
        <f>IFERROR(__xludf.DUMMYFUNCTION("SPLIT(F374, "" "")"),"живому")</f>
        <v>живому</v>
      </c>
      <c r="W374" s="1" t="str">
        <f>IFERROR(__xludf.DUMMYFUNCTION("""COMPUTED_VALUE"""),"процессу")</f>
        <v>процессу</v>
      </c>
      <c r="X374" s="1" t="str">
        <f>IFERROR(__xludf.DUMMYFUNCTION("""COMPUTED_VALUE"""),"исторического")</f>
        <v>исторического</v>
      </c>
      <c r="Y374" s="1" t="str">
        <f>IFERROR(__xludf.DUMMYFUNCTION("""COMPUTED_VALUE"""),"развития,")</f>
        <v>развития,</v>
      </c>
      <c r="Z374" s="1" t="str">
        <f>IFERROR(__xludf.DUMMYFUNCTION("""COMPUTED_VALUE"""),"включая")</f>
        <v>включая</v>
      </c>
      <c r="AA374" s="1" t="str">
        <f>IFERROR(__xludf.DUMMYFUNCTION("""COMPUTED_VALUE"""),"созревание")</f>
        <v>созревание</v>
      </c>
    </row>
    <row r="375" ht="14.25" customHeight="1">
      <c r="A375" s="1" t="s">
        <v>3113</v>
      </c>
      <c r="B375" s="1" t="s">
        <v>414</v>
      </c>
      <c r="C375" s="2" t="s">
        <v>3114</v>
      </c>
      <c r="D375" s="7" t="s">
        <v>416</v>
      </c>
      <c r="E375" s="1" t="s">
        <v>25</v>
      </c>
      <c r="F375" s="4" t="s">
        <v>3115</v>
      </c>
      <c r="G375" s="7" t="s">
        <v>416</v>
      </c>
      <c r="H375" s="7" t="s">
        <v>1521</v>
      </c>
      <c r="I375" s="4" t="s">
        <v>3085</v>
      </c>
      <c r="J375" s="1" t="s">
        <v>29</v>
      </c>
      <c r="L375" s="1" t="s">
        <v>3086</v>
      </c>
      <c r="M375" s="1" t="s">
        <v>2295</v>
      </c>
      <c r="N375" s="1" t="s">
        <v>51</v>
      </c>
      <c r="O375" s="1" t="s">
        <v>2066</v>
      </c>
      <c r="P375" s="1" t="s">
        <v>1376</v>
      </c>
      <c r="Q375" s="1" t="s">
        <v>3086</v>
      </c>
      <c r="R375" s="1" t="s">
        <v>2295</v>
      </c>
      <c r="S375" s="1" t="s">
        <v>273</v>
      </c>
      <c r="T375" s="1" t="s">
        <v>1458</v>
      </c>
      <c r="U375" s="4" t="s">
        <v>3116</v>
      </c>
      <c r="V375" s="4" t="str">
        <f>IFERROR(__xludf.DUMMYFUNCTION("SPLIT(F375, "" "")"),"тому,")</f>
        <v>тому,</v>
      </c>
      <c r="W375" s="1" t="str">
        <f>IFERROR(__xludf.DUMMYFUNCTION("""COMPUTED_VALUE"""),"как")</f>
        <v>как</v>
      </c>
      <c r="X375" s="1" t="str">
        <f>IFERROR(__xludf.DUMMYFUNCTION("""COMPUTED_VALUE"""),"«мой")</f>
        <v>«мой</v>
      </c>
      <c r="Y375" s="1" t="str">
        <f>IFERROR(__xludf.DUMMYFUNCTION("""COMPUTED_VALUE"""),"труд/")</f>
        <v>труд/</v>
      </c>
      <c r="Z375" s="1" t="str">
        <f>IFERROR(__xludf.DUMMYFUNCTION("""COMPUTED_VALUE"""),"вливается")</f>
        <v>вливается</v>
      </c>
      <c r="AA375" s="1" t="str">
        <f>IFERROR(__xludf.DUMMYFUNCTION("""COMPUTED_VALUE"""),"в")</f>
        <v>в</v>
      </c>
    </row>
    <row r="376" ht="14.25" customHeight="1">
      <c r="A376" s="1" t="s">
        <v>3117</v>
      </c>
      <c r="B376" s="1" t="s">
        <v>3118</v>
      </c>
      <c r="C376" s="2" t="s">
        <v>3119</v>
      </c>
      <c r="D376" s="7" t="s">
        <v>3120</v>
      </c>
      <c r="E376" s="1" t="s">
        <v>25</v>
      </c>
      <c r="F376" s="4" t="s">
        <v>3121</v>
      </c>
      <c r="G376" s="7" t="s">
        <v>3120</v>
      </c>
      <c r="H376" s="7" t="s">
        <v>1649</v>
      </c>
      <c r="I376" s="4" t="s">
        <v>3122</v>
      </c>
      <c r="J376" s="1" t="s">
        <v>29</v>
      </c>
      <c r="L376" s="1" t="s">
        <v>3123</v>
      </c>
      <c r="M376" s="1" t="s">
        <v>2295</v>
      </c>
      <c r="N376" s="1" t="s">
        <v>3124</v>
      </c>
      <c r="O376" s="1" t="s">
        <v>80</v>
      </c>
      <c r="S376" s="1" t="s">
        <v>35</v>
      </c>
      <c r="T376" s="1" t="s">
        <v>1458</v>
      </c>
      <c r="U376" s="4" t="s">
        <v>3125</v>
      </c>
      <c r="V376" s="4" t="str">
        <f>IFERROR(__xludf.DUMMYFUNCTION("SPLIT(F376, "" "")"),"русским")</f>
        <v>русским</v>
      </c>
      <c r="W376" s="1" t="str">
        <f>IFERROR(__xludf.DUMMYFUNCTION("""COMPUTED_VALUE"""),"языком.")</f>
        <v>языком.</v>
      </c>
    </row>
    <row r="377" ht="14.25" customHeight="1">
      <c r="A377" s="1" t="s">
        <v>3126</v>
      </c>
      <c r="B377" s="1" t="s">
        <v>1779</v>
      </c>
      <c r="C377" s="2" t="s">
        <v>3127</v>
      </c>
      <c r="D377" s="7" t="s">
        <v>1781</v>
      </c>
      <c r="E377" s="1" t="s">
        <v>25</v>
      </c>
      <c r="F377" s="4" t="s">
        <v>3128</v>
      </c>
      <c r="G377" s="7" t="s">
        <v>1781</v>
      </c>
      <c r="H377" s="7" t="s">
        <v>2543</v>
      </c>
      <c r="I377" s="4" t="s">
        <v>3129</v>
      </c>
      <c r="J377" s="1" t="s">
        <v>29</v>
      </c>
      <c r="L377" s="1" t="s">
        <v>3130</v>
      </c>
      <c r="M377" s="1" t="s">
        <v>2295</v>
      </c>
      <c r="N377" s="1" t="s">
        <v>2377</v>
      </c>
      <c r="O377" s="1" t="s">
        <v>67</v>
      </c>
      <c r="P377" s="1" t="s">
        <v>3131</v>
      </c>
      <c r="Q377" s="1" t="s">
        <v>2611</v>
      </c>
      <c r="R377" s="1" t="s">
        <v>2295</v>
      </c>
      <c r="S377" s="1" t="s">
        <v>70</v>
      </c>
      <c r="T377" s="1" t="s">
        <v>1458</v>
      </c>
      <c r="U377" s="4" t="s">
        <v>3132</v>
      </c>
      <c r="V377" s="4" t="str">
        <f>IFERROR(__xludf.DUMMYFUNCTION("SPLIT(F377, "" "")"),"Марину")</f>
        <v>Марину</v>
      </c>
      <c r="W377" s="1" t="str">
        <f>IFERROR(__xludf.DUMMYFUNCTION("""COMPUTED_VALUE"""),"Цветаеву,")</f>
        <v>Цветаеву,</v>
      </c>
      <c r="X377" s="1" t="str">
        <f>IFERROR(__xludf.DUMMYFUNCTION("""COMPUTED_VALUE"""),"―")</f>
        <v>―</v>
      </c>
      <c r="Y377" s="1" t="str">
        <f>IFERROR(__xludf.DUMMYFUNCTION("""COMPUTED_VALUE"""),"говорит")</f>
        <v>говорит</v>
      </c>
      <c r="Z377" s="1" t="str">
        <f>IFERROR(__xludf.DUMMYFUNCTION("""COMPUTED_VALUE"""),"Шаталов.")</f>
        <v>Шаталов.</v>
      </c>
    </row>
    <row r="378" ht="14.25" customHeight="1">
      <c r="A378" s="1" t="s">
        <v>3133</v>
      </c>
      <c r="B378" s="1" t="s">
        <v>1779</v>
      </c>
      <c r="C378" s="2" t="s">
        <v>3134</v>
      </c>
      <c r="D378" s="7" t="s">
        <v>1781</v>
      </c>
      <c r="E378" s="1" t="s">
        <v>25</v>
      </c>
      <c r="F378" s="4" t="s">
        <v>3135</v>
      </c>
      <c r="G378" s="7" t="s">
        <v>1781</v>
      </c>
      <c r="H378" s="7" t="s">
        <v>3136</v>
      </c>
      <c r="I378" s="4" t="s">
        <v>3129</v>
      </c>
      <c r="J378" s="1" t="s">
        <v>29</v>
      </c>
      <c r="L378" s="1" t="s">
        <v>3130</v>
      </c>
      <c r="M378" s="1" t="s">
        <v>2295</v>
      </c>
      <c r="N378" s="1" t="s">
        <v>2377</v>
      </c>
      <c r="O378" s="1" t="s">
        <v>67</v>
      </c>
      <c r="P378" s="1" t="s">
        <v>3131</v>
      </c>
      <c r="Q378" s="1" t="s">
        <v>2611</v>
      </c>
      <c r="R378" s="1" t="s">
        <v>2295</v>
      </c>
      <c r="S378" s="1" t="s">
        <v>70</v>
      </c>
      <c r="T378" s="1" t="s">
        <v>1458</v>
      </c>
      <c r="U378" s="4" t="s">
        <v>3137</v>
      </c>
      <c r="V378" s="4" t="str">
        <f>IFERROR(__xludf.DUMMYFUNCTION("SPLIT(F378, "" "")"),"Ахматову,")</f>
        <v>Ахматову,</v>
      </c>
      <c r="W378" s="1" t="str">
        <f>IFERROR(__xludf.DUMMYFUNCTION("""COMPUTED_VALUE"""),"чем")</f>
        <v>чем</v>
      </c>
      <c r="X378" s="1" t="str">
        <f>IFERROR(__xludf.DUMMYFUNCTION("""COMPUTED_VALUE"""),"Цветаеву,")</f>
        <v>Цветаеву,</v>
      </c>
      <c r="Y378" s="1" t="str">
        <f>IFERROR(__xludf.DUMMYFUNCTION("""COMPUTED_VALUE"""),"это")</f>
        <v>это</v>
      </c>
      <c r="Z378" s="1" t="str">
        <f>IFERROR(__xludf.DUMMYFUNCTION("""COMPUTED_VALUE"""),"совершенно")</f>
        <v>совершенно</v>
      </c>
      <c r="AA378" s="1" t="str">
        <f>IFERROR(__xludf.DUMMYFUNCTION("""COMPUTED_VALUE"""),"разные")</f>
        <v>разные</v>
      </c>
    </row>
    <row r="379" ht="14.25" customHeight="1">
      <c r="B379" s="1" t="s">
        <v>3138</v>
      </c>
      <c r="C379" s="2"/>
      <c r="D379" s="7" t="s">
        <v>3139</v>
      </c>
      <c r="E379" s="1" t="s">
        <v>25</v>
      </c>
      <c r="F379" s="4" t="s">
        <v>3140</v>
      </c>
      <c r="G379" s="7" t="s">
        <v>3139</v>
      </c>
      <c r="H379" s="7" t="s">
        <v>3141</v>
      </c>
      <c r="I379" s="4" t="s">
        <v>3129</v>
      </c>
      <c r="J379" s="1" t="s">
        <v>29</v>
      </c>
      <c r="L379" s="1" t="s">
        <v>3130</v>
      </c>
      <c r="M379" s="1" t="s">
        <v>2295</v>
      </c>
      <c r="N379" s="1" t="s">
        <v>2377</v>
      </c>
      <c r="O379" s="1" t="s">
        <v>67</v>
      </c>
      <c r="P379" s="1" t="s">
        <v>3131</v>
      </c>
      <c r="Q379" s="1" t="s">
        <v>2611</v>
      </c>
      <c r="R379" s="1" t="s">
        <v>2295</v>
      </c>
      <c r="S379" s="1" t="s">
        <v>70</v>
      </c>
      <c r="T379" s="1" t="s">
        <v>1458</v>
      </c>
      <c r="U379" s="4" t="s">
        <v>3142</v>
      </c>
      <c r="V379" s="4" t="str">
        <f>IFERROR(__xludf.DUMMYFUNCTION("SPLIT(F379, "" "")"),"песни")</f>
        <v>песни</v>
      </c>
      <c r="W379" s="1" t="str">
        <f>IFERROR(__xludf.DUMMYFUNCTION("""COMPUTED_VALUE"""),"мужчин")</f>
        <v>мужчин</v>
      </c>
      <c r="X379" s="1" t="str">
        <f>IFERROR(__xludf.DUMMYFUNCTION("""COMPUTED_VALUE"""),"и")</f>
        <v>и</v>
      </c>
      <c r="Y379" s="1" t="str">
        <f>IFERROR(__xludf.DUMMYFUNCTION("""COMPUTED_VALUE"""),"женщин")</f>
        <v>женщин</v>
      </c>
    </row>
    <row r="380" ht="14.25" customHeight="1">
      <c r="B380" s="1" t="s">
        <v>3138</v>
      </c>
      <c r="C380" s="2"/>
      <c r="D380" s="7" t="s">
        <v>3139</v>
      </c>
      <c r="E380" s="1" t="s">
        <v>25</v>
      </c>
      <c r="F380" s="4" t="s">
        <v>3143</v>
      </c>
      <c r="G380" s="7" t="s">
        <v>3139</v>
      </c>
      <c r="H380" s="7" t="s">
        <v>3141</v>
      </c>
      <c r="I380" s="4" t="s">
        <v>3129</v>
      </c>
      <c r="J380" s="1" t="s">
        <v>29</v>
      </c>
      <c r="L380" s="1" t="s">
        <v>3130</v>
      </c>
      <c r="M380" s="1" t="s">
        <v>2295</v>
      </c>
      <c r="N380" s="1" t="s">
        <v>2377</v>
      </c>
      <c r="O380" s="1" t="s">
        <v>67</v>
      </c>
      <c r="P380" s="1" t="s">
        <v>3131</v>
      </c>
      <c r="Q380" s="1" t="s">
        <v>2611</v>
      </c>
      <c r="R380" s="1" t="s">
        <v>2295</v>
      </c>
      <c r="S380" s="1" t="s">
        <v>70</v>
      </c>
      <c r="T380" s="1" t="s">
        <v>1458</v>
      </c>
      <c r="U380" s="4" t="s">
        <v>3144</v>
      </c>
      <c r="V380" s="4" t="str">
        <f>IFERROR(__xludf.DUMMYFUNCTION("SPLIT(F380, "" "")"),"песни")</f>
        <v>песни</v>
      </c>
      <c r="W380" s="1" t="str">
        <f>IFERROR(__xludf.DUMMYFUNCTION("""COMPUTED_VALUE"""),"разных")</f>
        <v>разных</v>
      </c>
      <c r="X380" s="1" t="str">
        <f>IFERROR(__xludf.DUMMYFUNCTION("""COMPUTED_VALUE"""),"поколений")</f>
        <v>поколений</v>
      </c>
    </row>
    <row r="381" ht="14.25" customHeight="1">
      <c r="A381" s="1" t="s">
        <v>3145</v>
      </c>
      <c r="B381" s="1" t="s">
        <v>462</v>
      </c>
      <c r="C381" s="2" t="s">
        <v>3146</v>
      </c>
      <c r="D381" s="7" t="s">
        <v>464</v>
      </c>
      <c r="E381" s="1" t="s">
        <v>25</v>
      </c>
      <c r="F381" s="4" t="s">
        <v>3147</v>
      </c>
      <c r="G381" s="7" t="s">
        <v>464</v>
      </c>
      <c r="H381" s="7" t="s">
        <v>3141</v>
      </c>
      <c r="I381" s="4" t="s">
        <v>3129</v>
      </c>
      <c r="J381" s="1" t="s">
        <v>29</v>
      </c>
      <c r="L381" s="1" t="s">
        <v>3130</v>
      </c>
      <c r="M381" s="1" t="s">
        <v>2295</v>
      </c>
      <c r="N381" s="1" t="s">
        <v>2377</v>
      </c>
      <c r="O381" s="1" t="s">
        <v>67</v>
      </c>
      <c r="P381" s="1" t="s">
        <v>3131</v>
      </c>
      <c r="Q381" s="1" t="s">
        <v>2611</v>
      </c>
      <c r="R381" s="1" t="s">
        <v>2295</v>
      </c>
      <c r="S381" s="1" t="s">
        <v>70</v>
      </c>
      <c r="T381" s="1" t="s">
        <v>1458</v>
      </c>
      <c r="U381" s="4" t="s">
        <v>3148</v>
      </c>
      <c r="V381" s="4" t="str">
        <f>IFERROR(__xludf.DUMMYFUNCTION("SPLIT(F381, "" "")"),"песни")</f>
        <v>песни</v>
      </c>
      <c r="W381" s="1" t="str">
        <f>IFERROR(__xludf.DUMMYFUNCTION("""COMPUTED_VALUE"""),"и")</f>
        <v>и</v>
      </c>
      <c r="X381" s="1" t="str">
        <f>IFERROR(__xludf.DUMMYFUNCTION("""COMPUTED_VALUE"""),"ее")</f>
        <v>ее</v>
      </c>
      <c r="Y381" s="1" t="str">
        <f>IFERROR(__xludf.DUMMYFUNCTION("""COMPUTED_VALUE"""),"автора»")</f>
        <v>автора»</v>
      </c>
      <c r="Z381" s="1" t="str">
        <f>IFERROR(__xludf.DUMMYFUNCTION("""COMPUTED_VALUE"""),"(открытый")</f>
        <v>(открытый</v>
      </c>
      <c r="AA381" s="1" t="str">
        <f>IFERROR(__xludf.DUMMYFUNCTION("""COMPUTED_VALUE"""),"опрос)")</f>
        <v>опрос)</v>
      </c>
    </row>
    <row r="382" ht="14.25" customHeight="1">
      <c r="A382" s="1" t="s">
        <v>3149</v>
      </c>
      <c r="B382" s="1" t="s">
        <v>1477</v>
      </c>
      <c r="C382" s="2" t="s">
        <v>3150</v>
      </c>
      <c r="D382" s="7" t="s">
        <v>1478</v>
      </c>
      <c r="E382" s="1" t="s">
        <v>25</v>
      </c>
      <c r="F382" s="4" t="s">
        <v>3151</v>
      </c>
      <c r="G382" s="7" t="s">
        <v>1478</v>
      </c>
      <c r="H382" s="7" t="s">
        <v>3152</v>
      </c>
      <c r="I382" s="4" t="s">
        <v>3153</v>
      </c>
      <c r="L382" s="1" t="s">
        <v>3154</v>
      </c>
      <c r="M382" s="1" t="s">
        <v>2295</v>
      </c>
      <c r="N382" s="1" t="s">
        <v>2377</v>
      </c>
      <c r="O382" s="1" t="s">
        <v>67</v>
      </c>
      <c r="P382" s="1" t="s">
        <v>2046</v>
      </c>
      <c r="Q382" s="1" t="s">
        <v>2047</v>
      </c>
      <c r="R382" s="1" t="s">
        <v>2295</v>
      </c>
      <c r="S382" s="1" t="s">
        <v>70</v>
      </c>
      <c r="T382" s="1" t="s">
        <v>1458</v>
      </c>
      <c r="U382" s="4" t="s">
        <v>3155</v>
      </c>
      <c r="V382" s="4" t="str">
        <f>IFERROR(__xludf.DUMMYFUNCTION("SPLIT(F382, "" "")"),"власти")</f>
        <v>власти</v>
      </c>
      <c r="W382" s="1" t="str">
        <f>IFERROR(__xludf.DUMMYFUNCTION("""COMPUTED_VALUE"""),"США")</f>
        <v>США</v>
      </c>
      <c r="X382" s="1" t="str">
        <f>IFERROR(__xludf.DUMMYFUNCTION("""COMPUTED_VALUE"""),"приветствуют")</f>
        <v>приветствуют</v>
      </c>
      <c r="Y382" s="1" t="str">
        <f>IFERROR(__xludf.DUMMYFUNCTION("""COMPUTED_VALUE"""),"идею")</f>
        <v>идею</v>
      </c>
      <c r="Z382" s="1" t="str">
        <f>IFERROR(__xludf.DUMMYFUNCTION("""COMPUTED_VALUE"""),"создания")</f>
        <v>создания</v>
      </c>
      <c r="AA382" s="1" t="str">
        <f>IFERROR(__xludf.DUMMYFUNCTION("""COMPUTED_VALUE"""),"инфраструктурного")</f>
        <v>инфраструктурного</v>
      </c>
    </row>
    <row r="383" ht="14.25" customHeight="1">
      <c r="A383" s="1" t="s">
        <v>25</v>
      </c>
      <c r="B383" s="1" t="s">
        <v>1477</v>
      </c>
      <c r="C383" s="2"/>
      <c r="D383" s="7" t="s">
        <v>1478</v>
      </c>
      <c r="E383" s="1" t="s">
        <v>25</v>
      </c>
      <c r="F383" s="4" t="s">
        <v>3156</v>
      </c>
      <c r="G383" s="7" t="s">
        <v>1478</v>
      </c>
      <c r="H383" s="7" t="s">
        <v>927</v>
      </c>
      <c r="I383" s="4" t="s">
        <v>3157</v>
      </c>
      <c r="J383" s="1" t="s">
        <v>29</v>
      </c>
      <c r="L383" s="1" t="s">
        <v>3158</v>
      </c>
      <c r="M383" s="1" t="s">
        <v>3159</v>
      </c>
      <c r="N383" s="1" t="s">
        <v>32</v>
      </c>
      <c r="O383" s="1" t="s">
        <v>33</v>
      </c>
      <c r="P383" s="1" t="s">
        <v>3160</v>
      </c>
      <c r="S383" s="1" t="s">
        <v>35</v>
      </c>
      <c r="T383" s="1" t="s">
        <v>1458</v>
      </c>
      <c r="U383" s="4" t="s">
        <v>3161</v>
      </c>
      <c r="V383" s="4" t="str">
        <f>IFERROR(__xludf.DUMMYFUNCTION("SPLIT(F383, "" "")"),"детям")</f>
        <v>детям</v>
      </c>
      <c r="W383" s="1" t="str">
        <f>IFERROR(__xludf.DUMMYFUNCTION("""COMPUTED_VALUE"""),"было")</f>
        <v>было</v>
      </c>
      <c r="X383" s="1" t="str">
        <f>IFERROR(__xludf.DUMMYFUNCTION("""COMPUTED_VALUE"""),"бы")</f>
        <v>бы</v>
      </c>
      <c r="Y383" s="1" t="str">
        <f>IFERROR(__xludf.DUMMYFUNCTION("""COMPUTED_VALUE"""),"действительно")</f>
        <v>действительно</v>
      </c>
      <c r="Z383" s="1" t="str">
        <f>IFERROR(__xludf.DUMMYFUNCTION("""COMPUTED_VALUE"""),"очень")</f>
        <v>очень</v>
      </c>
      <c r="AA383" s="1" t="str">
        <f>IFERROR(__xludf.DUMMYFUNCTION("""COMPUTED_VALUE"""),"интересно")</f>
        <v>интересно</v>
      </c>
    </row>
    <row r="384" ht="14.25" customHeight="1">
      <c r="A384" s="1" t="s">
        <v>3162</v>
      </c>
      <c r="B384" s="1" t="s">
        <v>1448</v>
      </c>
      <c r="C384" s="2" t="s">
        <v>3163</v>
      </c>
      <c r="D384" s="7" t="s">
        <v>1450</v>
      </c>
      <c r="E384" s="1" t="s">
        <v>25</v>
      </c>
      <c r="F384" s="4" t="s">
        <v>3164</v>
      </c>
      <c r="G384" s="7" t="s">
        <v>1450</v>
      </c>
      <c r="H384" s="7" t="s">
        <v>3165</v>
      </c>
      <c r="I384" s="4" t="s">
        <v>3166</v>
      </c>
      <c r="J384" s="1" t="s">
        <v>3167</v>
      </c>
      <c r="K384" s="1" t="s">
        <v>1378</v>
      </c>
      <c r="L384" s="1" t="s">
        <v>3168</v>
      </c>
      <c r="M384" s="1" t="s">
        <v>3169</v>
      </c>
      <c r="N384" s="1" t="s">
        <v>139</v>
      </c>
      <c r="O384" s="1" t="s">
        <v>964</v>
      </c>
      <c r="Q384" s="1" t="s">
        <v>3170</v>
      </c>
      <c r="R384" s="1" t="s">
        <v>2295</v>
      </c>
      <c r="S384" s="1" t="s">
        <v>273</v>
      </c>
      <c r="T384" s="1" t="s">
        <v>1458</v>
      </c>
      <c r="U384" s="4" t="s">
        <v>3171</v>
      </c>
      <c r="V384" s="4" t="str">
        <f>IFERROR(__xludf.DUMMYFUNCTION("SPLIT(F384, "" "")"),"девушке")</f>
        <v>девушке</v>
      </c>
      <c r="W384" s="1" t="str">
        <f>IFERROR(__xludf.DUMMYFUNCTION("""COMPUTED_VALUE"""),"отвечал")</f>
        <v>отвечал</v>
      </c>
      <c r="X384" s="1" t="str">
        <f>IFERROR(__xludf.DUMMYFUNCTION("""COMPUTED_VALUE"""),"―")</f>
        <v>―</v>
      </c>
      <c r="Y384" s="1" t="str">
        <f>IFERROR(__xludf.DUMMYFUNCTION("""COMPUTED_VALUE"""),"да")</f>
        <v>да</v>
      </c>
      <c r="Z384" s="1" t="str">
        <f>IFERROR(__xludf.DUMMYFUNCTION("""COMPUTED_VALUE"""),"не")</f>
        <v>не</v>
      </c>
      <c r="AA384" s="1" t="str">
        <f>IFERROR(__xludf.DUMMYFUNCTION("""COMPUTED_VALUE"""),"отвечал,")</f>
        <v>отвечал,</v>
      </c>
      <c r="AB384" s="1" t="str">
        <f>IFERROR(__xludf.DUMMYFUNCTION("""COMPUTED_VALUE"""),"а")</f>
        <v>а</v>
      </c>
    </row>
    <row r="385" ht="14.25" customHeight="1">
      <c r="A385" s="1" t="s">
        <v>3172</v>
      </c>
      <c r="B385" s="1" t="s">
        <v>462</v>
      </c>
      <c r="C385" s="2" t="s">
        <v>3173</v>
      </c>
      <c r="D385" s="7" t="s">
        <v>464</v>
      </c>
      <c r="E385" s="1" t="s">
        <v>25</v>
      </c>
      <c r="F385" s="4" t="s">
        <v>3174</v>
      </c>
      <c r="G385" s="7" t="s">
        <v>464</v>
      </c>
      <c r="H385" s="7" t="s">
        <v>3175</v>
      </c>
      <c r="I385" s="4" t="s">
        <v>3166</v>
      </c>
      <c r="J385" s="1" t="s">
        <v>3167</v>
      </c>
      <c r="K385" s="1" t="s">
        <v>1378</v>
      </c>
      <c r="L385" s="1" t="s">
        <v>3168</v>
      </c>
      <c r="M385" s="1" t="s">
        <v>3169</v>
      </c>
      <c r="N385" s="1" t="s">
        <v>139</v>
      </c>
      <c r="O385" s="1" t="s">
        <v>964</v>
      </c>
      <c r="Q385" s="1" t="s">
        <v>3170</v>
      </c>
      <c r="R385" s="1" t="s">
        <v>2295</v>
      </c>
      <c r="S385" s="1" t="s">
        <v>273</v>
      </c>
      <c r="T385" s="1" t="s">
        <v>1458</v>
      </c>
      <c r="U385" s="4" t="s">
        <v>3176</v>
      </c>
      <c r="V385" s="4" t="str">
        <f>IFERROR(__xludf.DUMMYFUNCTION("SPLIT(F385, "" "")"),"церкви")</f>
        <v>церкви</v>
      </c>
      <c r="W385" s="1" t="str">
        <f>IFERROR(__xludf.DUMMYFUNCTION("""COMPUTED_VALUE"""),"Фрари,")</f>
        <v>Фрари,</v>
      </c>
      <c r="X385" s="1" t="str">
        <f>IFERROR(__xludf.DUMMYFUNCTION("""COMPUTED_VALUE"""),"мечтал,")</f>
        <v>мечтал,</v>
      </c>
      <c r="Y385" s="1" t="str">
        <f>IFERROR(__xludf.DUMMYFUNCTION("""COMPUTED_VALUE"""),"что")</f>
        <v>что</v>
      </c>
      <c r="Z385" s="1" t="str">
        <f>IFERROR(__xludf.DUMMYFUNCTION("""COMPUTED_VALUE"""),"его")</f>
        <v>его</v>
      </c>
      <c r="AA385" s="1" t="str">
        <f>IFERROR(__xludf.DUMMYFUNCTION("""COMPUTED_VALUE"""),"там")</f>
        <v>там</v>
      </c>
    </row>
    <row r="386" ht="14.25" customHeight="1">
      <c r="A386" s="1" t="s">
        <v>3177</v>
      </c>
      <c r="B386" s="1" t="s">
        <v>3178</v>
      </c>
      <c r="C386" s="2" t="s">
        <v>3179</v>
      </c>
      <c r="D386" s="7" t="s">
        <v>3180</v>
      </c>
      <c r="E386" s="1" t="s">
        <v>25</v>
      </c>
      <c r="F386" s="4" t="s">
        <v>3181</v>
      </c>
      <c r="G386" s="7" t="s">
        <v>3180</v>
      </c>
      <c r="H386" s="7" t="s">
        <v>3182</v>
      </c>
      <c r="I386" s="4" t="s">
        <v>3166</v>
      </c>
      <c r="J386" s="1" t="s">
        <v>3167</v>
      </c>
      <c r="K386" s="1" t="s">
        <v>1378</v>
      </c>
      <c r="L386" s="1" t="s">
        <v>3168</v>
      </c>
      <c r="M386" s="1" t="s">
        <v>3169</v>
      </c>
      <c r="N386" s="1" t="s">
        <v>139</v>
      </c>
      <c r="O386" s="1" t="s">
        <v>964</v>
      </c>
      <c r="Q386" s="1" t="s">
        <v>3170</v>
      </c>
      <c r="R386" s="1" t="s">
        <v>2295</v>
      </c>
      <c r="S386" s="1" t="s">
        <v>273</v>
      </c>
      <c r="T386" s="1" t="s">
        <v>1458</v>
      </c>
      <c r="U386" s="4" t="s">
        <v>3183</v>
      </c>
      <c r="V386" s="4" t="str">
        <f>IFERROR(__xludf.DUMMYFUNCTION("SPLIT(F386, "" "")"),"золотым")</f>
        <v>золотым</v>
      </c>
      <c r="W386" s="1" t="str">
        <f>IFERROR(__xludf.DUMMYFUNCTION("""COMPUTED_VALUE"""),"колечкам")</f>
        <v>колечкам</v>
      </c>
      <c r="X386" s="1" t="str">
        <f>IFERROR(__xludf.DUMMYFUNCTION("""COMPUTED_VALUE"""),"еще")</f>
        <v>еще</v>
      </c>
      <c r="Y386" s="1" t="str">
        <f>IFERROR(__xludf.DUMMYFUNCTION("""COMPUTED_VALUE"""),"одной")</f>
        <v>одной</v>
      </c>
      <c r="Z386" s="1" t="str">
        <f>IFERROR(__xludf.DUMMYFUNCTION("""COMPUTED_VALUE"""),"судьбы…")</f>
        <v>судьбы…</v>
      </c>
    </row>
    <row r="387" ht="14.25" customHeight="1">
      <c r="A387" s="1" t="s">
        <v>922</v>
      </c>
      <c r="B387" s="1" t="s">
        <v>720</v>
      </c>
      <c r="C387" s="2" t="s">
        <v>924</v>
      </c>
      <c r="D387" s="7" t="s">
        <v>722</v>
      </c>
      <c r="E387" s="1" t="s">
        <v>25</v>
      </c>
      <c r="F387" s="4" t="s">
        <v>3184</v>
      </c>
      <c r="G387" s="7" t="s">
        <v>722</v>
      </c>
      <c r="H387" s="7" t="s">
        <v>3185</v>
      </c>
      <c r="I387" s="4" t="s">
        <v>3166</v>
      </c>
      <c r="J387" s="1" t="s">
        <v>3167</v>
      </c>
      <c r="K387" s="1" t="s">
        <v>1378</v>
      </c>
      <c r="L387" s="1" t="s">
        <v>3168</v>
      </c>
      <c r="M387" s="1" t="s">
        <v>3169</v>
      </c>
      <c r="N387" s="1" t="s">
        <v>139</v>
      </c>
      <c r="O387" s="1" t="s">
        <v>964</v>
      </c>
      <c r="Q387" s="1" t="s">
        <v>3170</v>
      </c>
      <c r="R387" s="1" t="s">
        <v>2295</v>
      </c>
      <c r="S387" s="1" t="s">
        <v>273</v>
      </c>
      <c r="T387" s="1" t="s">
        <v>1458</v>
      </c>
      <c r="U387" s="4" t="s">
        <v>3186</v>
      </c>
      <c r="V387" s="4" t="str">
        <f>IFERROR(__xludf.DUMMYFUNCTION("SPLIT(F387, "" "")"),"Леньку")</f>
        <v>Леньку</v>
      </c>
      <c r="W387" s="1" t="str">
        <f>IFERROR(__xludf.DUMMYFUNCTION("""COMPUTED_VALUE"""),"огорчать.")</f>
        <v>огорчать.</v>
      </c>
    </row>
    <row r="388" ht="14.25" customHeight="1">
      <c r="A388" s="1" t="s">
        <v>3187</v>
      </c>
      <c r="B388" s="1" t="s">
        <v>3188</v>
      </c>
      <c r="C388" s="2" t="s">
        <v>3189</v>
      </c>
      <c r="D388" s="7" t="s">
        <v>3190</v>
      </c>
      <c r="E388" s="1" t="s">
        <v>25</v>
      </c>
      <c r="F388" s="4" t="s">
        <v>3191</v>
      </c>
      <c r="G388" s="7" t="s">
        <v>3190</v>
      </c>
      <c r="H388" s="7" t="s">
        <v>3192</v>
      </c>
      <c r="I388" s="4" t="s">
        <v>3166</v>
      </c>
      <c r="J388" s="1" t="s">
        <v>3167</v>
      </c>
      <c r="K388" s="1" t="s">
        <v>1378</v>
      </c>
      <c r="L388" s="1" t="s">
        <v>3168</v>
      </c>
      <c r="M388" s="1" t="s">
        <v>3169</v>
      </c>
      <c r="N388" s="1" t="s">
        <v>139</v>
      </c>
      <c r="O388" s="1" t="s">
        <v>964</v>
      </c>
      <c r="Q388" s="1" t="s">
        <v>3170</v>
      </c>
      <c r="R388" s="1" t="s">
        <v>2295</v>
      </c>
      <c r="S388" s="1" t="s">
        <v>273</v>
      </c>
      <c r="T388" s="1" t="s">
        <v>1458</v>
      </c>
      <c r="U388" s="4" t="s">
        <v>3193</v>
      </c>
      <c r="V388" s="4" t="str">
        <f>IFERROR(__xludf.DUMMYFUNCTION("SPLIT(F388, "" "")"),"неприязни")</f>
        <v>неприязни</v>
      </c>
      <c r="W388" s="1" t="str">
        <f>IFERROR(__xludf.DUMMYFUNCTION("""COMPUTED_VALUE"""),"до")</f>
        <v>до</v>
      </c>
      <c r="X388" s="1" t="str">
        <f>IFERROR(__xludf.DUMMYFUNCTION("""COMPUTED_VALUE"""),"чувства")</f>
        <v>чувства</v>
      </c>
      <c r="Y388" s="1" t="str">
        <f>IFERROR(__xludf.DUMMYFUNCTION("""COMPUTED_VALUE"""),"глубокой")</f>
        <v>глубокой</v>
      </c>
      <c r="Z388" s="1" t="str">
        <f>IFERROR(__xludf.DUMMYFUNCTION("""COMPUTED_VALUE"""),"моей")</f>
        <v>моей</v>
      </c>
      <c r="AA388" s="1" t="str">
        <f>IFERROR(__xludf.DUMMYFUNCTION("""COMPUTED_VALUE"""),"вины.")</f>
        <v>вины.</v>
      </c>
    </row>
    <row r="389" ht="14.25" customHeight="1">
      <c r="A389" s="1" t="s">
        <v>3194</v>
      </c>
      <c r="B389" s="1" t="s">
        <v>414</v>
      </c>
      <c r="C389" s="2" t="s">
        <v>3195</v>
      </c>
      <c r="D389" s="7" t="s">
        <v>416</v>
      </c>
      <c r="E389" s="1" t="s">
        <v>25</v>
      </c>
      <c r="F389" s="4" t="s">
        <v>3196</v>
      </c>
      <c r="G389" s="7" t="s">
        <v>416</v>
      </c>
      <c r="H389" s="7" t="s">
        <v>3197</v>
      </c>
      <c r="I389" s="4" t="s">
        <v>3166</v>
      </c>
      <c r="J389" s="1" t="s">
        <v>3167</v>
      </c>
      <c r="K389" s="1" t="s">
        <v>1378</v>
      </c>
      <c r="L389" s="1" t="s">
        <v>3168</v>
      </c>
      <c r="M389" s="1" t="s">
        <v>3169</v>
      </c>
      <c r="N389" s="1" t="s">
        <v>139</v>
      </c>
      <c r="O389" s="1" t="s">
        <v>964</v>
      </c>
      <c r="Q389" s="1" t="s">
        <v>3170</v>
      </c>
      <c r="R389" s="1" t="s">
        <v>2295</v>
      </c>
      <c r="S389" s="1" t="s">
        <v>273</v>
      </c>
      <c r="T389" s="1" t="s">
        <v>1458</v>
      </c>
      <c r="U389" s="4" t="s">
        <v>3198</v>
      </c>
      <c r="V389" s="4" t="str">
        <f>IFERROR(__xludf.DUMMYFUNCTION("SPLIT(F389, "" "")"),"разнообразию.")</f>
        <v>разнообразию.</v>
      </c>
    </row>
    <row r="390" ht="14.25" customHeight="1">
      <c r="A390" s="1" t="s">
        <v>3199</v>
      </c>
      <c r="B390" s="1" t="s">
        <v>3200</v>
      </c>
      <c r="C390" s="2" t="s">
        <v>3201</v>
      </c>
      <c r="D390" s="7" t="s">
        <v>3202</v>
      </c>
      <c r="E390" s="1" t="s">
        <v>25</v>
      </c>
      <c r="F390" s="4" t="s">
        <v>3203</v>
      </c>
      <c r="G390" s="7" t="s">
        <v>3202</v>
      </c>
      <c r="H390" s="7" t="s">
        <v>2658</v>
      </c>
      <c r="I390" s="4" t="s">
        <v>3166</v>
      </c>
      <c r="J390" s="1" t="s">
        <v>3167</v>
      </c>
      <c r="K390" s="1" t="s">
        <v>1378</v>
      </c>
      <c r="L390" s="1" t="s">
        <v>3168</v>
      </c>
      <c r="M390" s="1" t="s">
        <v>3169</v>
      </c>
      <c r="N390" s="1" t="s">
        <v>139</v>
      </c>
      <c r="O390" s="1" t="s">
        <v>964</v>
      </c>
      <c r="Q390" s="1" t="s">
        <v>3170</v>
      </c>
      <c r="R390" s="1" t="s">
        <v>2295</v>
      </c>
      <c r="S390" s="1" t="s">
        <v>273</v>
      </c>
      <c r="T390" s="1" t="s">
        <v>1458</v>
      </c>
      <c r="U390" s="4" t="s">
        <v>3204</v>
      </c>
      <c r="V390" s="4" t="str">
        <f>IFERROR(__xludf.DUMMYFUNCTION("SPLIT(F390, "" "")"),"новым")</f>
        <v>новым</v>
      </c>
      <c r="W390" s="1" t="str">
        <f>IFERROR(__xludf.DUMMYFUNCTION("""COMPUTED_VALUE"""),"их")</f>
        <v>их</v>
      </c>
      <c r="X390" s="1" t="str">
        <f>IFERROR(__xludf.DUMMYFUNCTION("""COMPUTED_VALUE"""),"правилом")</f>
        <v>правилом</v>
      </c>
      <c r="Y390" s="1" t="str">
        <f>IFERROR(__xludf.DUMMYFUNCTION("""COMPUTED_VALUE"""),"―")</f>
        <v>―</v>
      </c>
      <c r="Z390" s="1" t="str">
        <f>IFERROR(__xludf.DUMMYFUNCTION("""COMPUTED_VALUE"""),"не")</f>
        <v>не</v>
      </c>
      <c r="AA390" s="1" t="str">
        <f>IFERROR(__xludf.DUMMYFUNCTION("""COMPUTED_VALUE"""),"подавать")</f>
        <v>подавать</v>
      </c>
      <c r="AB390" s="1" t="str">
        <f>IFERROR(__xludf.DUMMYFUNCTION("""COMPUTED_VALUE"""),"кофе")</f>
        <v>кофе</v>
      </c>
    </row>
    <row r="391" ht="14.25" customHeight="1">
      <c r="A391" s="1" t="s">
        <v>922</v>
      </c>
      <c r="B391" s="1" t="s">
        <v>1802</v>
      </c>
      <c r="C391" s="2" t="s">
        <v>924</v>
      </c>
      <c r="D391" s="7" t="s">
        <v>1804</v>
      </c>
      <c r="E391" s="1" t="s">
        <v>25</v>
      </c>
      <c r="F391" s="4" t="s">
        <v>3205</v>
      </c>
      <c r="G391" s="7" t="s">
        <v>1804</v>
      </c>
      <c r="H391" s="7" t="s">
        <v>3206</v>
      </c>
      <c r="I391" s="4" t="s">
        <v>3207</v>
      </c>
      <c r="J391" s="1" t="s">
        <v>29</v>
      </c>
      <c r="L391" s="1" t="s">
        <v>3208</v>
      </c>
      <c r="M391" s="1" t="s">
        <v>3209</v>
      </c>
      <c r="N391" s="1" t="s">
        <v>32</v>
      </c>
      <c r="O391" s="1" t="s">
        <v>80</v>
      </c>
      <c r="P391" s="1" t="s">
        <v>81</v>
      </c>
      <c r="S391" s="1" t="s">
        <v>35</v>
      </c>
      <c r="T391" s="1" t="s">
        <v>1458</v>
      </c>
      <c r="U391" s="4" t="s">
        <v>3210</v>
      </c>
      <c r="V391" s="4" t="str">
        <f>IFERROR(__xludf.DUMMYFUNCTION("SPLIT(F391, "" "")"),"суши!")</f>
        <v>суши!</v>
      </c>
    </row>
    <row r="392" ht="14.25" customHeight="1">
      <c r="A392" s="1" t="s">
        <v>3211</v>
      </c>
      <c r="B392" s="1" t="s">
        <v>1802</v>
      </c>
      <c r="C392" s="2" t="s">
        <v>3212</v>
      </c>
      <c r="D392" s="7" t="s">
        <v>1804</v>
      </c>
      <c r="E392" s="1" t="s">
        <v>25</v>
      </c>
      <c r="F392" s="4" t="s">
        <v>3213</v>
      </c>
      <c r="G392" s="7" t="s">
        <v>1804</v>
      </c>
      <c r="H392" s="7" t="s">
        <v>3214</v>
      </c>
      <c r="I392" s="4" t="s">
        <v>3207</v>
      </c>
      <c r="J392" s="1" t="s">
        <v>29</v>
      </c>
      <c r="L392" s="1" t="s">
        <v>3208</v>
      </c>
      <c r="M392" s="1" t="s">
        <v>3209</v>
      </c>
      <c r="N392" s="1" t="s">
        <v>32</v>
      </c>
      <c r="O392" s="1" t="s">
        <v>80</v>
      </c>
      <c r="P392" s="1" t="s">
        <v>81</v>
      </c>
      <c r="S392" s="1" t="s">
        <v>35</v>
      </c>
      <c r="T392" s="1" t="s">
        <v>1458</v>
      </c>
      <c r="U392" s="4" t="s">
        <v>3215</v>
      </c>
      <c r="V392" s="4" t="str">
        <f>IFERROR(__xludf.DUMMYFUNCTION("SPLIT(F392, "" "")"),"суши")</f>
        <v>суши</v>
      </c>
      <c r="W392" s="1" t="str">
        <f>IFERROR(__xludf.DUMMYFUNCTION("""COMPUTED_VALUE"""),"(([e-NOTik]")</f>
        <v>(([e-NOTik]</v>
      </c>
      <c r="X392" s="1" t="str">
        <f>IFERROR(__xludf.DUMMYFUNCTION("""COMPUTED_VALUE"""),"Почему")</f>
        <v>Почему</v>
      </c>
      <c r="Y392" s="1" t="str">
        <f>IFERROR(__xludf.DUMMYFUNCTION("""COMPUTED_VALUE"""),"скучаете?")</f>
        <v>скучаете?</v>
      </c>
    </row>
    <row r="393" ht="14.25" customHeight="1">
      <c r="A393" s="1" t="s">
        <v>3216</v>
      </c>
      <c r="B393" s="1" t="s">
        <v>1477</v>
      </c>
      <c r="C393" s="2" t="s">
        <v>3217</v>
      </c>
      <c r="D393" s="7" t="s">
        <v>1478</v>
      </c>
      <c r="E393" s="1" t="s">
        <v>25</v>
      </c>
      <c r="F393" s="4" t="s">
        <v>3218</v>
      </c>
      <c r="G393" s="7" t="s">
        <v>1478</v>
      </c>
      <c r="H393" s="7" t="s">
        <v>1872</v>
      </c>
      <c r="I393" s="4" t="s">
        <v>3219</v>
      </c>
      <c r="J393" s="1" t="s">
        <v>29</v>
      </c>
      <c r="L393" s="1" t="s">
        <v>3220</v>
      </c>
      <c r="M393" s="1" t="s">
        <v>3221</v>
      </c>
      <c r="N393" s="1" t="s">
        <v>32</v>
      </c>
      <c r="O393" s="1" t="s">
        <v>80</v>
      </c>
      <c r="P393" s="1" t="s">
        <v>3222</v>
      </c>
      <c r="S393" s="1" t="s">
        <v>35</v>
      </c>
      <c r="T393" s="1" t="s">
        <v>1458</v>
      </c>
      <c r="U393" s="4" t="s">
        <v>3223</v>
      </c>
      <c r="V393" s="4" t="str">
        <f>IFERROR(__xludf.DUMMYFUNCTION("SPLIT(F393, "" "")"),"были")</f>
        <v>были</v>
      </c>
      <c r="W393" s="1" t="str">
        <f>IFERROR(__xludf.DUMMYFUNCTION("""COMPUTED_VALUE"""),"там")</f>
        <v>там</v>
      </c>
      <c r="X393" s="1" t="str">
        <f>IFERROR(__xludf.DUMMYFUNCTION("""COMPUTED_VALUE"""),"и")</f>
        <v>и</v>
      </c>
      <c r="Y393" s="1" t="str">
        <f>IFERROR(__xludf.DUMMYFUNCTION("""COMPUTED_VALUE"""),"записи")</f>
        <v>записи</v>
      </c>
      <c r="Z393" s="1" t="str">
        <f>IFERROR(__xludf.DUMMYFUNCTION("""COMPUTED_VALUE"""),"правдивые…")</f>
        <v>правдивые…</v>
      </c>
      <c r="AA393" s="1" t="str">
        <f>IFERROR(__xludf.DUMMYFUNCTION("""COMPUTED_VALUE"""),"к")</f>
        <v>к</v>
      </c>
    </row>
    <row r="394" ht="14.25" customHeight="1">
      <c r="A394" s="1" t="s">
        <v>3224</v>
      </c>
      <c r="B394" s="1" t="s">
        <v>3225</v>
      </c>
      <c r="C394" s="2" t="s">
        <v>3226</v>
      </c>
      <c r="D394" s="7" t="s">
        <v>3227</v>
      </c>
      <c r="E394" s="1" t="s">
        <v>25</v>
      </c>
      <c r="F394" s="4" t="s">
        <v>3228</v>
      </c>
      <c r="G394" s="7" t="s">
        <v>3227</v>
      </c>
      <c r="H394" s="7" t="s">
        <v>3229</v>
      </c>
      <c r="I394" s="4" t="s">
        <v>3230</v>
      </c>
      <c r="J394" s="1" t="s">
        <v>3231</v>
      </c>
      <c r="K394" s="1" t="s">
        <v>890</v>
      </c>
      <c r="L394" s="1" t="s">
        <v>3232</v>
      </c>
      <c r="M394" s="1" t="s">
        <v>3233</v>
      </c>
      <c r="N394" s="1" t="s">
        <v>2377</v>
      </c>
      <c r="O394" s="1" t="s">
        <v>67</v>
      </c>
      <c r="P394" s="1" t="s">
        <v>3234</v>
      </c>
      <c r="Q394" s="1" t="s">
        <v>2047</v>
      </c>
      <c r="R394" s="1" t="s">
        <v>3233</v>
      </c>
      <c r="S394" s="1" t="s">
        <v>70</v>
      </c>
      <c r="T394" s="1" t="s">
        <v>1458</v>
      </c>
      <c r="U394" s="4" t="s">
        <v>3235</v>
      </c>
      <c r="V394" s="4" t="str">
        <f>IFERROR(__xludf.DUMMYFUNCTION("SPLIT(F394, "" "")"),"гостю")</f>
        <v>гостю</v>
      </c>
      <c r="W394" s="1" t="str">
        <f>IFERROR(__xludf.DUMMYFUNCTION("""COMPUTED_VALUE"""),"и")</f>
        <v>и</v>
      </c>
      <c r="X394" s="1" t="str">
        <f>IFERROR(__xludf.DUMMYFUNCTION("""COMPUTED_VALUE"""),"с")</f>
        <v>с</v>
      </c>
      <c r="Y394" s="1" t="str">
        <f>IFERROR(__xludf.DUMMYFUNCTION("""COMPUTED_VALUE"""),"плохо")</f>
        <v>плохо</v>
      </c>
      <c r="Z394" s="1" t="str">
        <f>IFERROR(__xludf.DUMMYFUNCTION("""COMPUTED_VALUE"""),"скрываемой")</f>
        <v>скрываемой</v>
      </c>
      <c r="AA394" s="1" t="str">
        <f>IFERROR(__xludf.DUMMYFUNCTION("""COMPUTED_VALUE"""),"ностальгией")</f>
        <v>ностальгией</v>
      </c>
    </row>
    <row r="395" ht="14.25" customHeight="1">
      <c r="A395" s="1" t="s">
        <v>3236</v>
      </c>
      <c r="B395" s="1" t="s">
        <v>2205</v>
      </c>
      <c r="C395" s="2" t="s">
        <v>3237</v>
      </c>
      <c r="D395" s="7" t="s">
        <v>2207</v>
      </c>
      <c r="E395" s="1" t="s">
        <v>25</v>
      </c>
      <c r="F395" s="4" t="s">
        <v>3238</v>
      </c>
      <c r="G395" s="7" t="s">
        <v>2207</v>
      </c>
      <c r="H395" s="7" t="s">
        <v>3239</v>
      </c>
      <c r="I395" s="4" t="s">
        <v>3240</v>
      </c>
      <c r="J395" s="1" t="s">
        <v>3241</v>
      </c>
      <c r="L395" s="1" t="s">
        <v>3242</v>
      </c>
      <c r="M395" s="1" t="s">
        <v>3233</v>
      </c>
      <c r="N395" s="1" t="s">
        <v>51</v>
      </c>
      <c r="O395" s="1" t="s">
        <v>67</v>
      </c>
      <c r="P395" s="1" t="s">
        <v>3243</v>
      </c>
      <c r="Q395" s="1" t="s">
        <v>3244</v>
      </c>
      <c r="R395" s="1" t="s">
        <v>3233</v>
      </c>
      <c r="S395" s="1" t="s">
        <v>70</v>
      </c>
      <c r="T395" s="1" t="s">
        <v>1458</v>
      </c>
      <c r="U395" s="4" t="s">
        <v>3245</v>
      </c>
      <c r="V395" s="4" t="str">
        <f>IFERROR(__xludf.DUMMYFUNCTION("SPLIT(F395, "" "")"),"главным")</f>
        <v>главным</v>
      </c>
      <c r="W395" s="1" t="str">
        <f>IFERROR(__xludf.DUMMYFUNCTION("""COMPUTED_VALUE"""),"образом")</f>
        <v>образом</v>
      </c>
      <c r="X395" s="1" t="str">
        <f>IFERROR(__xludf.DUMMYFUNCTION("""COMPUTED_VALUE"""),"удержать")</f>
        <v>удержать</v>
      </c>
      <c r="Y395" s="1" t="str">
        <f>IFERROR(__xludf.DUMMYFUNCTION("""COMPUTED_VALUE"""),"свои")</f>
        <v>свои</v>
      </c>
      <c r="Z395" s="1" t="str">
        <f>IFERROR(__xludf.DUMMYFUNCTION("""COMPUTED_VALUE"""),"позиции,")</f>
        <v>позиции,</v>
      </c>
      <c r="AA395" s="1" t="str">
        <f>IFERROR(__xludf.DUMMYFUNCTION("""COMPUTED_VALUE"""),"поскольку")</f>
        <v>поскольку</v>
      </c>
    </row>
    <row r="396" ht="14.25" customHeight="1">
      <c r="B396" s="1" t="s">
        <v>1477</v>
      </c>
      <c r="C396" s="2"/>
      <c r="D396" s="7" t="s">
        <v>1478</v>
      </c>
      <c r="E396" s="1" t="s">
        <v>25</v>
      </c>
      <c r="F396" s="4" t="s">
        <v>3246</v>
      </c>
      <c r="G396" s="7" t="s">
        <v>1478</v>
      </c>
      <c r="H396" s="7" t="s">
        <v>3247</v>
      </c>
      <c r="I396" s="4" t="s">
        <v>3248</v>
      </c>
      <c r="J396" s="1" t="s">
        <v>3249</v>
      </c>
      <c r="L396" s="1" t="s">
        <v>3250</v>
      </c>
      <c r="M396" s="1" t="s">
        <v>3233</v>
      </c>
      <c r="N396" s="1" t="s">
        <v>126</v>
      </c>
      <c r="O396" s="1" t="s">
        <v>2066</v>
      </c>
      <c r="P396" s="1" t="s">
        <v>3251</v>
      </c>
      <c r="Q396" s="1" t="s">
        <v>3252</v>
      </c>
      <c r="R396" s="1" t="s">
        <v>3233</v>
      </c>
      <c r="S396" s="1" t="s">
        <v>273</v>
      </c>
      <c r="T396" s="1" t="s">
        <v>1458</v>
      </c>
      <c r="U396" s="4" t="s">
        <v>3253</v>
      </c>
      <c r="V396" s="4" t="str">
        <f>IFERROR(__xludf.DUMMYFUNCTION("SPLIT(F396, "" "")"),"параллели")</f>
        <v>параллели</v>
      </c>
      <c r="W396" s="1" t="str">
        <f>IFERROR(__xludf.DUMMYFUNCTION("""COMPUTED_VALUE"""),"между")</f>
        <v>между</v>
      </c>
      <c r="X396" s="1" t="str">
        <f>IFERROR(__xludf.DUMMYFUNCTION("""COMPUTED_VALUE"""),"ГПГ")</f>
        <v>ГПГ</v>
      </c>
      <c r="Y396" s="1" t="str">
        <f>IFERROR(__xludf.DUMMYFUNCTION("""COMPUTED_VALUE"""),"и")</f>
        <v>и</v>
      </c>
      <c r="Z396" s="1" t="str">
        <f>IFERROR(__xludf.DUMMYFUNCTION("""COMPUTED_VALUE"""),"амфимиксисом")</f>
        <v>амфимиксисом</v>
      </c>
      <c r="AA396" s="1" t="str">
        <f>IFERROR(__xludf.DUMMYFUNCTION("""COMPUTED_VALUE"""),"очевидны")</f>
        <v>очевидны</v>
      </c>
    </row>
    <row r="397" ht="14.25" customHeight="1">
      <c r="A397" s="1" t="s">
        <v>25</v>
      </c>
      <c r="B397" s="1" t="s">
        <v>1477</v>
      </c>
      <c r="C397" s="2"/>
      <c r="D397" s="7" t="s">
        <v>1478</v>
      </c>
      <c r="E397" s="1" t="s">
        <v>25</v>
      </c>
      <c r="F397" s="4" t="s">
        <v>3254</v>
      </c>
      <c r="G397" s="7" t="s">
        <v>1478</v>
      </c>
      <c r="H397" s="7" t="s">
        <v>1480</v>
      </c>
      <c r="I397" s="4" t="s">
        <v>3255</v>
      </c>
      <c r="J397" s="1" t="s">
        <v>2375</v>
      </c>
      <c r="L397" s="1" t="s">
        <v>3256</v>
      </c>
      <c r="M397" s="1" t="s">
        <v>3233</v>
      </c>
      <c r="N397" s="1" t="s">
        <v>2377</v>
      </c>
      <c r="O397" s="1" t="s">
        <v>67</v>
      </c>
      <c r="P397" s="1" t="s">
        <v>3257</v>
      </c>
      <c r="Q397" s="1" t="s">
        <v>2047</v>
      </c>
      <c r="R397" s="1" t="s">
        <v>3233</v>
      </c>
      <c r="S397" s="1" t="s">
        <v>70</v>
      </c>
      <c r="T397" s="1" t="s">
        <v>1458</v>
      </c>
      <c r="U397" s="4" t="s">
        <v>3258</v>
      </c>
      <c r="V397" s="4" t="str">
        <f>IFERROR(__xludf.DUMMYFUNCTION("SPLIT(F397, "" "")"),"справедливости")</f>
        <v>справедливости</v>
      </c>
      <c r="W397" s="1" t="str">
        <f>IFERROR(__xludf.DUMMYFUNCTION("""COMPUTED_VALUE"""),"ради")</f>
        <v>ради</v>
      </c>
      <c r="X397" s="1" t="str">
        <f>IFERROR(__xludf.DUMMYFUNCTION("""COMPUTED_VALUE"""),"стоить")</f>
        <v>стоить</v>
      </c>
      <c r="Y397" s="1" t="str">
        <f>IFERROR(__xludf.DUMMYFUNCTION("""COMPUTED_VALUE"""),"заметить,")</f>
        <v>заметить,</v>
      </c>
      <c r="Z397" s="1" t="str">
        <f>IFERROR(__xludf.DUMMYFUNCTION("""COMPUTED_VALUE"""),"что")</f>
        <v>что</v>
      </c>
      <c r="AA397" s="1" t="str">
        <f>IFERROR(__xludf.DUMMYFUNCTION("""COMPUTED_VALUE"""),"лет")</f>
        <v>лет</v>
      </c>
    </row>
    <row r="398" ht="14.25" customHeight="1">
      <c r="A398" s="1" t="s">
        <v>3259</v>
      </c>
      <c r="B398" s="1" t="s">
        <v>1448</v>
      </c>
      <c r="C398" s="2" t="s">
        <v>3260</v>
      </c>
      <c r="D398" s="7" t="s">
        <v>1450</v>
      </c>
      <c r="E398" s="1" t="s">
        <v>25</v>
      </c>
      <c r="F398" s="4" t="s">
        <v>3261</v>
      </c>
      <c r="G398" s="7" t="s">
        <v>1450</v>
      </c>
      <c r="H398" s="7" t="s">
        <v>402</v>
      </c>
      <c r="I398" s="4" t="s">
        <v>3262</v>
      </c>
      <c r="J398" s="1" t="s">
        <v>3263</v>
      </c>
      <c r="L398" s="1" t="s">
        <v>3264</v>
      </c>
      <c r="M398" s="1" t="s">
        <v>3233</v>
      </c>
      <c r="N398" s="1" t="s">
        <v>2377</v>
      </c>
      <c r="O398" s="1" t="s">
        <v>67</v>
      </c>
      <c r="P398" s="1" t="s">
        <v>3265</v>
      </c>
      <c r="Q398" s="1" t="s">
        <v>2047</v>
      </c>
      <c r="R398" s="1" t="s">
        <v>3233</v>
      </c>
      <c r="S398" s="1" t="s">
        <v>70</v>
      </c>
      <c r="T398" s="1" t="s">
        <v>1458</v>
      </c>
      <c r="U398" s="4" t="s">
        <v>3266</v>
      </c>
      <c r="V398" s="4" t="str">
        <f>IFERROR(__xludf.DUMMYFUNCTION("SPLIT(F398, "" "")"),"возможности")</f>
        <v>возможности</v>
      </c>
      <c r="W398" s="1" t="str">
        <f>IFERROR(__xludf.DUMMYFUNCTION("""COMPUTED_VALUE"""),"стана")</f>
        <v>стана</v>
      </c>
      <c r="X398" s="1" t="str">
        <f>IFERROR(__xludf.DUMMYFUNCTION("""COMPUTED_VALUE"""),"позволяют")</f>
        <v>позволяют</v>
      </c>
      <c r="Y398" s="1" t="str">
        <f>IFERROR(__xludf.DUMMYFUNCTION("""COMPUTED_VALUE"""),"производить")</f>
        <v>производить</v>
      </c>
      <c r="Z398" s="1" t="str">
        <f>IFERROR(__xludf.DUMMYFUNCTION("""COMPUTED_VALUE"""),"и")</f>
        <v>и</v>
      </c>
      <c r="AA398" s="1" t="str">
        <f>IFERROR(__xludf.DUMMYFUNCTION("""COMPUTED_VALUE"""),"другую")</f>
        <v>другую</v>
      </c>
    </row>
    <row r="399" ht="14.25" customHeight="1">
      <c r="A399" s="1" t="s">
        <v>3267</v>
      </c>
      <c r="B399" s="1" t="s">
        <v>326</v>
      </c>
      <c r="C399" s="2" t="s">
        <v>3268</v>
      </c>
      <c r="D399" s="7" t="s">
        <v>328</v>
      </c>
      <c r="E399" s="1" t="s">
        <v>25</v>
      </c>
      <c r="F399" s="4" t="s">
        <v>3269</v>
      </c>
      <c r="G399" s="7" t="s">
        <v>328</v>
      </c>
      <c r="H399" s="7" t="s">
        <v>3270</v>
      </c>
      <c r="I399" s="4" t="s">
        <v>3271</v>
      </c>
      <c r="J399" s="1" t="s">
        <v>2392</v>
      </c>
      <c r="K399" s="1" t="s">
        <v>735</v>
      </c>
      <c r="L399" s="1" t="s">
        <v>3272</v>
      </c>
      <c r="M399" s="1" t="s">
        <v>3233</v>
      </c>
      <c r="N399" s="1" t="s">
        <v>139</v>
      </c>
      <c r="O399" s="1" t="s">
        <v>458</v>
      </c>
      <c r="Q399" s="1" t="s">
        <v>286</v>
      </c>
      <c r="R399" s="1" t="s">
        <v>3233</v>
      </c>
      <c r="S399" s="1" t="s">
        <v>70</v>
      </c>
      <c r="T399" s="1" t="s">
        <v>1458</v>
      </c>
      <c r="U399" s="4" t="s">
        <v>3273</v>
      </c>
      <c r="V399" s="4" t="str">
        <f>IFERROR(__xludf.DUMMYFUNCTION("SPLIT(F399, "" "")"),"отстраиванию")</f>
        <v>отстраиванию</v>
      </c>
      <c r="W399" s="1" t="str">
        <f>IFERROR(__xludf.DUMMYFUNCTION("""COMPUTED_VALUE"""),"главного")</f>
        <v>главного</v>
      </c>
      <c r="X399" s="1" t="str">
        <f>IFERROR(__xludf.DUMMYFUNCTION("""COMPUTED_VALUE"""),"храма,")</f>
        <v>храма,</v>
      </c>
      <c r="Y399" s="1" t="str">
        <f>IFERROR(__xludf.DUMMYFUNCTION("""COMPUTED_VALUE"""),"разрушение")</f>
        <v>разрушение</v>
      </c>
      <c r="Z399" s="1" t="str">
        <f>IFERROR(__xludf.DUMMYFUNCTION("""COMPUTED_VALUE"""),"которого")</f>
        <v>которого</v>
      </c>
      <c r="AA399" s="1" t="str">
        <f>IFERROR(__xludf.DUMMYFUNCTION("""COMPUTED_VALUE"""),"горячо")</f>
        <v>горячо</v>
      </c>
    </row>
    <row r="400" ht="14.25" customHeight="1">
      <c r="A400" s="1" t="s">
        <v>3274</v>
      </c>
      <c r="B400" s="1" t="s">
        <v>156</v>
      </c>
      <c r="C400" s="2" t="s">
        <v>3275</v>
      </c>
      <c r="D400" s="7" t="s">
        <v>158</v>
      </c>
      <c r="E400" s="1" t="s">
        <v>25</v>
      </c>
      <c r="F400" s="4" t="s">
        <v>3276</v>
      </c>
      <c r="G400" s="7" t="s">
        <v>158</v>
      </c>
      <c r="H400" s="7" t="s">
        <v>1521</v>
      </c>
      <c r="I400" s="4" t="s">
        <v>3271</v>
      </c>
      <c r="J400" s="1" t="s">
        <v>2392</v>
      </c>
      <c r="K400" s="1" t="s">
        <v>735</v>
      </c>
      <c r="L400" s="1" t="s">
        <v>3272</v>
      </c>
      <c r="M400" s="1" t="s">
        <v>3233</v>
      </c>
      <c r="N400" s="1" t="s">
        <v>139</v>
      </c>
      <c r="O400" s="1" t="s">
        <v>458</v>
      </c>
      <c r="Q400" s="1" t="s">
        <v>286</v>
      </c>
      <c r="R400" s="1" t="s">
        <v>3233</v>
      </c>
      <c r="S400" s="1" t="s">
        <v>70</v>
      </c>
      <c r="T400" s="1" t="s">
        <v>1458</v>
      </c>
      <c r="U400" s="4" t="s">
        <v>3277</v>
      </c>
      <c r="V400" s="4" t="str">
        <f>IFERROR(__xludf.DUMMYFUNCTION("SPLIT(F400, "" "")"),"тому,")</f>
        <v>тому,</v>
      </c>
      <c r="W400" s="1" t="str">
        <f>IFERROR(__xludf.DUMMYFUNCTION("""COMPUTED_VALUE"""),"что")</f>
        <v>что</v>
      </c>
      <c r="X400" s="1" t="str">
        <f>IFERROR(__xludf.DUMMYFUNCTION("""COMPUTED_VALUE"""),"он")</f>
        <v>он</v>
      </c>
      <c r="Y400" s="1" t="str">
        <f>IFERROR(__xludf.DUMMYFUNCTION("""COMPUTED_VALUE"""),"не")</f>
        <v>не</v>
      </c>
      <c r="Z400" s="1" t="str">
        <f>IFERROR(__xludf.DUMMYFUNCTION("""COMPUTED_VALUE"""),"остался")</f>
        <v>остался</v>
      </c>
      <c r="AA400" s="1" t="str">
        <f>IFERROR(__xludf.DUMMYFUNCTION("""COMPUTED_VALUE"""),"и")</f>
        <v>и</v>
      </c>
    </row>
    <row r="401" ht="14.25" customHeight="1">
      <c r="A401" s="1" t="s">
        <v>3278</v>
      </c>
      <c r="B401" s="1" t="s">
        <v>462</v>
      </c>
      <c r="C401" s="2" t="s">
        <v>3279</v>
      </c>
      <c r="D401" s="7" t="s">
        <v>464</v>
      </c>
      <c r="E401" s="1" t="s">
        <v>25</v>
      </c>
      <c r="F401" s="4" t="s">
        <v>3280</v>
      </c>
      <c r="G401" s="7" t="s">
        <v>464</v>
      </c>
      <c r="H401" s="7" t="s">
        <v>3281</v>
      </c>
      <c r="I401" s="4" t="s">
        <v>3282</v>
      </c>
      <c r="J401" s="1" t="s">
        <v>2392</v>
      </c>
      <c r="K401" s="1" t="s">
        <v>735</v>
      </c>
      <c r="L401" s="1" t="s">
        <v>3283</v>
      </c>
      <c r="M401" s="1" t="s">
        <v>3233</v>
      </c>
      <c r="N401" s="1" t="s">
        <v>139</v>
      </c>
      <c r="O401" s="1" t="s">
        <v>458</v>
      </c>
      <c r="Q401" s="1" t="s">
        <v>3284</v>
      </c>
      <c r="R401" s="1" t="s">
        <v>3233</v>
      </c>
      <c r="S401" s="1" t="s">
        <v>70</v>
      </c>
      <c r="T401" s="1" t="s">
        <v>1458</v>
      </c>
      <c r="U401" s="4" t="s">
        <v>3285</v>
      </c>
      <c r="V401" s="4" t="str">
        <f>IFERROR(__xludf.DUMMYFUNCTION("SPLIT(F401, "" "")"),"дочери")</f>
        <v>дочери</v>
      </c>
      <c r="W401" s="1" t="str">
        <f>IFERROR(__xludf.DUMMYFUNCTION("""COMPUTED_VALUE"""),"и")</f>
        <v>и</v>
      </c>
      <c r="X401" s="1" t="str">
        <f>IFERROR(__xludf.DUMMYFUNCTION("""COMPUTED_VALUE"""),"в")</f>
        <v>в</v>
      </c>
      <c r="Y401" s="1" t="str">
        <f>IFERROR(__xludf.DUMMYFUNCTION("""COMPUTED_VALUE"""),"качестве")</f>
        <v>качестве</v>
      </c>
      <c r="Z401" s="1" t="str">
        <f>IFERROR(__xludf.DUMMYFUNCTION("""COMPUTED_VALUE"""),"приданого")</f>
        <v>приданого</v>
      </c>
      <c r="AA401" s="1" t="str">
        <f>IFERROR(__xludf.DUMMYFUNCTION("""COMPUTED_VALUE"""),"получил.")</f>
        <v>получил.</v>
      </c>
    </row>
    <row r="402" ht="14.25" customHeight="1">
      <c r="A402" s="1" t="s">
        <v>3286</v>
      </c>
      <c r="B402" s="1" t="s">
        <v>2739</v>
      </c>
      <c r="C402" s="2" t="s">
        <v>3287</v>
      </c>
      <c r="D402" s="7" t="s">
        <v>2741</v>
      </c>
      <c r="E402" s="1" t="s">
        <v>25</v>
      </c>
      <c r="F402" s="4" t="s">
        <v>3288</v>
      </c>
      <c r="G402" s="7" t="s">
        <v>2741</v>
      </c>
      <c r="H402" s="7" t="s">
        <v>3289</v>
      </c>
      <c r="I402" s="4" t="s">
        <v>3290</v>
      </c>
      <c r="J402" s="1" t="s">
        <v>3291</v>
      </c>
      <c r="L402" s="1" t="s">
        <v>3292</v>
      </c>
      <c r="M402" s="1" t="s">
        <v>3233</v>
      </c>
      <c r="N402" s="1" t="s">
        <v>2377</v>
      </c>
      <c r="O402" s="1" t="s">
        <v>67</v>
      </c>
      <c r="P402" s="1" t="s">
        <v>3293</v>
      </c>
      <c r="Q402" s="1" t="s">
        <v>3294</v>
      </c>
      <c r="R402" s="1" t="s">
        <v>3233</v>
      </c>
      <c r="S402" s="1" t="s">
        <v>70</v>
      </c>
      <c r="T402" s="1" t="s">
        <v>1458</v>
      </c>
      <c r="U402" s="4" t="s">
        <v>3295</v>
      </c>
      <c r="V402" s="4" t="str">
        <f>IFERROR(__xludf.DUMMYFUNCTION("SPLIT(F402, "" "")"),"расхлябанности,")</f>
        <v>расхлябанности,</v>
      </c>
      <c r="W402" s="1" t="str">
        <f>IFERROR(__xludf.DUMMYFUNCTION("""COMPUTED_VALUE"""),"недобросовестности,")</f>
        <v>недобросовестности,</v>
      </c>
      <c r="X402" s="1" t="str">
        <f>IFERROR(__xludf.DUMMYFUNCTION("""COMPUTED_VALUE"""),"лжи,")</f>
        <v>лжи,</v>
      </c>
      <c r="Y402" s="1" t="str">
        <f>IFERROR(__xludf.DUMMYFUNCTION("""COMPUTED_VALUE"""),"лукавства.")</f>
        <v>лукавства.</v>
      </c>
    </row>
    <row r="403" ht="14.25" customHeight="1">
      <c r="A403" s="1" t="s">
        <v>3296</v>
      </c>
      <c r="B403" s="1" t="s">
        <v>1274</v>
      </c>
      <c r="C403" s="2" t="s">
        <v>3297</v>
      </c>
      <c r="D403" s="7" t="s">
        <v>1276</v>
      </c>
      <c r="E403" s="1" t="s">
        <v>25</v>
      </c>
      <c r="F403" s="4" t="s">
        <v>3298</v>
      </c>
      <c r="G403" s="7" t="s">
        <v>1276</v>
      </c>
      <c r="H403" s="7" t="s">
        <v>3299</v>
      </c>
      <c r="I403" s="4" t="s">
        <v>3300</v>
      </c>
      <c r="J403" s="1" t="s">
        <v>3301</v>
      </c>
      <c r="K403" s="1" t="s">
        <v>455</v>
      </c>
      <c r="L403" s="1" t="s">
        <v>3302</v>
      </c>
      <c r="M403" s="1" t="s">
        <v>3233</v>
      </c>
      <c r="N403" s="1" t="s">
        <v>139</v>
      </c>
      <c r="O403" s="1" t="s">
        <v>367</v>
      </c>
      <c r="Q403" s="1" t="s">
        <v>3303</v>
      </c>
      <c r="R403" s="1" t="s">
        <v>3233</v>
      </c>
      <c r="S403" s="1" t="s">
        <v>273</v>
      </c>
      <c r="T403" s="1" t="s">
        <v>1458</v>
      </c>
      <c r="U403" s="4" t="s">
        <v>3304</v>
      </c>
      <c r="V403" s="4" t="str">
        <f>IFERROR(__xludf.DUMMYFUNCTION("SPLIT(F403, "" "")"),"папиным")</f>
        <v>папиным</v>
      </c>
      <c r="W403" s="1" t="str">
        <f>IFERROR(__xludf.DUMMYFUNCTION("""COMPUTED_VALUE"""),"сыночком.")</f>
        <v>сыночком.</v>
      </c>
    </row>
    <row r="404" ht="14.25" customHeight="1">
      <c r="A404" s="1" t="s">
        <v>25</v>
      </c>
      <c r="B404" s="1" t="s">
        <v>1477</v>
      </c>
      <c r="C404" s="2"/>
      <c r="D404" s="7" t="s">
        <v>1478</v>
      </c>
      <c r="E404" s="1" t="s">
        <v>25</v>
      </c>
      <c r="F404" s="4" t="s">
        <v>3305</v>
      </c>
      <c r="G404" s="7" t="s">
        <v>1478</v>
      </c>
      <c r="H404" s="7" t="s">
        <v>3306</v>
      </c>
      <c r="I404" s="4" t="s">
        <v>3300</v>
      </c>
      <c r="J404" s="1" t="s">
        <v>3301</v>
      </c>
      <c r="K404" s="1" t="s">
        <v>455</v>
      </c>
      <c r="L404" s="1" t="s">
        <v>3302</v>
      </c>
      <c r="M404" s="1" t="s">
        <v>3233</v>
      </c>
      <c r="N404" s="1" t="s">
        <v>139</v>
      </c>
      <c r="O404" s="1" t="s">
        <v>367</v>
      </c>
      <c r="Q404" s="1" t="s">
        <v>3303</v>
      </c>
      <c r="R404" s="1" t="s">
        <v>3233</v>
      </c>
      <c r="S404" s="1" t="s">
        <v>273</v>
      </c>
      <c r="T404" s="1" t="s">
        <v>1458</v>
      </c>
      <c r="U404" s="4" t="s">
        <v>3307</v>
      </c>
      <c r="V404" s="4" t="str">
        <f>IFERROR(__xludf.DUMMYFUNCTION("SPLIT(F404, "" "")"),"Химину")</f>
        <v>Химину</v>
      </c>
      <c r="W404" s="1" t="str">
        <f>IFERROR(__xludf.DUMMYFUNCTION("""COMPUTED_VALUE"""),"показалось,")</f>
        <v>показалось,</v>
      </c>
      <c r="X404" s="1" t="str">
        <f>IFERROR(__xludf.DUMMYFUNCTION("""COMPUTED_VALUE"""),"что")</f>
        <v>что</v>
      </c>
      <c r="Y404" s="1" t="str">
        <f>IFERROR(__xludf.DUMMYFUNCTION("""COMPUTED_VALUE"""),"в")</f>
        <v>в</v>
      </c>
      <c r="Z404" s="1" t="str">
        <f>IFERROR(__xludf.DUMMYFUNCTION("""COMPUTED_VALUE"""),"глубине")</f>
        <v>глубине</v>
      </c>
      <c r="AA404" s="1" t="str">
        <f>IFERROR(__xludf.DUMMYFUNCTION("""COMPUTED_VALUE"""),"ее")</f>
        <v>ее</v>
      </c>
    </row>
    <row r="405" ht="14.25" customHeight="1">
      <c r="A405" s="1" t="s">
        <v>3308</v>
      </c>
      <c r="B405" s="1" t="s">
        <v>443</v>
      </c>
      <c r="C405" s="2" t="s">
        <v>3309</v>
      </c>
      <c r="D405" s="7" t="s">
        <v>445</v>
      </c>
      <c r="E405" s="1" t="s">
        <v>197</v>
      </c>
      <c r="F405" s="4" t="s">
        <v>3310</v>
      </c>
      <c r="G405" s="7" t="s">
        <v>445</v>
      </c>
      <c r="H405" s="7" t="s">
        <v>3311</v>
      </c>
      <c r="I405" s="4" t="s">
        <v>3300</v>
      </c>
      <c r="J405" s="1" t="s">
        <v>3301</v>
      </c>
      <c r="K405" s="1" t="s">
        <v>455</v>
      </c>
      <c r="L405" s="1" t="s">
        <v>3302</v>
      </c>
      <c r="M405" s="1" t="s">
        <v>3233</v>
      </c>
      <c r="N405" s="1" t="s">
        <v>139</v>
      </c>
      <c r="O405" s="1" t="s">
        <v>367</v>
      </c>
      <c r="Q405" s="1" t="s">
        <v>3303</v>
      </c>
      <c r="R405" s="1" t="s">
        <v>3233</v>
      </c>
      <c r="S405" s="1" t="s">
        <v>273</v>
      </c>
      <c r="T405" s="1" t="s">
        <v>1458</v>
      </c>
      <c r="U405" s="4" t="s">
        <v>3312</v>
      </c>
      <c r="V405" s="4" t="str">
        <f>IFERROR(__xludf.DUMMYFUNCTION("SPLIT(F405, "" "")"),"Насте")</f>
        <v>Насте</v>
      </c>
      <c r="W405" s="1" t="str">
        <f>IFERROR(__xludf.DUMMYFUNCTION("""COMPUTED_VALUE"""),"нет")</f>
        <v>нет</v>
      </c>
      <c r="X405" s="1" t="str">
        <f>IFERROR(__xludf.DUMMYFUNCTION("""COMPUTED_VALUE"""),"до")</f>
        <v>до</v>
      </c>
      <c r="Y405" s="1" t="str">
        <f>IFERROR(__xludf.DUMMYFUNCTION("""COMPUTED_VALUE"""),"этого")</f>
        <v>этого</v>
      </c>
      <c r="Z405" s="1" t="str">
        <f>IFERROR(__xludf.DUMMYFUNCTION("""COMPUTED_VALUE"""),"дела,")</f>
        <v>дела,</v>
      </c>
      <c r="AA405" s="1" t="str">
        <f>IFERROR(__xludf.DUMMYFUNCTION("""COMPUTED_VALUE"""),"но")</f>
        <v>но</v>
      </c>
    </row>
    <row r="406" ht="14.25" customHeight="1">
      <c r="A406" s="1" t="s">
        <v>3313</v>
      </c>
      <c r="B406" s="1" t="s">
        <v>462</v>
      </c>
      <c r="C406" s="2" t="s">
        <v>3314</v>
      </c>
      <c r="D406" s="7" t="s">
        <v>464</v>
      </c>
      <c r="E406" s="1" t="s">
        <v>25</v>
      </c>
      <c r="F406" s="4" t="s">
        <v>3315</v>
      </c>
      <c r="G406" s="7" t="s">
        <v>464</v>
      </c>
      <c r="H406" s="7" t="s">
        <v>3316</v>
      </c>
      <c r="I406" s="4" t="s">
        <v>3300</v>
      </c>
      <c r="J406" s="1" t="s">
        <v>3301</v>
      </c>
      <c r="K406" s="1" t="s">
        <v>455</v>
      </c>
      <c r="L406" s="1" t="s">
        <v>3302</v>
      </c>
      <c r="M406" s="1" t="s">
        <v>3233</v>
      </c>
      <c r="N406" s="1" t="s">
        <v>139</v>
      </c>
      <c r="O406" s="1" t="s">
        <v>367</v>
      </c>
      <c r="Q406" s="1" t="s">
        <v>3303</v>
      </c>
      <c r="R406" s="1" t="s">
        <v>3233</v>
      </c>
      <c r="S406" s="1" t="s">
        <v>273</v>
      </c>
      <c r="T406" s="1" t="s">
        <v>1458</v>
      </c>
      <c r="U406" s="4" t="s">
        <v>3317</v>
      </c>
      <c r="V406" s="4" t="str">
        <f>IFERROR(__xludf.DUMMYFUNCTION("SPLIT(F406, "" "")"),"кондитерской,")</f>
        <v>кондитерской,</v>
      </c>
      <c r="W406" s="1" t="str">
        <f>IFERROR(__xludf.DUMMYFUNCTION("""COMPUTED_VALUE"""),"новый")</f>
        <v>новый</v>
      </c>
      <c r="X406" s="1" t="str">
        <f>IFERROR(__xludf.DUMMYFUNCTION("""COMPUTED_VALUE"""),"выпуск")</f>
        <v>выпуск</v>
      </c>
      <c r="Y406" s="1" t="str">
        <f>IFERROR(__xludf.DUMMYFUNCTION("""COMPUTED_VALUE"""),"журнала")</f>
        <v>журнала</v>
      </c>
      <c r="Z406" s="1" t="str">
        <f>IFERROR(__xludf.DUMMYFUNCTION("""COMPUTED_VALUE"""),"с")</f>
        <v>с</v>
      </c>
      <c r="AA406" s="1" t="str">
        <f>IFERROR(__xludf.DUMMYFUNCTION("""COMPUTED_VALUE"""),"ее")</f>
        <v>ее</v>
      </c>
    </row>
    <row r="407" ht="14.25" customHeight="1">
      <c r="A407" s="1" t="s">
        <v>3318</v>
      </c>
      <c r="B407" s="1" t="s">
        <v>2239</v>
      </c>
      <c r="C407" s="2" t="s">
        <v>3319</v>
      </c>
      <c r="D407" s="7" t="s">
        <v>2241</v>
      </c>
      <c r="E407" s="1" t="s">
        <v>25</v>
      </c>
      <c r="F407" s="4" t="s">
        <v>3320</v>
      </c>
      <c r="G407" s="7" t="s">
        <v>2241</v>
      </c>
      <c r="H407" s="7" t="s">
        <v>3321</v>
      </c>
      <c r="I407" s="4" t="s">
        <v>3300</v>
      </c>
      <c r="J407" s="1" t="s">
        <v>3301</v>
      </c>
      <c r="K407" s="1" t="s">
        <v>455</v>
      </c>
      <c r="L407" s="1" t="s">
        <v>3302</v>
      </c>
      <c r="M407" s="1" t="s">
        <v>3233</v>
      </c>
      <c r="N407" s="1" t="s">
        <v>139</v>
      </c>
      <c r="O407" s="1" t="s">
        <v>367</v>
      </c>
      <c r="Q407" s="1" t="s">
        <v>3303</v>
      </c>
      <c r="R407" s="1" t="s">
        <v>3233</v>
      </c>
      <c r="S407" s="1" t="s">
        <v>273</v>
      </c>
      <c r="T407" s="1" t="s">
        <v>1458</v>
      </c>
      <c r="U407" s="4" t="s">
        <v>3322</v>
      </c>
      <c r="V407" s="4" t="str">
        <f>IFERROR(__xludf.DUMMYFUNCTION("SPLIT(F407, "" "")"),"Валеру")</f>
        <v>Валеру</v>
      </c>
      <c r="W407" s="1" t="str">
        <f>IFERROR(__xludf.DUMMYFUNCTION("""COMPUTED_VALUE"""),"подставить?")</f>
        <v>подставить?</v>
      </c>
    </row>
    <row r="408" ht="14.25" customHeight="1">
      <c r="A408" s="1" t="s">
        <v>3323</v>
      </c>
      <c r="B408" s="1" t="s">
        <v>1365</v>
      </c>
      <c r="C408" s="2" t="s">
        <v>3324</v>
      </c>
      <c r="D408" s="7" t="s">
        <v>1367</v>
      </c>
      <c r="E408" s="1" t="s">
        <v>25</v>
      </c>
      <c r="F408" s="4" t="s">
        <v>3325</v>
      </c>
      <c r="G408" s="7" t="s">
        <v>1367</v>
      </c>
      <c r="H408" s="7" t="s">
        <v>3326</v>
      </c>
      <c r="I408" s="4" t="s">
        <v>3300</v>
      </c>
      <c r="J408" s="1" t="s">
        <v>3301</v>
      </c>
      <c r="K408" s="1" t="s">
        <v>455</v>
      </c>
      <c r="L408" s="1" t="s">
        <v>3302</v>
      </c>
      <c r="M408" s="1" t="s">
        <v>3233</v>
      </c>
      <c r="N408" s="1" t="s">
        <v>139</v>
      </c>
      <c r="O408" s="1" t="s">
        <v>367</v>
      </c>
      <c r="Q408" s="1" t="s">
        <v>3303</v>
      </c>
      <c r="R408" s="1" t="s">
        <v>3233</v>
      </c>
      <c r="S408" s="1" t="s">
        <v>273</v>
      </c>
      <c r="T408" s="1" t="s">
        <v>1458</v>
      </c>
      <c r="U408" s="4" t="s">
        <v>3327</v>
      </c>
      <c r="V408" s="4" t="str">
        <f>IFERROR(__xludf.DUMMYFUNCTION("SPLIT(F408, "" "")"),"чаю?")</f>
        <v>чаю?</v>
      </c>
    </row>
    <row r="409" ht="14.25" customHeight="1">
      <c r="A409" s="1" t="s">
        <v>3328</v>
      </c>
      <c r="B409" s="1" t="s">
        <v>39</v>
      </c>
      <c r="C409" s="2" t="s">
        <v>3329</v>
      </c>
      <c r="D409" s="7" t="s">
        <v>41</v>
      </c>
      <c r="E409" s="1" t="s">
        <v>25</v>
      </c>
      <c r="F409" s="4" t="s">
        <v>3330</v>
      </c>
      <c r="G409" s="7" t="s">
        <v>41</v>
      </c>
      <c r="H409" s="7" t="s">
        <v>3331</v>
      </c>
      <c r="I409" s="4" t="s">
        <v>3300</v>
      </c>
      <c r="J409" s="1" t="s">
        <v>3301</v>
      </c>
      <c r="K409" s="1" t="s">
        <v>455</v>
      </c>
      <c r="L409" s="1" t="s">
        <v>3302</v>
      </c>
      <c r="M409" s="1" t="s">
        <v>3233</v>
      </c>
      <c r="N409" s="1" t="s">
        <v>139</v>
      </c>
      <c r="O409" s="1" t="s">
        <v>367</v>
      </c>
      <c r="Q409" s="1" t="s">
        <v>3303</v>
      </c>
      <c r="R409" s="1" t="s">
        <v>3233</v>
      </c>
      <c r="S409" s="1" t="s">
        <v>273</v>
      </c>
      <c r="T409" s="1" t="s">
        <v>1458</v>
      </c>
      <c r="U409" s="4" t="s">
        <v>3332</v>
      </c>
      <c r="V409" s="4" t="str">
        <f>IFERROR(__xludf.DUMMYFUNCTION("SPLIT(F409, "" "")"),"злоключениям")</f>
        <v>злоключениям</v>
      </c>
      <c r="W409" s="1" t="str">
        <f>IFERROR(__xludf.DUMMYFUNCTION("""COMPUTED_VALUE"""),"Элли,")</f>
        <v>Элли,</v>
      </c>
      <c r="X409" s="1" t="str">
        <f>IFERROR(__xludf.DUMMYFUNCTION("""COMPUTED_VALUE"""),"Тотошки")</f>
        <v>Тотошки</v>
      </c>
      <c r="Y409" s="1" t="str">
        <f>IFERROR(__xludf.DUMMYFUNCTION("""COMPUTED_VALUE"""),"и")</f>
        <v>и</v>
      </c>
      <c r="Z409" s="1" t="str">
        <f>IFERROR(__xludf.DUMMYFUNCTION("""COMPUTED_VALUE"""),"их")</f>
        <v>их</v>
      </c>
      <c r="AA409" s="1" t="str">
        <f>IFERROR(__xludf.DUMMYFUNCTION("""COMPUTED_VALUE"""),"друзей")</f>
        <v>друзей</v>
      </c>
    </row>
    <row r="410" ht="14.25" customHeight="1">
      <c r="A410" s="1" t="s">
        <v>3333</v>
      </c>
      <c r="B410" s="1" t="s">
        <v>2504</v>
      </c>
      <c r="C410" s="2" t="s">
        <v>3334</v>
      </c>
      <c r="D410" s="7" t="s">
        <v>2506</v>
      </c>
      <c r="E410" s="1" t="s">
        <v>25</v>
      </c>
      <c r="F410" s="4" t="s">
        <v>3335</v>
      </c>
      <c r="G410" s="7" t="s">
        <v>2506</v>
      </c>
      <c r="H410" s="7" t="s">
        <v>3336</v>
      </c>
      <c r="I410" s="4" t="s">
        <v>3337</v>
      </c>
      <c r="J410" s="1" t="s">
        <v>3338</v>
      </c>
      <c r="K410" s="1" t="s">
        <v>1298</v>
      </c>
      <c r="L410" s="1" t="s">
        <v>3339</v>
      </c>
      <c r="M410" s="1" t="s">
        <v>3233</v>
      </c>
      <c r="N410" s="1" t="s">
        <v>2377</v>
      </c>
      <c r="O410" s="1" t="s">
        <v>67</v>
      </c>
      <c r="P410" s="1" t="s">
        <v>53</v>
      </c>
      <c r="Q410" s="1" t="s">
        <v>2002</v>
      </c>
      <c r="R410" s="1" t="s">
        <v>3233</v>
      </c>
      <c r="S410" s="1" t="s">
        <v>70</v>
      </c>
      <c r="T410" s="1" t="s">
        <v>1458</v>
      </c>
      <c r="U410" s="4" t="s">
        <v>3340</v>
      </c>
      <c r="V410" s="4" t="str">
        <f>IFERROR(__xludf.DUMMYFUNCTION("SPLIT(F410, "" "")"),"беспомощности.")</f>
        <v>беспомощности.</v>
      </c>
    </row>
    <row r="411" ht="14.25" customHeight="1">
      <c r="A411" s="1" t="s">
        <v>3341</v>
      </c>
      <c r="B411" s="1" t="s">
        <v>1448</v>
      </c>
      <c r="C411" s="2" t="s">
        <v>930</v>
      </c>
      <c r="D411" s="7" t="s">
        <v>1450</v>
      </c>
      <c r="E411" s="1" t="s">
        <v>25</v>
      </c>
      <c r="F411" s="4" t="s">
        <v>3342</v>
      </c>
      <c r="G411" s="7" t="s">
        <v>1450</v>
      </c>
      <c r="H411" s="7" t="s">
        <v>3343</v>
      </c>
      <c r="I411" s="4" t="s">
        <v>3344</v>
      </c>
      <c r="J411" s="1" t="s">
        <v>3345</v>
      </c>
      <c r="L411" s="1" t="s">
        <v>3346</v>
      </c>
      <c r="M411" s="1" t="s">
        <v>3233</v>
      </c>
      <c r="N411" s="1" t="s">
        <v>2377</v>
      </c>
      <c r="O411" s="1" t="s">
        <v>67</v>
      </c>
      <c r="P411" s="1" t="s">
        <v>53</v>
      </c>
      <c r="Q411" s="1" t="s">
        <v>2002</v>
      </c>
      <c r="R411" s="1" t="s">
        <v>3233</v>
      </c>
      <c r="S411" s="1" t="s">
        <v>70</v>
      </c>
      <c r="T411" s="1" t="s">
        <v>1458</v>
      </c>
      <c r="U411" s="4" t="s">
        <v>3347</v>
      </c>
      <c r="V411" s="4" t="str">
        <f>IFERROR(__xludf.DUMMYFUNCTION("SPLIT(F411, "" "")"),"Плёсу")</f>
        <v>Плёсу</v>
      </c>
      <c r="W411" s="1" t="str">
        <f>IFERROR(__xludf.DUMMYFUNCTION("""COMPUTED_VALUE"""),"никогда")</f>
        <v>никогда</v>
      </c>
      <c r="X411" s="1" t="str">
        <f>IFERROR(__xludf.DUMMYFUNCTION("""COMPUTED_VALUE"""),"не")</f>
        <v>не</v>
      </c>
      <c r="Y411" s="1" t="str">
        <f>IFERROR(__xludf.DUMMYFUNCTION("""COMPUTED_VALUE"""),"стать")</f>
        <v>стать</v>
      </c>
      <c r="Z411" s="1" t="str">
        <f>IFERROR(__xludf.DUMMYFUNCTION("""COMPUTED_VALUE"""),"Канном,")</f>
        <v>Канном,</v>
      </c>
      <c r="AA411" s="1" t="str">
        <f>IFERROR(__xludf.DUMMYFUNCTION("""COMPUTED_VALUE"""),"у")</f>
        <v>у</v>
      </c>
    </row>
    <row r="412" ht="14.25" customHeight="1">
      <c r="A412" s="1" t="s">
        <v>3348</v>
      </c>
      <c r="B412" s="1" t="s">
        <v>1288</v>
      </c>
      <c r="C412" s="2" t="s">
        <v>3349</v>
      </c>
      <c r="D412" s="7" t="s">
        <v>1290</v>
      </c>
      <c r="E412" s="1" t="s">
        <v>25</v>
      </c>
      <c r="F412" s="4" t="s">
        <v>3350</v>
      </c>
      <c r="G412" s="7" t="s">
        <v>1290</v>
      </c>
      <c r="H412" s="7" t="s">
        <v>3351</v>
      </c>
      <c r="I412" s="4" t="s">
        <v>3352</v>
      </c>
      <c r="J412" s="1" t="s">
        <v>3353</v>
      </c>
      <c r="L412" s="1" t="s">
        <v>3354</v>
      </c>
      <c r="M412" s="1" t="s">
        <v>3233</v>
      </c>
      <c r="N412" s="1" t="s">
        <v>2377</v>
      </c>
      <c r="O412" s="1" t="s">
        <v>67</v>
      </c>
      <c r="P412" s="1" t="s">
        <v>68</v>
      </c>
      <c r="Q412" s="1" t="s">
        <v>2047</v>
      </c>
      <c r="R412" s="1" t="s">
        <v>3233</v>
      </c>
      <c r="S412" s="1" t="s">
        <v>70</v>
      </c>
      <c r="T412" s="1" t="s">
        <v>1458</v>
      </c>
      <c r="U412" s="4" t="s">
        <v>3355</v>
      </c>
      <c r="V412" s="4" t="str">
        <f>IFERROR(__xludf.DUMMYFUNCTION("SPLIT(F412, "" "")"),"самореализации")</f>
        <v>самореализации</v>
      </c>
      <c r="W412" s="1" t="str">
        <f>IFERROR(__xludf.DUMMYFUNCTION("""COMPUTED_VALUE"""),"―")</f>
        <v>―</v>
      </c>
      <c r="X412" s="1" t="str">
        <f>IFERROR(__xludf.DUMMYFUNCTION("""COMPUTED_VALUE"""),"личностной")</f>
        <v>личностной</v>
      </c>
      <c r="Y412" s="1" t="str">
        <f>IFERROR(__xludf.DUMMYFUNCTION("""COMPUTED_VALUE"""),"и")</f>
        <v>и</v>
      </c>
      <c r="Z412" s="1" t="str">
        <f>IFERROR(__xludf.DUMMYFUNCTION("""COMPUTED_VALUE"""),"творческой")</f>
        <v>творческой</v>
      </c>
      <c r="AA412" s="1" t="str">
        <f>IFERROR(__xludf.DUMMYFUNCTION("""COMPUTED_VALUE"""),"―")</f>
        <v>―</v>
      </c>
      <c r="AB412" s="1" t="str">
        <f>IFERROR(__xludf.DUMMYFUNCTION("""COMPUTED_VALUE"""),"в")</f>
        <v>в</v>
      </c>
      <c r="AC412" s="1" t="str">
        <f>IFERROR(__xludf.DUMMYFUNCTION("""COMPUTED_VALUE"""),"новых")</f>
        <v>новых</v>
      </c>
    </row>
    <row r="413" ht="14.25" customHeight="1">
      <c r="A413" s="1" t="s">
        <v>3356</v>
      </c>
      <c r="B413" s="1" t="s">
        <v>3357</v>
      </c>
      <c r="C413" s="2" t="s">
        <v>3358</v>
      </c>
      <c r="D413" s="7" t="s">
        <v>3359</v>
      </c>
      <c r="E413" s="1" t="s">
        <v>25</v>
      </c>
      <c r="F413" s="4" t="s">
        <v>3360</v>
      </c>
      <c r="G413" s="7" t="s">
        <v>3359</v>
      </c>
      <c r="H413" s="7" t="s">
        <v>3361</v>
      </c>
      <c r="I413" s="4" t="s">
        <v>3362</v>
      </c>
      <c r="J413" s="1" t="s">
        <v>3353</v>
      </c>
      <c r="L413" s="1" t="s">
        <v>3363</v>
      </c>
      <c r="M413" s="1" t="s">
        <v>3233</v>
      </c>
      <c r="N413" s="1" t="s">
        <v>2377</v>
      </c>
      <c r="O413" s="1" t="s">
        <v>1375</v>
      </c>
      <c r="P413" s="1" t="s">
        <v>3364</v>
      </c>
      <c r="Q413" s="1" t="s">
        <v>2047</v>
      </c>
      <c r="R413" s="1" t="s">
        <v>3233</v>
      </c>
      <c r="S413" s="1" t="s">
        <v>70</v>
      </c>
      <c r="T413" s="1" t="s">
        <v>1458</v>
      </c>
      <c r="U413" s="4" t="s">
        <v>3365</v>
      </c>
      <c r="V413" s="4" t="str">
        <f>IFERROR(__xludf.DUMMYFUNCTION("SPLIT(F413, "" "")"),"родину")</f>
        <v>родину</v>
      </c>
      <c r="W413" s="1" t="str">
        <f>IFERROR(__xludf.DUMMYFUNCTION("""COMPUTED_VALUE"""),"героини,")</f>
        <v>героини,</v>
      </c>
      <c r="X413" s="1" t="str">
        <f>IFERROR(__xludf.DUMMYFUNCTION("""COMPUTED_VALUE"""),"показать")</f>
        <v>показать</v>
      </c>
      <c r="Y413" s="1" t="str">
        <f>IFERROR(__xludf.DUMMYFUNCTION("""COMPUTED_VALUE"""),"ее")</f>
        <v>ее</v>
      </c>
      <c r="Z413" s="1" t="str">
        <f>IFERROR(__xludf.DUMMYFUNCTION("""COMPUTED_VALUE"""),"культуру,")</f>
        <v>культуру,</v>
      </c>
      <c r="AA413" s="1" t="str">
        <f>IFERROR(__xludf.DUMMYFUNCTION("""COMPUTED_VALUE"""),"заставить")</f>
        <v>заставить</v>
      </c>
    </row>
    <row r="414" ht="14.25" customHeight="1">
      <c r="A414" s="1" t="s">
        <v>3366</v>
      </c>
      <c r="B414" s="1" t="s">
        <v>3367</v>
      </c>
      <c r="C414" s="2" t="s">
        <v>3368</v>
      </c>
      <c r="D414" s="7" t="s">
        <v>3369</v>
      </c>
      <c r="E414" s="1" t="s">
        <v>25</v>
      </c>
      <c r="F414" s="4" t="s">
        <v>3370</v>
      </c>
      <c r="G414" s="7" t="s">
        <v>3369</v>
      </c>
      <c r="H414" s="7" t="s">
        <v>3371</v>
      </c>
      <c r="I414" s="4" t="s">
        <v>3362</v>
      </c>
      <c r="J414" s="1" t="s">
        <v>3353</v>
      </c>
      <c r="L414" s="1" t="s">
        <v>3363</v>
      </c>
      <c r="M414" s="1" t="s">
        <v>3233</v>
      </c>
      <c r="N414" s="1" t="s">
        <v>2377</v>
      </c>
      <c r="O414" s="1" t="s">
        <v>1375</v>
      </c>
      <c r="P414" s="1" t="s">
        <v>3364</v>
      </c>
      <c r="Q414" s="1" t="s">
        <v>2047</v>
      </c>
      <c r="R414" s="1" t="s">
        <v>3233</v>
      </c>
      <c r="S414" s="1" t="s">
        <v>70</v>
      </c>
      <c r="T414" s="1" t="s">
        <v>1458</v>
      </c>
      <c r="U414" s="4" t="s">
        <v>3372</v>
      </c>
      <c r="V414" s="4" t="str">
        <f>IFERROR(__xludf.DUMMYFUNCTION("SPLIT(F414, "" "")"),"уровню")</f>
        <v>уровню</v>
      </c>
      <c r="W414" s="1" t="str">
        <f>IFERROR(__xludf.DUMMYFUNCTION("""COMPUTED_VALUE"""),"развития")</f>
        <v>развития</v>
      </c>
      <c r="X414" s="1" t="str">
        <f>IFERROR(__xludf.DUMMYFUNCTION("""COMPUTED_VALUE"""),"медицины")</f>
        <v>медицины</v>
      </c>
      <c r="Y414" s="1" t="str">
        <f>IFERROR(__xludf.DUMMYFUNCTION("""COMPUTED_VALUE"""),"и")</f>
        <v>и</v>
      </c>
      <c r="Z414" s="1" t="str">
        <f>IFERROR(__xludf.DUMMYFUNCTION("""COMPUTED_VALUE"""),"социальных")</f>
        <v>социальных</v>
      </c>
      <c r="AA414" s="1" t="str">
        <f>IFERROR(__xludf.DUMMYFUNCTION("""COMPUTED_VALUE"""),"отношений")</f>
        <v>отношений</v>
      </c>
    </row>
    <row r="415" ht="14.25" customHeight="1">
      <c r="A415" s="1" t="s">
        <v>3373</v>
      </c>
      <c r="B415" s="1" t="s">
        <v>3374</v>
      </c>
      <c r="C415" s="2" t="s">
        <v>3375</v>
      </c>
      <c r="D415" s="7" t="s">
        <v>3376</v>
      </c>
      <c r="E415" s="1" t="s">
        <v>25</v>
      </c>
      <c r="F415" s="4" t="s">
        <v>3377</v>
      </c>
      <c r="G415" s="7" t="s">
        <v>3376</v>
      </c>
      <c r="H415" s="7" t="s">
        <v>3378</v>
      </c>
      <c r="I415" s="4" t="s">
        <v>3379</v>
      </c>
      <c r="J415" s="1" t="s">
        <v>1927</v>
      </c>
      <c r="K415" s="1" t="s">
        <v>831</v>
      </c>
      <c r="L415" s="1" t="s">
        <v>3380</v>
      </c>
      <c r="M415" s="1" t="s">
        <v>3233</v>
      </c>
      <c r="N415" s="1" t="s">
        <v>51</v>
      </c>
      <c r="O415" s="1" t="s">
        <v>1375</v>
      </c>
      <c r="P415" s="1" t="s">
        <v>53</v>
      </c>
      <c r="Q415" s="1" t="s">
        <v>1916</v>
      </c>
      <c r="R415" s="1" t="s">
        <v>3233</v>
      </c>
      <c r="S415" s="1" t="s">
        <v>70</v>
      </c>
      <c r="T415" s="1" t="s">
        <v>1458</v>
      </c>
      <c r="U415" s="4" t="s">
        <v>3381</v>
      </c>
      <c r="V415" s="4" t="str">
        <f>IFERROR(__xludf.DUMMYFUNCTION("SPLIT(F415, "" "")"),"публике.")</f>
        <v>публике.</v>
      </c>
    </row>
    <row r="416" ht="14.25" customHeight="1">
      <c r="A416" s="1" t="s">
        <v>3382</v>
      </c>
      <c r="B416" s="1" t="s">
        <v>1274</v>
      </c>
      <c r="C416" s="2" t="s">
        <v>3383</v>
      </c>
      <c r="D416" s="7" t="s">
        <v>1276</v>
      </c>
      <c r="E416" s="1" t="s">
        <v>25</v>
      </c>
      <c r="F416" s="4" t="s">
        <v>3384</v>
      </c>
      <c r="G416" s="7" t="s">
        <v>1276</v>
      </c>
      <c r="H416" s="7" t="s">
        <v>3385</v>
      </c>
      <c r="I416" s="4" t="s">
        <v>3379</v>
      </c>
      <c r="J416" s="1" t="s">
        <v>1927</v>
      </c>
      <c r="K416" s="1" t="s">
        <v>831</v>
      </c>
      <c r="L416" s="1" t="s">
        <v>3380</v>
      </c>
      <c r="M416" s="1" t="s">
        <v>3233</v>
      </c>
      <c r="N416" s="1" t="s">
        <v>51</v>
      </c>
      <c r="O416" s="1" t="s">
        <v>1375</v>
      </c>
      <c r="P416" s="1" t="s">
        <v>53</v>
      </c>
      <c r="Q416" s="1" t="s">
        <v>1916</v>
      </c>
      <c r="R416" s="1" t="s">
        <v>3233</v>
      </c>
      <c r="S416" s="1" t="s">
        <v>70</v>
      </c>
      <c r="T416" s="1" t="s">
        <v>1458</v>
      </c>
      <c r="U416" s="4" t="s">
        <v>3386</v>
      </c>
      <c r="V416" s="4" t="str">
        <f>IFERROR(__xludf.DUMMYFUNCTION("SPLIT(F416, "" "")"),"объектам")</f>
        <v>объектам</v>
      </c>
      <c r="W416" s="1" t="str">
        <f>IFERROR(__xludf.DUMMYFUNCTION("""COMPUTED_VALUE"""),"и")</f>
        <v>и</v>
      </c>
      <c r="X416" s="1" t="str">
        <f>IFERROR(__xludf.DUMMYFUNCTION("""COMPUTED_VALUE"""),"сущностям?")</f>
        <v>сущностям?</v>
      </c>
    </row>
    <row r="417" ht="14.25" customHeight="1">
      <c r="C417" s="2"/>
      <c r="D417" s="3"/>
      <c r="F417" s="4"/>
      <c r="G417" s="3"/>
      <c r="H417" s="3"/>
      <c r="I417" s="4"/>
      <c r="U417" s="4"/>
      <c r="V417" s="4"/>
    </row>
    <row r="418" ht="14.25" customHeight="1">
      <c r="C418" s="2"/>
      <c r="D418" s="3"/>
      <c r="F418" s="4"/>
      <c r="G418" s="3"/>
      <c r="H418" s="3"/>
      <c r="I418" s="4"/>
      <c r="U418" s="4"/>
      <c r="V418" s="4"/>
    </row>
    <row r="419" ht="14.25" customHeight="1">
      <c r="C419" s="2"/>
      <c r="D419" s="3"/>
      <c r="F419" s="4"/>
      <c r="G419" s="3"/>
      <c r="H419" s="3"/>
      <c r="I419" s="4"/>
      <c r="U419" s="4"/>
      <c r="V419" s="4"/>
    </row>
    <row r="420" ht="14.25" customHeight="1">
      <c r="C420" s="2"/>
      <c r="D420" s="3"/>
      <c r="F420" s="4"/>
      <c r="G420" s="3"/>
      <c r="H420" s="3"/>
      <c r="I420" s="4"/>
      <c r="U420" s="4"/>
      <c r="V420" s="4"/>
    </row>
    <row r="421" ht="14.25" customHeight="1">
      <c r="C421" s="2"/>
      <c r="D421" s="3"/>
      <c r="F421" s="4"/>
      <c r="G421" s="3"/>
      <c r="H421" s="3"/>
      <c r="I421" s="4"/>
      <c r="U421" s="4"/>
      <c r="V421" s="4"/>
    </row>
    <row r="422" ht="14.25" customHeight="1">
      <c r="C422" s="2"/>
      <c r="D422" s="3"/>
      <c r="F422" s="4"/>
      <c r="G422" s="3"/>
      <c r="H422" s="3"/>
      <c r="I422" s="4"/>
      <c r="U422" s="4"/>
      <c r="V422" s="4"/>
    </row>
    <row r="423" ht="14.25" customHeight="1">
      <c r="C423" s="2"/>
      <c r="D423" s="3"/>
      <c r="F423" s="4"/>
      <c r="G423" s="3"/>
      <c r="H423" s="3"/>
      <c r="I423" s="4"/>
      <c r="U423" s="4"/>
      <c r="V423" s="4"/>
    </row>
    <row r="424" ht="14.25" customHeight="1">
      <c r="C424" s="2"/>
      <c r="D424" s="3"/>
      <c r="F424" s="4"/>
      <c r="G424" s="3"/>
      <c r="H424" s="3"/>
      <c r="I424" s="4"/>
      <c r="U424" s="4"/>
      <c r="V424" s="4"/>
    </row>
    <row r="425" ht="14.25" customHeight="1">
      <c r="C425" s="2"/>
      <c r="D425" s="3"/>
      <c r="F425" s="4"/>
      <c r="G425" s="3"/>
      <c r="H425" s="3"/>
      <c r="I425" s="4"/>
      <c r="U425" s="4"/>
      <c r="V425" s="4"/>
    </row>
    <row r="426" ht="14.25" customHeight="1">
      <c r="C426" s="2"/>
      <c r="D426" s="3"/>
      <c r="F426" s="4"/>
      <c r="G426" s="3"/>
      <c r="H426" s="3"/>
      <c r="I426" s="4"/>
      <c r="U426" s="4"/>
      <c r="V426" s="4"/>
    </row>
    <row r="427" ht="14.25" customHeight="1">
      <c r="C427" s="2"/>
      <c r="D427" s="3"/>
      <c r="F427" s="4"/>
      <c r="G427" s="3"/>
      <c r="H427" s="3"/>
      <c r="I427" s="4"/>
      <c r="U427" s="4"/>
      <c r="V427" s="4"/>
    </row>
    <row r="428" ht="14.25" customHeight="1">
      <c r="C428" s="2"/>
      <c r="D428" s="3"/>
      <c r="F428" s="4"/>
      <c r="G428" s="3"/>
      <c r="H428" s="3"/>
      <c r="I428" s="4"/>
      <c r="U428" s="4"/>
      <c r="V428" s="4"/>
    </row>
    <row r="429" ht="14.25" customHeight="1">
      <c r="C429" s="2"/>
      <c r="D429" s="3"/>
      <c r="F429" s="4"/>
      <c r="G429" s="3"/>
      <c r="H429" s="3"/>
      <c r="I429" s="4"/>
      <c r="U429" s="4"/>
      <c r="V429" s="4"/>
    </row>
    <row r="430" ht="14.25" customHeight="1">
      <c r="C430" s="2"/>
      <c r="D430" s="3"/>
      <c r="F430" s="4"/>
      <c r="G430" s="3"/>
      <c r="H430" s="3"/>
      <c r="I430" s="4"/>
      <c r="U430" s="4"/>
      <c r="V430" s="4"/>
    </row>
    <row r="431" ht="14.25" customHeight="1">
      <c r="C431" s="2"/>
      <c r="D431" s="3"/>
      <c r="F431" s="4"/>
      <c r="G431" s="3"/>
      <c r="H431" s="3"/>
      <c r="I431" s="4"/>
      <c r="U431" s="4"/>
      <c r="V431" s="4"/>
    </row>
    <row r="432" ht="14.25" customHeight="1">
      <c r="C432" s="2"/>
      <c r="D432" s="3"/>
      <c r="F432" s="4"/>
      <c r="G432" s="3"/>
      <c r="H432" s="3"/>
      <c r="I432" s="4"/>
      <c r="U432" s="4"/>
      <c r="V432" s="4"/>
    </row>
    <row r="433" ht="14.25" customHeight="1">
      <c r="C433" s="2"/>
      <c r="D433" s="3"/>
      <c r="F433" s="4"/>
      <c r="G433" s="3"/>
      <c r="H433" s="3"/>
      <c r="I433" s="4"/>
      <c r="U433" s="4"/>
      <c r="V433" s="4"/>
    </row>
    <row r="434" ht="14.25" customHeight="1">
      <c r="C434" s="2"/>
      <c r="D434" s="3"/>
      <c r="F434" s="4"/>
      <c r="G434" s="3"/>
      <c r="H434" s="3"/>
      <c r="I434" s="4"/>
      <c r="U434" s="4"/>
      <c r="V434" s="4"/>
    </row>
    <row r="435" ht="14.25" customHeight="1">
      <c r="C435" s="2"/>
      <c r="D435" s="3"/>
      <c r="F435" s="4"/>
      <c r="G435" s="3"/>
      <c r="H435" s="3"/>
      <c r="I435" s="4"/>
      <c r="U435" s="4"/>
      <c r="V435" s="4"/>
    </row>
    <row r="436" ht="14.25" customHeight="1">
      <c r="C436" s="2"/>
      <c r="D436" s="3"/>
      <c r="F436" s="4"/>
      <c r="G436" s="3"/>
      <c r="H436" s="3"/>
      <c r="I436" s="4"/>
      <c r="U436" s="4"/>
      <c r="V436" s="4"/>
    </row>
    <row r="437" ht="14.25" customHeight="1">
      <c r="C437" s="2"/>
      <c r="D437" s="3"/>
      <c r="F437" s="4"/>
      <c r="G437" s="3"/>
      <c r="H437" s="3"/>
      <c r="I437" s="4"/>
      <c r="U437" s="4"/>
      <c r="V437" s="4"/>
    </row>
    <row r="438" ht="14.25" customHeight="1">
      <c r="C438" s="2"/>
      <c r="D438" s="3"/>
      <c r="F438" s="4"/>
      <c r="G438" s="3"/>
      <c r="H438" s="3"/>
      <c r="I438" s="4"/>
      <c r="U438" s="4"/>
      <c r="V438" s="4"/>
    </row>
    <row r="439" ht="14.25" customHeight="1">
      <c r="C439" s="2"/>
      <c r="D439" s="3"/>
      <c r="F439" s="4"/>
      <c r="G439" s="3"/>
      <c r="H439" s="3"/>
      <c r="I439" s="4"/>
      <c r="U439" s="4"/>
      <c r="V439" s="4"/>
    </row>
    <row r="440" ht="14.25" customHeight="1">
      <c r="C440" s="2"/>
      <c r="D440" s="3"/>
      <c r="F440" s="4"/>
      <c r="G440" s="3"/>
      <c r="H440" s="3"/>
      <c r="I440" s="4"/>
      <c r="U440" s="4"/>
      <c r="V440" s="4"/>
    </row>
    <row r="441" ht="14.25" customHeight="1">
      <c r="C441" s="2"/>
      <c r="D441" s="3"/>
      <c r="F441" s="4"/>
      <c r="G441" s="3"/>
      <c r="H441" s="3"/>
      <c r="I441" s="4"/>
      <c r="U441" s="4"/>
      <c r="V441" s="4"/>
    </row>
    <row r="442" ht="14.25" customHeight="1">
      <c r="C442" s="2"/>
      <c r="D442" s="3"/>
      <c r="F442" s="4"/>
      <c r="G442" s="3"/>
      <c r="H442" s="3"/>
      <c r="I442" s="4"/>
      <c r="U442" s="4"/>
      <c r="V442" s="4"/>
    </row>
    <row r="443" ht="14.25" customHeight="1">
      <c r="C443" s="2"/>
      <c r="D443" s="3"/>
      <c r="F443" s="4"/>
      <c r="G443" s="3"/>
      <c r="H443" s="3"/>
      <c r="I443" s="4"/>
      <c r="U443" s="4"/>
      <c r="V443" s="4"/>
    </row>
    <row r="444" ht="14.25" customHeight="1">
      <c r="C444" s="2"/>
      <c r="D444" s="3"/>
      <c r="F444" s="4"/>
      <c r="G444" s="3"/>
      <c r="H444" s="3"/>
      <c r="I444" s="4"/>
      <c r="U444" s="4"/>
      <c r="V444" s="4"/>
    </row>
    <row r="445" ht="14.25" customHeight="1">
      <c r="C445" s="2"/>
      <c r="D445" s="3"/>
      <c r="F445" s="4"/>
      <c r="G445" s="3"/>
      <c r="H445" s="3"/>
      <c r="I445" s="4"/>
      <c r="U445" s="4"/>
      <c r="V445" s="4"/>
    </row>
    <row r="446" ht="14.25" customHeight="1">
      <c r="C446" s="2"/>
      <c r="D446" s="3"/>
      <c r="F446" s="4"/>
      <c r="G446" s="3"/>
      <c r="H446" s="3"/>
      <c r="I446" s="4"/>
      <c r="U446" s="4"/>
      <c r="V446" s="4"/>
    </row>
    <row r="447" ht="14.25" customHeight="1">
      <c r="C447" s="2"/>
      <c r="D447" s="3"/>
      <c r="F447" s="4"/>
      <c r="G447" s="3"/>
      <c r="H447" s="3"/>
      <c r="I447" s="4"/>
      <c r="U447" s="4"/>
      <c r="V447" s="4"/>
    </row>
    <row r="448" ht="14.25" customHeight="1">
      <c r="C448" s="2"/>
      <c r="D448" s="3"/>
      <c r="F448" s="4"/>
      <c r="G448" s="3"/>
      <c r="H448" s="3"/>
      <c r="I448" s="4"/>
      <c r="U448" s="4"/>
      <c r="V448" s="4"/>
    </row>
    <row r="449" ht="14.25" customHeight="1">
      <c r="C449" s="2"/>
      <c r="D449" s="3"/>
      <c r="F449" s="4"/>
      <c r="G449" s="3"/>
      <c r="H449" s="3"/>
      <c r="I449" s="4"/>
      <c r="U449" s="4"/>
      <c r="V449" s="4"/>
    </row>
    <row r="450" ht="14.25" customHeight="1">
      <c r="C450" s="2"/>
      <c r="D450" s="3"/>
      <c r="F450" s="4"/>
      <c r="G450" s="3"/>
      <c r="H450" s="3"/>
      <c r="I450" s="4"/>
      <c r="U450" s="4"/>
      <c r="V450" s="4"/>
    </row>
    <row r="451" ht="14.25" customHeight="1">
      <c r="C451" s="2"/>
      <c r="D451" s="3"/>
      <c r="F451" s="4"/>
      <c r="G451" s="3"/>
      <c r="H451" s="3"/>
      <c r="I451" s="4"/>
      <c r="U451" s="4"/>
      <c r="V451" s="4"/>
    </row>
    <row r="452" ht="14.25" customHeight="1">
      <c r="C452" s="2"/>
      <c r="D452" s="3"/>
      <c r="F452" s="4"/>
      <c r="G452" s="3"/>
      <c r="H452" s="3"/>
      <c r="I452" s="4"/>
      <c r="U452" s="4"/>
      <c r="V452" s="4"/>
    </row>
    <row r="453" ht="14.25" customHeight="1">
      <c r="C453" s="2"/>
      <c r="D453" s="3"/>
      <c r="F453" s="4"/>
      <c r="G453" s="3"/>
      <c r="H453" s="3"/>
      <c r="I453" s="4"/>
      <c r="U453" s="4"/>
      <c r="V453" s="4"/>
    </row>
    <row r="454" ht="14.25" customHeight="1">
      <c r="C454" s="2"/>
      <c r="D454" s="3"/>
      <c r="F454" s="4"/>
      <c r="G454" s="3"/>
      <c r="H454" s="3"/>
      <c r="I454" s="4"/>
      <c r="U454" s="4"/>
      <c r="V454" s="4"/>
    </row>
    <row r="455" ht="14.25" customHeight="1">
      <c r="C455" s="2"/>
      <c r="D455" s="3"/>
      <c r="F455" s="4"/>
      <c r="G455" s="3"/>
      <c r="H455" s="3"/>
      <c r="I455" s="4"/>
      <c r="U455" s="4"/>
      <c r="V455" s="4"/>
    </row>
    <row r="456" ht="14.25" customHeight="1">
      <c r="C456" s="2"/>
      <c r="D456" s="3"/>
      <c r="F456" s="4"/>
      <c r="G456" s="3"/>
      <c r="H456" s="3"/>
      <c r="I456" s="4"/>
      <c r="U456" s="4"/>
      <c r="V456" s="4"/>
    </row>
    <row r="457" ht="14.25" customHeight="1">
      <c r="C457" s="2"/>
      <c r="D457" s="3"/>
      <c r="F457" s="4"/>
      <c r="G457" s="3"/>
      <c r="H457" s="3"/>
      <c r="I457" s="4"/>
      <c r="U457" s="4"/>
      <c r="V457" s="4"/>
    </row>
    <row r="458" ht="14.25" customHeight="1">
      <c r="C458" s="2"/>
      <c r="D458" s="3"/>
      <c r="F458" s="4"/>
      <c r="G458" s="3"/>
      <c r="H458" s="3"/>
      <c r="I458" s="4"/>
      <c r="U458" s="4"/>
      <c r="V458" s="4"/>
    </row>
    <row r="459" ht="14.25" customHeight="1">
      <c r="C459" s="2"/>
      <c r="D459" s="3"/>
      <c r="F459" s="4"/>
      <c r="G459" s="3"/>
      <c r="H459" s="3"/>
      <c r="I459" s="4"/>
      <c r="U459" s="4"/>
      <c r="V459" s="4"/>
    </row>
    <row r="460" ht="14.25" customHeight="1">
      <c r="C460" s="2"/>
      <c r="D460" s="3"/>
      <c r="F460" s="4"/>
      <c r="G460" s="3"/>
      <c r="H460" s="3"/>
      <c r="I460" s="4"/>
      <c r="U460" s="4"/>
      <c r="V460" s="4"/>
    </row>
    <row r="461" ht="14.25" customHeight="1">
      <c r="C461" s="2"/>
      <c r="D461" s="3"/>
      <c r="F461" s="4"/>
      <c r="G461" s="3"/>
      <c r="H461" s="3"/>
      <c r="I461" s="4"/>
      <c r="U461" s="4"/>
      <c r="V461" s="4"/>
    </row>
    <row r="462" ht="14.25" customHeight="1">
      <c r="C462" s="2"/>
      <c r="D462" s="3"/>
      <c r="F462" s="4"/>
      <c r="G462" s="3"/>
      <c r="H462" s="3"/>
      <c r="I462" s="4"/>
      <c r="U462" s="4"/>
      <c r="V462" s="4"/>
    </row>
    <row r="463" ht="14.25" customHeight="1">
      <c r="C463" s="2"/>
      <c r="D463" s="3"/>
      <c r="F463" s="4"/>
      <c r="G463" s="3"/>
      <c r="H463" s="3"/>
      <c r="I463" s="4"/>
      <c r="U463" s="4"/>
      <c r="V463" s="4"/>
    </row>
    <row r="464" ht="14.25" customHeight="1">
      <c r="C464" s="2"/>
      <c r="D464" s="3"/>
      <c r="F464" s="4"/>
      <c r="G464" s="3"/>
      <c r="H464" s="3"/>
      <c r="I464" s="4"/>
      <c r="U464" s="4"/>
      <c r="V464" s="4"/>
    </row>
    <row r="465" ht="14.25" customHeight="1">
      <c r="C465" s="2"/>
      <c r="D465" s="3"/>
      <c r="F465" s="4"/>
      <c r="G465" s="3"/>
      <c r="H465" s="3"/>
      <c r="I465" s="4"/>
      <c r="U465" s="4"/>
      <c r="V465" s="4"/>
    </row>
    <row r="466" ht="14.25" customHeight="1">
      <c r="C466" s="2"/>
      <c r="D466" s="3"/>
      <c r="F466" s="4"/>
      <c r="G466" s="3"/>
      <c r="H466" s="3"/>
      <c r="I466" s="4"/>
      <c r="U466" s="4"/>
      <c r="V466" s="4"/>
    </row>
    <row r="467" ht="14.25" customHeight="1">
      <c r="C467" s="2"/>
      <c r="D467" s="3"/>
      <c r="F467" s="4"/>
      <c r="G467" s="3"/>
      <c r="H467" s="3"/>
      <c r="I467" s="4"/>
      <c r="U467" s="4"/>
      <c r="V467" s="4"/>
    </row>
    <row r="468" ht="14.25" customHeight="1">
      <c r="C468" s="2"/>
      <c r="D468" s="3"/>
      <c r="F468" s="4"/>
      <c r="G468" s="3"/>
      <c r="H468" s="3"/>
      <c r="I468" s="4"/>
      <c r="U468" s="4"/>
      <c r="V468" s="4"/>
    </row>
    <row r="469" ht="14.25" customHeight="1">
      <c r="C469" s="2"/>
      <c r="D469" s="3"/>
      <c r="F469" s="4"/>
      <c r="G469" s="3"/>
      <c r="H469" s="3"/>
      <c r="I469" s="4"/>
      <c r="U469" s="4"/>
      <c r="V469" s="4"/>
    </row>
    <row r="470" ht="14.25" customHeight="1">
      <c r="C470" s="2"/>
      <c r="D470" s="3"/>
      <c r="F470" s="4"/>
      <c r="G470" s="3"/>
      <c r="H470" s="3"/>
      <c r="I470" s="4"/>
      <c r="U470" s="4"/>
      <c r="V470" s="4"/>
    </row>
    <row r="471" ht="14.25" customHeight="1">
      <c r="C471" s="2"/>
      <c r="D471" s="3"/>
      <c r="F471" s="4"/>
      <c r="G471" s="3"/>
      <c r="H471" s="3"/>
      <c r="I471" s="4"/>
      <c r="U471" s="4"/>
      <c r="V471" s="4"/>
    </row>
    <row r="472" ht="14.25" customHeight="1">
      <c r="C472" s="2"/>
      <c r="D472" s="3"/>
      <c r="F472" s="4"/>
      <c r="G472" s="3"/>
      <c r="H472" s="3"/>
      <c r="I472" s="4"/>
      <c r="U472" s="4"/>
      <c r="V472" s="4"/>
    </row>
    <row r="473" ht="14.25" customHeight="1">
      <c r="C473" s="2"/>
      <c r="D473" s="3"/>
      <c r="F473" s="4"/>
      <c r="G473" s="3"/>
      <c r="H473" s="3"/>
      <c r="I473" s="4"/>
      <c r="U473" s="4"/>
      <c r="V473" s="4"/>
    </row>
    <row r="474" ht="14.25" customHeight="1">
      <c r="C474" s="2"/>
      <c r="D474" s="3"/>
      <c r="F474" s="4"/>
      <c r="G474" s="3"/>
      <c r="H474" s="3"/>
      <c r="I474" s="4"/>
      <c r="U474" s="4"/>
      <c r="V474" s="4"/>
    </row>
    <row r="475" ht="14.25" customHeight="1">
      <c r="C475" s="2"/>
      <c r="D475" s="3"/>
      <c r="F475" s="4"/>
      <c r="G475" s="3"/>
      <c r="H475" s="3"/>
      <c r="I475" s="4"/>
      <c r="U475" s="4"/>
      <c r="V475" s="4"/>
    </row>
    <row r="476" ht="14.25" customHeight="1">
      <c r="C476" s="2"/>
      <c r="D476" s="3"/>
      <c r="F476" s="4"/>
      <c r="G476" s="3"/>
      <c r="H476" s="3"/>
      <c r="I476" s="4"/>
      <c r="U476" s="4"/>
      <c r="V476" s="4"/>
    </row>
    <row r="477" ht="14.25" customHeight="1">
      <c r="C477" s="2"/>
      <c r="D477" s="3"/>
      <c r="F477" s="4"/>
      <c r="G477" s="3"/>
      <c r="H477" s="3"/>
      <c r="I477" s="4"/>
      <c r="U477" s="4"/>
      <c r="V477" s="4"/>
    </row>
    <row r="478" ht="14.25" customHeight="1">
      <c r="C478" s="2"/>
      <c r="D478" s="3"/>
      <c r="F478" s="4"/>
      <c r="G478" s="3"/>
      <c r="H478" s="3"/>
      <c r="I478" s="4"/>
      <c r="U478" s="4"/>
      <c r="V478" s="4"/>
    </row>
    <row r="479" ht="14.25" customHeight="1">
      <c r="C479" s="2"/>
      <c r="D479" s="3"/>
      <c r="F479" s="4"/>
      <c r="G479" s="3"/>
      <c r="H479" s="3"/>
      <c r="I479" s="4"/>
      <c r="U479" s="4"/>
      <c r="V479" s="4"/>
    </row>
    <row r="480" ht="14.25" customHeight="1">
      <c r="C480" s="2"/>
      <c r="D480" s="3"/>
      <c r="F480" s="4"/>
      <c r="G480" s="3"/>
      <c r="H480" s="3"/>
      <c r="I480" s="4"/>
      <c r="U480" s="4"/>
      <c r="V480" s="4"/>
    </row>
    <row r="481" ht="14.25" customHeight="1">
      <c r="C481" s="2"/>
      <c r="D481" s="3"/>
      <c r="F481" s="4"/>
      <c r="G481" s="3"/>
      <c r="H481" s="3"/>
      <c r="I481" s="4"/>
      <c r="U481" s="4"/>
      <c r="V481" s="4"/>
    </row>
    <row r="482" ht="14.25" customHeight="1">
      <c r="C482" s="2"/>
      <c r="D482" s="3"/>
      <c r="F482" s="4"/>
      <c r="G482" s="3"/>
      <c r="H482" s="3"/>
      <c r="I482" s="4"/>
      <c r="U482" s="4"/>
      <c r="V482" s="4"/>
    </row>
    <row r="483" ht="14.25" customHeight="1">
      <c r="C483" s="2"/>
      <c r="D483" s="3"/>
      <c r="F483" s="4"/>
      <c r="G483" s="3"/>
      <c r="H483" s="3"/>
      <c r="I483" s="4"/>
      <c r="U483" s="4"/>
      <c r="V483" s="4"/>
    </row>
    <row r="484" ht="14.25" customHeight="1">
      <c r="C484" s="2"/>
      <c r="D484" s="3"/>
      <c r="F484" s="4"/>
      <c r="G484" s="3"/>
      <c r="H484" s="3"/>
      <c r="I484" s="4"/>
      <c r="U484" s="4"/>
      <c r="V484" s="4"/>
    </row>
    <row r="485" ht="14.25" customHeight="1">
      <c r="C485" s="2"/>
      <c r="D485" s="3"/>
      <c r="F485" s="4"/>
      <c r="G485" s="3"/>
      <c r="H485" s="3"/>
      <c r="I485" s="4"/>
      <c r="U485" s="4"/>
      <c r="V485" s="4"/>
    </row>
    <row r="486" ht="14.25" customHeight="1">
      <c r="C486" s="2"/>
      <c r="D486" s="3"/>
      <c r="F486" s="4"/>
      <c r="G486" s="3"/>
      <c r="H486" s="3"/>
      <c r="I486" s="4"/>
      <c r="U486" s="4"/>
      <c r="V486" s="4"/>
    </row>
    <row r="487" ht="14.25" customHeight="1">
      <c r="C487" s="2"/>
      <c r="D487" s="3"/>
      <c r="F487" s="4"/>
      <c r="G487" s="3"/>
      <c r="H487" s="3"/>
      <c r="I487" s="4"/>
      <c r="U487" s="4"/>
      <c r="V487" s="4"/>
    </row>
    <row r="488" ht="14.25" customHeight="1">
      <c r="C488" s="2"/>
      <c r="D488" s="3"/>
      <c r="F488" s="4"/>
      <c r="G488" s="3"/>
      <c r="H488" s="3"/>
      <c r="I488" s="4"/>
      <c r="U488" s="4"/>
      <c r="V488" s="4"/>
    </row>
    <row r="489" ht="14.25" customHeight="1">
      <c r="C489" s="2"/>
      <c r="D489" s="3"/>
      <c r="F489" s="4"/>
      <c r="G489" s="3"/>
      <c r="H489" s="3"/>
      <c r="I489" s="4"/>
      <c r="U489" s="4"/>
      <c r="V489" s="4"/>
    </row>
    <row r="490" ht="14.25" customHeight="1">
      <c r="C490" s="2"/>
      <c r="D490" s="3"/>
      <c r="F490" s="4"/>
      <c r="G490" s="3"/>
      <c r="H490" s="3"/>
      <c r="I490" s="4"/>
      <c r="U490" s="4"/>
      <c r="V490" s="4"/>
    </row>
    <row r="491" ht="14.25" customHeight="1">
      <c r="C491" s="2"/>
      <c r="D491" s="3"/>
      <c r="F491" s="4"/>
      <c r="G491" s="3"/>
      <c r="H491" s="3"/>
      <c r="I491" s="4"/>
      <c r="U491" s="4"/>
      <c r="V491" s="4"/>
    </row>
    <row r="492" ht="14.25" customHeight="1">
      <c r="C492" s="2"/>
      <c r="D492" s="3"/>
      <c r="F492" s="4"/>
      <c r="G492" s="3"/>
      <c r="H492" s="3"/>
      <c r="I492" s="4"/>
      <c r="U492" s="4"/>
      <c r="V492" s="4"/>
    </row>
    <row r="493" ht="14.25" customHeight="1">
      <c r="C493" s="2"/>
      <c r="D493" s="3"/>
      <c r="F493" s="4"/>
      <c r="G493" s="3"/>
      <c r="H493" s="3"/>
      <c r="I493" s="4"/>
      <c r="U493" s="4"/>
      <c r="V493" s="4"/>
    </row>
    <row r="494" ht="14.25" customHeight="1">
      <c r="C494" s="2"/>
      <c r="D494" s="3"/>
      <c r="F494" s="4"/>
      <c r="G494" s="3"/>
      <c r="H494" s="3"/>
      <c r="I494" s="4"/>
      <c r="U494" s="4"/>
      <c r="V494" s="4"/>
    </row>
    <row r="495" ht="14.25" customHeight="1">
      <c r="C495" s="2"/>
      <c r="D495" s="3"/>
      <c r="F495" s="4"/>
      <c r="G495" s="3"/>
      <c r="H495" s="3"/>
      <c r="I495" s="4"/>
      <c r="U495" s="4"/>
      <c r="V495" s="4"/>
    </row>
    <row r="496" ht="14.25" customHeight="1">
      <c r="C496" s="2"/>
      <c r="D496" s="3"/>
      <c r="F496" s="4"/>
      <c r="G496" s="3"/>
      <c r="H496" s="3"/>
      <c r="I496" s="4"/>
      <c r="U496" s="4"/>
      <c r="V496" s="4"/>
    </row>
    <row r="497" ht="14.25" customHeight="1">
      <c r="C497" s="2"/>
      <c r="D497" s="3"/>
      <c r="F497" s="4"/>
      <c r="G497" s="3"/>
      <c r="H497" s="3"/>
      <c r="I497" s="4"/>
      <c r="U497" s="4"/>
      <c r="V497" s="4"/>
    </row>
    <row r="498" ht="14.25" customHeight="1">
      <c r="C498" s="2"/>
      <c r="D498" s="3"/>
      <c r="F498" s="4"/>
      <c r="G498" s="3"/>
      <c r="H498" s="3"/>
      <c r="I498" s="4"/>
      <c r="U498" s="4"/>
      <c r="V498" s="4"/>
    </row>
    <row r="499" ht="14.25" customHeight="1">
      <c r="C499" s="2"/>
      <c r="D499" s="3"/>
      <c r="F499" s="4"/>
      <c r="G499" s="3"/>
      <c r="H499" s="3"/>
      <c r="I499" s="4"/>
      <c r="U499" s="4"/>
      <c r="V499" s="4"/>
    </row>
    <row r="500" ht="14.25" customHeight="1">
      <c r="C500" s="2"/>
      <c r="D500" s="3"/>
      <c r="F500" s="4"/>
      <c r="G500" s="3"/>
      <c r="H500" s="3"/>
      <c r="I500" s="4"/>
      <c r="U500" s="4"/>
      <c r="V500" s="4"/>
    </row>
    <row r="501" ht="14.25" customHeight="1">
      <c r="C501" s="2"/>
      <c r="D501" s="3"/>
      <c r="F501" s="4"/>
      <c r="G501" s="3"/>
      <c r="H501" s="3"/>
      <c r="I501" s="4"/>
      <c r="U501" s="4"/>
      <c r="V501" s="4"/>
    </row>
    <row r="502" ht="14.25" customHeight="1">
      <c r="C502" s="2"/>
      <c r="D502" s="3"/>
      <c r="F502" s="4"/>
      <c r="G502" s="3"/>
      <c r="H502" s="3"/>
      <c r="I502" s="4"/>
      <c r="U502" s="4"/>
      <c r="V502" s="4"/>
    </row>
    <row r="503" ht="14.25" customHeight="1">
      <c r="C503" s="2"/>
      <c r="D503" s="3"/>
      <c r="F503" s="4"/>
      <c r="G503" s="3"/>
      <c r="H503" s="3"/>
      <c r="I503" s="4"/>
      <c r="U503" s="4"/>
      <c r="V503" s="4"/>
    </row>
    <row r="504" ht="14.25" customHeight="1">
      <c r="C504" s="2"/>
      <c r="D504" s="3"/>
      <c r="F504" s="4"/>
      <c r="G504" s="3"/>
      <c r="H504" s="3"/>
      <c r="I504" s="4"/>
      <c r="U504" s="4"/>
      <c r="V504" s="4"/>
    </row>
    <row r="505" ht="14.25" customHeight="1">
      <c r="C505" s="2"/>
      <c r="D505" s="3"/>
      <c r="F505" s="4"/>
      <c r="G505" s="3"/>
      <c r="H505" s="3"/>
      <c r="I505" s="4"/>
      <c r="U505" s="4"/>
      <c r="V505" s="4"/>
    </row>
    <row r="506" ht="14.25" customHeight="1">
      <c r="C506" s="2"/>
      <c r="D506" s="3"/>
      <c r="F506" s="4"/>
      <c r="G506" s="3"/>
      <c r="H506" s="3"/>
      <c r="I506" s="4"/>
      <c r="U506" s="4"/>
      <c r="V506" s="4"/>
    </row>
    <row r="507" ht="14.25" customHeight="1">
      <c r="C507" s="2"/>
      <c r="D507" s="3"/>
      <c r="F507" s="4"/>
      <c r="G507" s="3"/>
      <c r="H507" s="3"/>
      <c r="I507" s="4"/>
      <c r="U507" s="4"/>
      <c r="V507" s="4"/>
    </row>
    <row r="508" ht="14.25" customHeight="1">
      <c r="C508" s="2"/>
      <c r="D508" s="3"/>
      <c r="F508" s="4"/>
      <c r="G508" s="3"/>
      <c r="H508" s="3"/>
      <c r="I508" s="4"/>
      <c r="U508" s="4"/>
      <c r="V508" s="4"/>
    </row>
    <row r="509" ht="14.25" customHeight="1">
      <c r="C509" s="2"/>
      <c r="D509" s="3"/>
      <c r="F509" s="4"/>
      <c r="G509" s="3"/>
      <c r="H509" s="3"/>
      <c r="I509" s="4"/>
      <c r="U509" s="4"/>
      <c r="V509" s="4"/>
    </row>
    <row r="510" ht="14.25" customHeight="1">
      <c r="C510" s="2"/>
      <c r="D510" s="3"/>
      <c r="F510" s="4"/>
      <c r="G510" s="3"/>
      <c r="H510" s="3"/>
      <c r="I510" s="4"/>
      <c r="U510" s="4"/>
      <c r="V510" s="4"/>
    </row>
    <row r="511" ht="14.25" customHeight="1">
      <c r="C511" s="2"/>
      <c r="D511" s="3"/>
      <c r="F511" s="4"/>
      <c r="G511" s="3"/>
      <c r="H511" s="3"/>
      <c r="I511" s="4"/>
      <c r="U511" s="4"/>
      <c r="V511" s="4"/>
    </row>
    <row r="512" ht="14.25" customHeight="1">
      <c r="C512" s="2"/>
      <c r="D512" s="3"/>
      <c r="F512" s="4"/>
      <c r="G512" s="3"/>
      <c r="H512" s="3"/>
      <c r="I512" s="4"/>
      <c r="U512" s="4"/>
      <c r="V512" s="4"/>
    </row>
    <row r="513" ht="14.25" customHeight="1">
      <c r="C513" s="2"/>
      <c r="D513" s="3"/>
      <c r="F513" s="4"/>
      <c r="G513" s="3"/>
      <c r="H513" s="3"/>
      <c r="I513" s="4"/>
      <c r="U513" s="4"/>
      <c r="V513" s="4"/>
    </row>
    <row r="514" ht="14.25" customHeight="1">
      <c r="C514" s="2"/>
      <c r="D514" s="3"/>
      <c r="F514" s="4"/>
      <c r="G514" s="3"/>
      <c r="H514" s="3"/>
      <c r="I514" s="4"/>
      <c r="U514" s="4"/>
      <c r="V514" s="4"/>
    </row>
    <row r="515" ht="14.25" customHeight="1">
      <c r="C515" s="2"/>
      <c r="D515" s="3"/>
      <c r="F515" s="4"/>
      <c r="G515" s="3"/>
      <c r="H515" s="3"/>
      <c r="I515" s="4"/>
      <c r="U515" s="4"/>
      <c r="V515" s="4"/>
    </row>
    <row r="516" ht="14.25" customHeight="1">
      <c r="C516" s="2"/>
      <c r="D516" s="3"/>
      <c r="F516" s="4"/>
      <c r="G516" s="3"/>
      <c r="H516" s="3"/>
      <c r="I516" s="4"/>
      <c r="U516" s="4"/>
      <c r="V516" s="4"/>
    </row>
    <row r="517" ht="14.25" customHeight="1">
      <c r="C517" s="2"/>
      <c r="D517" s="3"/>
      <c r="F517" s="4"/>
      <c r="G517" s="3"/>
      <c r="H517" s="3"/>
      <c r="I517" s="4"/>
      <c r="U517" s="4"/>
      <c r="V517" s="4"/>
    </row>
    <row r="518" ht="14.25" customHeight="1">
      <c r="C518" s="2"/>
      <c r="D518" s="3"/>
      <c r="F518" s="4"/>
      <c r="G518" s="3"/>
      <c r="H518" s="3"/>
      <c r="I518" s="4"/>
      <c r="U518" s="4"/>
      <c r="V518" s="4"/>
    </row>
    <row r="519" ht="14.25" customHeight="1">
      <c r="C519" s="2"/>
      <c r="D519" s="3"/>
      <c r="F519" s="4"/>
      <c r="G519" s="3"/>
      <c r="H519" s="3"/>
      <c r="I519" s="4"/>
      <c r="U519" s="4"/>
      <c r="V519" s="4"/>
    </row>
    <row r="520" ht="14.25" customHeight="1">
      <c r="C520" s="2"/>
      <c r="D520" s="3"/>
      <c r="F520" s="4"/>
      <c r="G520" s="3"/>
      <c r="H520" s="3"/>
      <c r="I520" s="4"/>
      <c r="U520" s="4"/>
      <c r="V520" s="4"/>
    </row>
    <row r="521" ht="14.25" customHeight="1">
      <c r="C521" s="2"/>
      <c r="D521" s="3"/>
      <c r="F521" s="4"/>
      <c r="G521" s="3"/>
      <c r="H521" s="3"/>
      <c r="I521" s="4"/>
      <c r="U521" s="4"/>
      <c r="V521" s="4"/>
    </row>
    <row r="522" ht="14.25" customHeight="1">
      <c r="C522" s="2"/>
      <c r="D522" s="3"/>
      <c r="F522" s="4"/>
      <c r="G522" s="3"/>
      <c r="H522" s="3"/>
      <c r="I522" s="4"/>
      <c r="U522" s="4"/>
      <c r="V522" s="4"/>
    </row>
    <row r="523" ht="14.25" customHeight="1">
      <c r="C523" s="2"/>
      <c r="D523" s="3"/>
      <c r="F523" s="4"/>
      <c r="G523" s="3"/>
      <c r="H523" s="3"/>
      <c r="I523" s="4"/>
      <c r="U523" s="4"/>
      <c r="V523" s="4"/>
    </row>
    <row r="524" ht="14.25" customHeight="1">
      <c r="C524" s="2"/>
      <c r="D524" s="3"/>
      <c r="F524" s="4"/>
      <c r="G524" s="3"/>
      <c r="H524" s="3"/>
      <c r="I524" s="4"/>
      <c r="U524" s="4"/>
      <c r="V524" s="4"/>
    </row>
    <row r="525" ht="14.25" customHeight="1">
      <c r="C525" s="2"/>
      <c r="D525" s="3"/>
      <c r="F525" s="4"/>
      <c r="G525" s="3"/>
      <c r="H525" s="3"/>
      <c r="I525" s="4"/>
      <c r="U525" s="4"/>
      <c r="V525" s="4"/>
    </row>
    <row r="526" ht="14.25" customHeight="1">
      <c r="C526" s="2"/>
      <c r="D526" s="3"/>
      <c r="F526" s="4"/>
      <c r="G526" s="3"/>
      <c r="H526" s="3"/>
      <c r="I526" s="4"/>
      <c r="U526" s="4"/>
      <c r="V526" s="4"/>
    </row>
    <row r="527" ht="14.25" customHeight="1">
      <c r="C527" s="2"/>
      <c r="D527" s="3"/>
      <c r="F527" s="4"/>
      <c r="G527" s="3"/>
      <c r="H527" s="3"/>
      <c r="I527" s="4"/>
      <c r="U527" s="4"/>
      <c r="V527" s="4"/>
    </row>
    <row r="528" ht="14.25" customHeight="1">
      <c r="C528" s="2"/>
      <c r="D528" s="3"/>
      <c r="F528" s="4"/>
      <c r="G528" s="3"/>
      <c r="H528" s="3"/>
      <c r="I528" s="4"/>
      <c r="U528" s="4"/>
      <c r="V528" s="4"/>
    </row>
    <row r="529" ht="14.25" customHeight="1">
      <c r="C529" s="2"/>
      <c r="D529" s="3"/>
      <c r="F529" s="4"/>
      <c r="G529" s="3"/>
      <c r="H529" s="3"/>
      <c r="I529" s="4"/>
      <c r="U529" s="4"/>
      <c r="V529" s="4"/>
    </row>
    <row r="530" ht="14.25" customHeight="1">
      <c r="C530" s="2"/>
      <c r="D530" s="3"/>
      <c r="F530" s="4"/>
      <c r="G530" s="3"/>
      <c r="H530" s="3"/>
      <c r="I530" s="4"/>
      <c r="U530" s="4"/>
      <c r="V530" s="4"/>
    </row>
    <row r="531" ht="14.25" customHeight="1">
      <c r="C531" s="2"/>
      <c r="D531" s="3"/>
      <c r="F531" s="4"/>
      <c r="G531" s="3"/>
      <c r="H531" s="3"/>
      <c r="I531" s="4"/>
      <c r="U531" s="4"/>
      <c r="V531" s="4"/>
    </row>
    <row r="532" ht="14.25" customHeight="1">
      <c r="C532" s="2"/>
      <c r="D532" s="3"/>
      <c r="F532" s="4"/>
      <c r="G532" s="3"/>
      <c r="H532" s="3"/>
      <c r="I532" s="4"/>
      <c r="U532" s="4"/>
      <c r="V532" s="4"/>
    </row>
    <row r="533" ht="14.25" customHeight="1">
      <c r="C533" s="2"/>
      <c r="D533" s="3"/>
      <c r="F533" s="4"/>
      <c r="G533" s="3"/>
      <c r="H533" s="3"/>
      <c r="I533" s="4"/>
      <c r="U533" s="4"/>
      <c r="V533" s="4"/>
    </row>
    <row r="534" ht="14.25" customHeight="1">
      <c r="C534" s="2"/>
      <c r="D534" s="3"/>
      <c r="F534" s="4"/>
      <c r="G534" s="3"/>
      <c r="H534" s="3"/>
      <c r="I534" s="4"/>
      <c r="U534" s="4"/>
      <c r="V534" s="4"/>
    </row>
    <row r="535" ht="14.25" customHeight="1">
      <c r="C535" s="2"/>
      <c r="D535" s="3"/>
      <c r="F535" s="4"/>
      <c r="G535" s="3"/>
      <c r="H535" s="3"/>
      <c r="I535" s="4"/>
      <c r="U535" s="4"/>
      <c r="V535" s="4"/>
    </row>
    <row r="536" ht="14.25" customHeight="1">
      <c r="C536" s="2"/>
      <c r="D536" s="3"/>
      <c r="F536" s="4"/>
      <c r="G536" s="3"/>
      <c r="H536" s="3"/>
      <c r="I536" s="4"/>
      <c r="U536" s="4"/>
      <c r="V536" s="4"/>
    </row>
    <row r="537" ht="14.25" customHeight="1">
      <c r="C537" s="2"/>
      <c r="D537" s="3"/>
      <c r="F537" s="4"/>
      <c r="G537" s="3"/>
      <c r="H537" s="3"/>
      <c r="I537" s="4"/>
      <c r="U537" s="4"/>
      <c r="V537" s="4"/>
    </row>
    <row r="538" ht="14.25" customHeight="1">
      <c r="C538" s="2"/>
      <c r="D538" s="3"/>
      <c r="F538" s="4"/>
      <c r="G538" s="3"/>
      <c r="H538" s="3"/>
      <c r="I538" s="4"/>
      <c r="U538" s="4"/>
      <c r="V538" s="4"/>
    </row>
    <row r="539" ht="14.25" customHeight="1">
      <c r="C539" s="2"/>
      <c r="D539" s="3"/>
      <c r="F539" s="4"/>
      <c r="G539" s="3"/>
      <c r="H539" s="3"/>
      <c r="I539" s="4"/>
      <c r="U539" s="4"/>
      <c r="V539" s="4"/>
    </row>
    <row r="540" ht="14.25" customHeight="1">
      <c r="C540" s="2"/>
      <c r="D540" s="3"/>
      <c r="F540" s="4"/>
      <c r="G540" s="3"/>
      <c r="H540" s="3"/>
      <c r="I540" s="4"/>
      <c r="U540" s="4"/>
      <c r="V540" s="4"/>
    </row>
    <row r="541" ht="14.25" customHeight="1">
      <c r="C541" s="2"/>
      <c r="D541" s="3"/>
      <c r="F541" s="4"/>
      <c r="G541" s="3"/>
      <c r="H541" s="3"/>
      <c r="I541" s="4"/>
      <c r="U541" s="4"/>
      <c r="V541" s="4"/>
    </row>
    <row r="542" ht="14.25" customHeight="1">
      <c r="C542" s="2"/>
      <c r="D542" s="3"/>
      <c r="F542" s="4"/>
      <c r="G542" s="3"/>
      <c r="H542" s="3"/>
      <c r="I542" s="4"/>
      <c r="U542" s="4"/>
      <c r="V542" s="4"/>
    </row>
    <row r="543" ht="14.25" customHeight="1">
      <c r="C543" s="2"/>
      <c r="D543" s="3"/>
      <c r="F543" s="4"/>
      <c r="G543" s="3"/>
      <c r="H543" s="3"/>
      <c r="I543" s="4"/>
      <c r="U543" s="4"/>
      <c r="V543" s="4"/>
    </row>
    <row r="544" ht="14.25" customHeight="1">
      <c r="C544" s="2"/>
      <c r="D544" s="3"/>
      <c r="F544" s="4"/>
      <c r="G544" s="3"/>
      <c r="H544" s="3"/>
      <c r="I544" s="4"/>
      <c r="U544" s="4"/>
      <c r="V544" s="4"/>
    </row>
    <row r="545" ht="14.25" customHeight="1">
      <c r="C545" s="2"/>
      <c r="D545" s="3"/>
      <c r="F545" s="4"/>
      <c r="G545" s="3"/>
      <c r="H545" s="3"/>
      <c r="I545" s="4"/>
      <c r="U545" s="4"/>
      <c r="V545" s="4"/>
    </row>
    <row r="546" ht="14.25" customHeight="1">
      <c r="C546" s="2"/>
      <c r="D546" s="3"/>
      <c r="F546" s="4"/>
      <c r="G546" s="3"/>
      <c r="H546" s="3"/>
      <c r="I546" s="4"/>
      <c r="U546" s="4"/>
      <c r="V546" s="4"/>
    </row>
    <row r="547" ht="14.25" customHeight="1">
      <c r="C547" s="2"/>
      <c r="D547" s="3"/>
      <c r="F547" s="4"/>
      <c r="G547" s="3"/>
      <c r="H547" s="3"/>
      <c r="I547" s="4"/>
      <c r="U547" s="4"/>
      <c r="V547" s="4"/>
    </row>
    <row r="548" ht="14.25" customHeight="1">
      <c r="C548" s="2"/>
      <c r="D548" s="3"/>
      <c r="F548" s="4"/>
      <c r="G548" s="3"/>
      <c r="H548" s="3"/>
      <c r="I548" s="4"/>
      <c r="U548" s="4"/>
      <c r="V548" s="4"/>
    </row>
    <row r="549" ht="14.25" customHeight="1">
      <c r="C549" s="2"/>
      <c r="D549" s="3"/>
      <c r="F549" s="4"/>
      <c r="G549" s="3"/>
      <c r="H549" s="3"/>
      <c r="I549" s="4"/>
      <c r="U549" s="4"/>
      <c r="V549" s="4"/>
    </row>
    <row r="550" ht="14.25" customHeight="1">
      <c r="C550" s="2"/>
      <c r="D550" s="3"/>
      <c r="F550" s="4"/>
      <c r="G550" s="3"/>
      <c r="H550" s="3"/>
      <c r="I550" s="4"/>
      <c r="U550" s="4"/>
      <c r="V550" s="4"/>
    </row>
    <row r="551" ht="14.25" customHeight="1">
      <c r="C551" s="2"/>
      <c r="D551" s="3"/>
      <c r="F551" s="4"/>
      <c r="G551" s="3"/>
      <c r="H551" s="3"/>
      <c r="I551" s="4"/>
      <c r="U551" s="4"/>
      <c r="V551" s="4"/>
    </row>
    <row r="552" ht="14.25" customHeight="1">
      <c r="C552" s="2"/>
      <c r="D552" s="3"/>
      <c r="F552" s="4"/>
      <c r="G552" s="3"/>
      <c r="H552" s="3"/>
      <c r="I552" s="4"/>
      <c r="U552" s="4"/>
      <c r="V552" s="4"/>
    </row>
    <row r="553" ht="14.25" customHeight="1">
      <c r="C553" s="2"/>
      <c r="D553" s="3"/>
      <c r="F553" s="4"/>
      <c r="G553" s="3"/>
      <c r="H553" s="3"/>
      <c r="I553" s="4"/>
      <c r="U553" s="4"/>
      <c r="V553" s="4"/>
    </row>
    <row r="554" ht="14.25" customHeight="1">
      <c r="C554" s="2"/>
      <c r="D554" s="3"/>
      <c r="F554" s="4"/>
      <c r="G554" s="3"/>
      <c r="H554" s="3"/>
      <c r="I554" s="4"/>
      <c r="U554" s="4"/>
      <c r="V554" s="4"/>
    </row>
    <row r="555" ht="14.25" customHeight="1">
      <c r="C555" s="2"/>
      <c r="D555" s="3"/>
      <c r="F555" s="4"/>
      <c r="G555" s="3"/>
      <c r="H555" s="3"/>
      <c r="I555" s="4"/>
      <c r="U555" s="4"/>
      <c r="V555" s="4"/>
    </row>
    <row r="556" ht="14.25" customHeight="1">
      <c r="C556" s="2"/>
      <c r="D556" s="3"/>
      <c r="F556" s="4"/>
      <c r="G556" s="3"/>
      <c r="H556" s="3"/>
      <c r="I556" s="4"/>
      <c r="U556" s="4"/>
      <c r="V556" s="4"/>
    </row>
    <row r="557" ht="14.25" customHeight="1">
      <c r="C557" s="2"/>
      <c r="D557" s="3"/>
      <c r="F557" s="4"/>
      <c r="G557" s="3"/>
      <c r="H557" s="3"/>
      <c r="I557" s="4"/>
      <c r="U557" s="4"/>
      <c r="V557" s="4"/>
    </row>
    <row r="558" ht="14.25" customHeight="1">
      <c r="C558" s="2"/>
      <c r="D558" s="3"/>
      <c r="F558" s="4"/>
      <c r="G558" s="3"/>
      <c r="H558" s="3"/>
      <c r="I558" s="4"/>
      <c r="U558" s="4"/>
      <c r="V558" s="4"/>
    </row>
    <row r="559" ht="14.25" customHeight="1">
      <c r="C559" s="2"/>
      <c r="D559" s="3"/>
      <c r="F559" s="4"/>
      <c r="G559" s="3"/>
      <c r="H559" s="3"/>
      <c r="I559" s="4"/>
      <c r="U559" s="4"/>
      <c r="V559" s="4"/>
    </row>
    <row r="560" ht="14.25" customHeight="1">
      <c r="C560" s="2"/>
      <c r="D560" s="3"/>
      <c r="F560" s="4"/>
      <c r="G560" s="3"/>
      <c r="H560" s="3"/>
      <c r="I560" s="4"/>
      <c r="U560" s="4"/>
      <c r="V560" s="4"/>
    </row>
    <row r="561" ht="14.25" customHeight="1">
      <c r="C561" s="2"/>
      <c r="D561" s="3"/>
      <c r="F561" s="4"/>
      <c r="G561" s="3"/>
      <c r="H561" s="3"/>
      <c r="I561" s="4"/>
      <c r="U561" s="4"/>
      <c r="V561" s="4"/>
    </row>
    <row r="562" ht="14.25" customHeight="1">
      <c r="C562" s="2"/>
      <c r="D562" s="3"/>
      <c r="F562" s="4"/>
      <c r="G562" s="3"/>
      <c r="H562" s="3"/>
      <c r="I562" s="4"/>
      <c r="U562" s="4"/>
      <c r="V562" s="4"/>
    </row>
    <row r="563" ht="14.25" customHeight="1">
      <c r="C563" s="2"/>
      <c r="D563" s="3"/>
      <c r="F563" s="4"/>
      <c r="G563" s="3"/>
      <c r="H563" s="3"/>
      <c r="I563" s="4"/>
      <c r="U563" s="4"/>
      <c r="V563" s="4"/>
    </row>
    <row r="564" ht="14.25" customHeight="1">
      <c r="C564" s="2"/>
      <c r="D564" s="3"/>
      <c r="F564" s="4"/>
      <c r="G564" s="3"/>
      <c r="H564" s="3"/>
      <c r="I564" s="4"/>
      <c r="U564" s="4"/>
      <c r="V564" s="4"/>
    </row>
    <row r="565" ht="14.25" customHeight="1">
      <c r="C565" s="2"/>
      <c r="D565" s="3"/>
      <c r="F565" s="4"/>
      <c r="G565" s="3"/>
      <c r="H565" s="3"/>
      <c r="I565" s="4"/>
      <c r="U565" s="4"/>
      <c r="V565" s="4"/>
    </row>
    <row r="566" ht="14.25" customHeight="1">
      <c r="C566" s="2"/>
      <c r="D566" s="3"/>
      <c r="F566" s="4"/>
      <c r="G566" s="3"/>
      <c r="H566" s="3"/>
      <c r="I566" s="4"/>
      <c r="U566" s="4"/>
      <c r="V566" s="4"/>
    </row>
    <row r="567" ht="14.25" customHeight="1">
      <c r="C567" s="2"/>
      <c r="D567" s="3"/>
      <c r="F567" s="4"/>
      <c r="G567" s="3"/>
      <c r="H567" s="3"/>
      <c r="I567" s="4"/>
      <c r="U567" s="4"/>
      <c r="V567" s="4"/>
    </row>
    <row r="568" ht="14.25" customHeight="1">
      <c r="C568" s="2"/>
      <c r="D568" s="3"/>
      <c r="F568" s="4"/>
      <c r="G568" s="3"/>
      <c r="H568" s="3"/>
      <c r="I568" s="4"/>
      <c r="U568" s="4"/>
      <c r="V568" s="4"/>
    </row>
    <row r="569" ht="14.25" customHeight="1">
      <c r="C569" s="2"/>
      <c r="D569" s="3"/>
      <c r="F569" s="4"/>
      <c r="G569" s="3"/>
      <c r="H569" s="3"/>
      <c r="I569" s="4"/>
      <c r="U569" s="4"/>
      <c r="V569" s="4"/>
    </row>
    <row r="570" ht="14.25" customHeight="1">
      <c r="C570" s="2"/>
      <c r="D570" s="3"/>
      <c r="F570" s="4"/>
      <c r="G570" s="3"/>
      <c r="H570" s="3"/>
      <c r="I570" s="4"/>
      <c r="U570" s="4"/>
      <c r="V570" s="4"/>
    </row>
    <row r="571" ht="14.25" customHeight="1">
      <c r="C571" s="2"/>
      <c r="D571" s="3"/>
      <c r="F571" s="4"/>
      <c r="G571" s="3"/>
      <c r="H571" s="3"/>
      <c r="I571" s="4"/>
      <c r="U571" s="4"/>
      <c r="V571" s="4"/>
    </row>
    <row r="572" ht="14.25" customHeight="1">
      <c r="C572" s="2"/>
      <c r="D572" s="3"/>
      <c r="F572" s="4"/>
      <c r="G572" s="3"/>
      <c r="H572" s="3"/>
      <c r="I572" s="4"/>
      <c r="U572" s="4"/>
      <c r="V572" s="4"/>
    </row>
    <row r="573" ht="14.25" customHeight="1">
      <c r="C573" s="2"/>
      <c r="D573" s="3"/>
      <c r="F573" s="4"/>
      <c r="G573" s="3"/>
      <c r="H573" s="3"/>
      <c r="I573" s="4"/>
      <c r="U573" s="4"/>
      <c r="V573" s="4"/>
    </row>
    <row r="574" ht="14.25" customHeight="1">
      <c r="C574" s="2"/>
      <c r="D574" s="3"/>
      <c r="F574" s="4"/>
      <c r="G574" s="3"/>
      <c r="H574" s="3"/>
      <c r="I574" s="4"/>
      <c r="U574" s="4"/>
      <c r="V574" s="4"/>
    </row>
    <row r="575" ht="14.25" customHeight="1">
      <c r="C575" s="2"/>
      <c r="D575" s="3"/>
      <c r="F575" s="4"/>
      <c r="G575" s="3"/>
      <c r="H575" s="3"/>
      <c r="I575" s="4"/>
      <c r="U575" s="4"/>
      <c r="V575" s="4"/>
    </row>
    <row r="576" ht="14.25" customHeight="1">
      <c r="C576" s="2"/>
      <c r="D576" s="3"/>
      <c r="F576" s="4"/>
      <c r="G576" s="3"/>
      <c r="H576" s="3"/>
      <c r="I576" s="4"/>
      <c r="U576" s="4"/>
      <c r="V576" s="4"/>
    </row>
    <row r="577" ht="14.25" customHeight="1">
      <c r="C577" s="2"/>
      <c r="D577" s="3"/>
      <c r="F577" s="4"/>
      <c r="G577" s="3"/>
      <c r="H577" s="3"/>
      <c r="I577" s="4"/>
      <c r="U577" s="4"/>
      <c r="V577" s="4"/>
    </row>
    <row r="578" ht="14.25" customHeight="1">
      <c r="C578" s="2"/>
      <c r="D578" s="3"/>
      <c r="F578" s="4"/>
      <c r="G578" s="3"/>
      <c r="H578" s="3"/>
      <c r="I578" s="4"/>
      <c r="U578" s="4"/>
      <c r="V578" s="4"/>
    </row>
    <row r="579" ht="14.25" customHeight="1">
      <c r="C579" s="2"/>
      <c r="D579" s="3"/>
      <c r="F579" s="4"/>
      <c r="G579" s="3"/>
      <c r="H579" s="3"/>
      <c r="I579" s="4"/>
      <c r="U579" s="4"/>
      <c r="V579" s="4"/>
    </row>
    <row r="580" ht="14.25" customHeight="1">
      <c r="C580" s="2"/>
      <c r="D580" s="3"/>
      <c r="F580" s="4"/>
      <c r="G580" s="3"/>
      <c r="H580" s="3"/>
      <c r="I580" s="4"/>
      <c r="U580" s="4"/>
      <c r="V580" s="4"/>
    </row>
    <row r="581" ht="14.25" customHeight="1">
      <c r="C581" s="2"/>
      <c r="D581" s="3"/>
      <c r="F581" s="4"/>
      <c r="G581" s="3"/>
      <c r="H581" s="3"/>
      <c r="I581" s="4"/>
      <c r="U581" s="4"/>
      <c r="V581" s="4"/>
    </row>
    <row r="582" ht="14.25" customHeight="1">
      <c r="C582" s="2"/>
      <c r="D582" s="3"/>
      <c r="F582" s="4"/>
      <c r="G582" s="3"/>
      <c r="H582" s="3"/>
      <c r="I582" s="4"/>
      <c r="U582" s="4"/>
      <c r="V582" s="4"/>
    </row>
    <row r="583" ht="14.25" customHeight="1">
      <c r="C583" s="2"/>
      <c r="D583" s="3"/>
      <c r="F583" s="4"/>
      <c r="G583" s="3"/>
      <c r="H583" s="3"/>
      <c r="I583" s="4"/>
      <c r="U583" s="4"/>
      <c r="V583" s="4"/>
    </row>
    <row r="584" ht="14.25" customHeight="1">
      <c r="C584" s="2"/>
      <c r="D584" s="3"/>
      <c r="F584" s="4"/>
      <c r="G584" s="3"/>
      <c r="H584" s="3"/>
      <c r="I584" s="4"/>
      <c r="U584" s="4"/>
      <c r="V584" s="4"/>
    </row>
    <row r="585" ht="14.25" customHeight="1">
      <c r="C585" s="2"/>
      <c r="D585" s="3"/>
      <c r="F585" s="4"/>
      <c r="G585" s="3"/>
      <c r="H585" s="3"/>
      <c r="I585" s="4"/>
      <c r="U585" s="4"/>
      <c r="V585" s="4"/>
    </row>
    <row r="586" ht="14.25" customHeight="1">
      <c r="C586" s="2"/>
      <c r="D586" s="3"/>
      <c r="F586" s="4"/>
      <c r="G586" s="3"/>
      <c r="H586" s="3"/>
      <c r="I586" s="4"/>
      <c r="U586" s="4"/>
      <c r="V586" s="4"/>
    </row>
    <row r="587" ht="14.25" customHeight="1">
      <c r="C587" s="2"/>
      <c r="D587" s="3"/>
      <c r="F587" s="4"/>
      <c r="G587" s="3"/>
      <c r="H587" s="3"/>
      <c r="I587" s="4"/>
      <c r="U587" s="4"/>
      <c r="V587" s="4"/>
    </row>
    <row r="588" ht="14.25" customHeight="1">
      <c r="C588" s="2"/>
      <c r="D588" s="3"/>
      <c r="F588" s="4"/>
      <c r="G588" s="3"/>
      <c r="H588" s="3"/>
      <c r="I588" s="4"/>
      <c r="U588" s="4"/>
      <c r="V588" s="4"/>
    </row>
    <row r="589" ht="14.25" customHeight="1">
      <c r="C589" s="2"/>
      <c r="D589" s="3"/>
      <c r="F589" s="4"/>
      <c r="G589" s="3"/>
      <c r="H589" s="3"/>
      <c r="I589" s="4"/>
      <c r="U589" s="4"/>
      <c r="V589" s="4"/>
    </row>
    <row r="590" ht="14.25" customHeight="1">
      <c r="C590" s="2"/>
      <c r="D590" s="3"/>
      <c r="F590" s="4"/>
      <c r="G590" s="3"/>
      <c r="H590" s="3"/>
      <c r="I590" s="4"/>
      <c r="U590" s="4"/>
      <c r="V590" s="4"/>
    </row>
    <row r="591" ht="14.25" customHeight="1">
      <c r="C591" s="2"/>
      <c r="D591" s="3"/>
      <c r="F591" s="4"/>
      <c r="G591" s="3"/>
      <c r="H591" s="3"/>
      <c r="I591" s="4"/>
      <c r="U591" s="4"/>
      <c r="V591" s="4"/>
    </row>
    <row r="592" ht="14.25" customHeight="1">
      <c r="C592" s="2"/>
      <c r="D592" s="3"/>
      <c r="F592" s="4"/>
      <c r="G592" s="3"/>
      <c r="H592" s="3"/>
      <c r="I592" s="4"/>
      <c r="U592" s="4"/>
      <c r="V592" s="4"/>
    </row>
    <row r="593" ht="14.25" customHeight="1">
      <c r="C593" s="2"/>
      <c r="D593" s="3"/>
      <c r="F593" s="4"/>
      <c r="G593" s="3"/>
      <c r="H593" s="3"/>
      <c r="I593" s="4"/>
      <c r="U593" s="4"/>
      <c r="V593" s="4"/>
    </row>
    <row r="594" ht="14.25" customHeight="1">
      <c r="C594" s="2"/>
      <c r="D594" s="3"/>
      <c r="F594" s="4"/>
      <c r="G594" s="3"/>
      <c r="H594" s="3"/>
      <c r="I594" s="4"/>
      <c r="U594" s="4"/>
      <c r="V594" s="4"/>
    </row>
    <row r="595" ht="14.25" customHeight="1">
      <c r="C595" s="2"/>
      <c r="D595" s="3"/>
      <c r="F595" s="4"/>
      <c r="G595" s="3"/>
      <c r="H595" s="3"/>
      <c r="I595" s="4"/>
      <c r="U595" s="4"/>
      <c r="V595" s="4"/>
    </row>
    <row r="596" ht="14.25" customHeight="1">
      <c r="C596" s="2"/>
      <c r="D596" s="3"/>
      <c r="F596" s="4"/>
      <c r="G596" s="3"/>
      <c r="H596" s="3"/>
      <c r="I596" s="4"/>
      <c r="U596" s="4"/>
      <c r="V596" s="4"/>
    </row>
    <row r="597" ht="14.25" customHeight="1">
      <c r="C597" s="2"/>
      <c r="D597" s="3"/>
      <c r="F597" s="4"/>
      <c r="G597" s="3"/>
      <c r="H597" s="3"/>
      <c r="I597" s="4"/>
      <c r="U597" s="4"/>
      <c r="V597" s="4"/>
    </row>
    <row r="598" ht="14.25" customHeight="1">
      <c r="C598" s="2"/>
      <c r="D598" s="3"/>
      <c r="F598" s="4"/>
      <c r="G598" s="3"/>
      <c r="H598" s="3"/>
      <c r="I598" s="4"/>
      <c r="U598" s="4"/>
      <c r="V598" s="4"/>
    </row>
    <row r="599" ht="14.25" customHeight="1">
      <c r="C599" s="2"/>
      <c r="D599" s="3"/>
      <c r="F599" s="4"/>
      <c r="G599" s="3"/>
      <c r="H599" s="3"/>
      <c r="I599" s="4"/>
      <c r="U599" s="4"/>
      <c r="V599" s="4"/>
    </row>
    <row r="600" ht="14.25" customHeight="1">
      <c r="C600" s="2"/>
      <c r="D600" s="3"/>
      <c r="F600" s="4"/>
      <c r="G600" s="3"/>
      <c r="H600" s="3"/>
      <c r="I600" s="4"/>
      <c r="U600" s="4"/>
      <c r="V600" s="4"/>
    </row>
    <row r="601" ht="14.25" customHeight="1">
      <c r="C601" s="2"/>
      <c r="D601" s="3"/>
      <c r="F601" s="4"/>
      <c r="G601" s="3"/>
      <c r="H601" s="3"/>
      <c r="I601" s="4"/>
      <c r="U601" s="4"/>
      <c r="V601" s="4"/>
    </row>
    <row r="602" ht="14.25" customHeight="1">
      <c r="C602" s="2"/>
      <c r="D602" s="3"/>
      <c r="F602" s="4"/>
      <c r="G602" s="3"/>
      <c r="H602" s="3"/>
      <c r="I602" s="4"/>
      <c r="U602" s="4"/>
      <c r="V602" s="4"/>
    </row>
    <row r="603" ht="14.25" customHeight="1">
      <c r="C603" s="2"/>
      <c r="D603" s="3"/>
      <c r="F603" s="4"/>
      <c r="G603" s="3"/>
      <c r="H603" s="3"/>
      <c r="I603" s="4"/>
      <c r="U603" s="4"/>
      <c r="V603" s="4"/>
    </row>
    <row r="604" ht="14.25" customHeight="1">
      <c r="C604" s="2"/>
      <c r="D604" s="3"/>
      <c r="F604" s="4"/>
      <c r="G604" s="3"/>
      <c r="H604" s="3"/>
      <c r="I604" s="4"/>
      <c r="U604" s="4"/>
      <c r="V604" s="4"/>
    </row>
    <row r="605" ht="14.25" customHeight="1">
      <c r="C605" s="2"/>
      <c r="D605" s="3"/>
      <c r="F605" s="4"/>
      <c r="G605" s="3"/>
      <c r="H605" s="3"/>
      <c r="I605" s="4"/>
      <c r="U605" s="4"/>
      <c r="V605" s="4"/>
    </row>
    <row r="606" ht="14.25" customHeight="1">
      <c r="C606" s="2"/>
      <c r="D606" s="3"/>
      <c r="F606" s="4"/>
      <c r="G606" s="3"/>
      <c r="H606" s="3"/>
      <c r="I606" s="4"/>
      <c r="U606" s="4"/>
      <c r="V606" s="4"/>
    </row>
    <row r="607" ht="14.25" customHeight="1">
      <c r="C607" s="2"/>
      <c r="D607" s="3"/>
      <c r="F607" s="4"/>
      <c r="G607" s="3"/>
      <c r="H607" s="3"/>
      <c r="I607" s="4"/>
      <c r="U607" s="4"/>
      <c r="V607" s="4"/>
    </row>
    <row r="608" ht="14.25" customHeight="1">
      <c r="C608" s="2"/>
      <c r="D608" s="3"/>
      <c r="F608" s="4"/>
      <c r="G608" s="3"/>
      <c r="H608" s="3"/>
      <c r="I608" s="4"/>
      <c r="U608" s="4"/>
      <c r="V608" s="4"/>
    </row>
    <row r="609" ht="14.25" customHeight="1">
      <c r="C609" s="2"/>
      <c r="D609" s="3"/>
      <c r="F609" s="4"/>
      <c r="G609" s="3"/>
      <c r="H609" s="3"/>
      <c r="I609" s="4"/>
      <c r="U609" s="4"/>
      <c r="V609" s="4"/>
    </row>
    <row r="610" ht="14.25" customHeight="1">
      <c r="C610" s="2"/>
      <c r="D610" s="3"/>
      <c r="F610" s="4"/>
      <c r="G610" s="3"/>
      <c r="H610" s="3"/>
      <c r="I610" s="4"/>
      <c r="U610" s="4"/>
      <c r="V610" s="4"/>
    </row>
    <row r="611" ht="14.25" customHeight="1">
      <c r="C611" s="2"/>
      <c r="D611" s="3"/>
      <c r="F611" s="4"/>
      <c r="G611" s="3"/>
      <c r="H611" s="3"/>
      <c r="I611" s="4"/>
      <c r="U611" s="4"/>
      <c r="V611" s="4"/>
    </row>
    <row r="612" ht="14.25" customHeight="1">
      <c r="C612" s="2"/>
      <c r="D612" s="3"/>
      <c r="F612" s="4"/>
      <c r="G612" s="3"/>
      <c r="H612" s="3"/>
      <c r="I612" s="4"/>
      <c r="U612" s="4"/>
      <c r="V612" s="4"/>
    </row>
    <row r="613" ht="14.25" customHeight="1">
      <c r="C613" s="2"/>
      <c r="D613" s="3"/>
      <c r="F613" s="4"/>
      <c r="G613" s="3"/>
      <c r="H613" s="3"/>
      <c r="I613" s="4"/>
      <c r="U613" s="4"/>
      <c r="V613" s="4"/>
    </row>
    <row r="614" ht="14.25" customHeight="1">
      <c r="C614" s="2"/>
      <c r="D614" s="3"/>
      <c r="F614" s="4"/>
      <c r="G614" s="3"/>
      <c r="H614" s="3"/>
      <c r="I614" s="4"/>
      <c r="U614" s="4"/>
      <c r="V614" s="4"/>
    </row>
    <row r="615" ht="14.25" customHeight="1">
      <c r="C615" s="2"/>
      <c r="D615" s="3"/>
      <c r="F615" s="4"/>
      <c r="G615" s="3"/>
      <c r="H615" s="3"/>
      <c r="I615" s="4"/>
      <c r="U615" s="4"/>
      <c r="V615" s="4"/>
    </row>
    <row r="616" ht="14.25" customHeight="1">
      <c r="C616" s="2"/>
      <c r="D616" s="3"/>
      <c r="F616" s="4"/>
      <c r="G616" s="3"/>
      <c r="H616" s="3"/>
      <c r="I616" s="4"/>
      <c r="U616" s="4"/>
      <c r="V616" s="4"/>
    </row>
    <row r="617" ht="14.25" customHeight="1">
      <c r="C617" s="2"/>
      <c r="D617" s="3"/>
      <c r="F617" s="4"/>
      <c r="G617" s="3"/>
      <c r="H617" s="3"/>
      <c r="I617" s="4"/>
      <c r="U617" s="4"/>
      <c r="V617" s="4"/>
    </row>
    <row r="618" ht="14.25" customHeight="1">
      <c r="C618" s="2"/>
      <c r="D618" s="3"/>
      <c r="F618" s="4"/>
      <c r="G618" s="3"/>
      <c r="H618" s="3"/>
      <c r="I618" s="4"/>
      <c r="U618" s="4"/>
      <c r="V618" s="4"/>
    </row>
    <row r="619" ht="14.25" customHeight="1">
      <c r="C619" s="2"/>
      <c r="D619" s="3"/>
      <c r="F619" s="4"/>
      <c r="G619" s="3"/>
      <c r="H619" s="3"/>
      <c r="I619" s="4"/>
      <c r="U619" s="4"/>
      <c r="V619" s="4"/>
    </row>
    <row r="620" ht="14.25" customHeight="1">
      <c r="C620" s="2"/>
      <c r="D620" s="3"/>
      <c r="F620" s="4"/>
      <c r="G620" s="3"/>
      <c r="H620" s="3"/>
      <c r="I620" s="4"/>
      <c r="U620" s="4"/>
      <c r="V620" s="4"/>
    </row>
    <row r="621" ht="14.25" customHeight="1">
      <c r="C621" s="2"/>
      <c r="D621" s="3"/>
      <c r="F621" s="4"/>
      <c r="G621" s="3"/>
      <c r="H621" s="3"/>
      <c r="I621" s="4"/>
      <c r="U621" s="4"/>
      <c r="V621" s="4"/>
    </row>
    <row r="622" ht="14.25" customHeight="1">
      <c r="C622" s="2"/>
      <c r="D622" s="3"/>
      <c r="F622" s="4"/>
      <c r="G622" s="3"/>
      <c r="H622" s="3"/>
      <c r="I622" s="4"/>
      <c r="U622" s="4"/>
      <c r="V622" s="4"/>
    </row>
    <row r="623" ht="14.25" customHeight="1">
      <c r="C623" s="2"/>
      <c r="D623" s="3"/>
      <c r="F623" s="4"/>
      <c r="G623" s="3"/>
      <c r="H623" s="3"/>
      <c r="I623" s="4"/>
      <c r="U623" s="4"/>
      <c r="V623" s="4"/>
    </row>
    <row r="624" ht="14.25" customHeight="1">
      <c r="C624" s="2"/>
      <c r="D624" s="3"/>
      <c r="F624" s="4"/>
      <c r="G624" s="3"/>
      <c r="H624" s="3"/>
      <c r="I624" s="4"/>
      <c r="U624" s="4"/>
      <c r="V624" s="4"/>
    </row>
    <row r="625" ht="14.25" customHeight="1">
      <c r="C625" s="2"/>
      <c r="D625" s="3"/>
      <c r="F625" s="4"/>
      <c r="G625" s="3"/>
      <c r="H625" s="3"/>
      <c r="I625" s="4"/>
      <c r="U625" s="4"/>
      <c r="V625" s="4"/>
    </row>
    <row r="626" ht="14.25" customHeight="1">
      <c r="C626" s="2"/>
      <c r="D626" s="3"/>
      <c r="F626" s="4"/>
      <c r="G626" s="3"/>
      <c r="H626" s="3"/>
      <c r="I626" s="4"/>
      <c r="U626" s="4"/>
      <c r="V626" s="4"/>
    </row>
    <row r="627" ht="14.25" customHeight="1">
      <c r="C627" s="2"/>
      <c r="D627" s="3"/>
      <c r="F627" s="4"/>
      <c r="G627" s="3"/>
      <c r="H627" s="3"/>
      <c r="I627" s="4"/>
      <c r="U627" s="4"/>
      <c r="V627" s="4"/>
    </row>
    <row r="628" ht="14.25" customHeight="1">
      <c r="C628" s="2"/>
      <c r="D628" s="3"/>
      <c r="F628" s="4"/>
      <c r="G628" s="3"/>
      <c r="H628" s="3"/>
      <c r="I628" s="4"/>
      <c r="U628" s="4"/>
      <c r="V628" s="4"/>
    </row>
    <row r="629" ht="14.25" customHeight="1">
      <c r="C629" s="2"/>
      <c r="D629" s="3"/>
      <c r="F629" s="4"/>
      <c r="G629" s="3"/>
      <c r="H629" s="3"/>
      <c r="I629" s="4"/>
      <c r="U629" s="4"/>
      <c r="V629" s="4"/>
    </row>
    <row r="630" ht="14.25" customHeight="1">
      <c r="C630" s="2"/>
      <c r="D630" s="3"/>
      <c r="F630" s="4"/>
      <c r="G630" s="3"/>
      <c r="H630" s="3"/>
      <c r="I630" s="4"/>
      <c r="U630" s="4"/>
      <c r="V630" s="4"/>
    </row>
    <row r="631" ht="14.25" customHeight="1">
      <c r="C631" s="2"/>
      <c r="D631" s="3"/>
      <c r="F631" s="4"/>
      <c r="G631" s="3"/>
      <c r="H631" s="3"/>
      <c r="I631" s="4"/>
      <c r="U631" s="4"/>
      <c r="V631" s="4"/>
    </row>
    <row r="632" ht="14.25" customHeight="1">
      <c r="C632" s="2"/>
      <c r="D632" s="3"/>
      <c r="F632" s="4"/>
      <c r="G632" s="3"/>
      <c r="H632" s="3"/>
      <c r="I632" s="4"/>
      <c r="U632" s="4"/>
      <c r="V632" s="4"/>
    </row>
    <row r="633" ht="14.25" customHeight="1">
      <c r="C633" s="2"/>
      <c r="D633" s="3"/>
      <c r="F633" s="4"/>
      <c r="G633" s="3"/>
      <c r="H633" s="3"/>
      <c r="I633" s="4"/>
      <c r="U633" s="4"/>
      <c r="V633" s="4"/>
    </row>
    <row r="634" ht="14.25" customHeight="1">
      <c r="C634" s="2"/>
      <c r="D634" s="3"/>
      <c r="F634" s="4"/>
      <c r="G634" s="3"/>
      <c r="H634" s="3"/>
      <c r="I634" s="4"/>
      <c r="U634" s="4"/>
      <c r="V634" s="4"/>
    </row>
    <row r="635" ht="14.25" customHeight="1">
      <c r="C635" s="2"/>
      <c r="D635" s="3"/>
      <c r="F635" s="4"/>
      <c r="G635" s="3"/>
      <c r="H635" s="3"/>
      <c r="I635" s="4"/>
      <c r="U635" s="4"/>
      <c r="V635" s="4"/>
    </row>
    <row r="636" ht="14.25" customHeight="1">
      <c r="C636" s="2"/>
      <c r="D636" s="3"/>
      <c r="F636" s="4"/>
      <c r="G636" s="3"/>
      <c r="H636" s="3"/>
      <c r="I636" s="4"/>
      <c r="U636" s="4"/>
      <c r="V636" s="4"/>
    </row>
    <row r="637" ht="14.25" customHeight="1">
      <c r="C637" s="2"/>
      <c r="D637" s="3"/>
      <c r="F637" s="4"/>
      <c r="G637" s="3"/>
      <c r="H637" s="3"/>
      <c r="I637" s="4"/>
      <c r="U637" s="4"/>
      <c r="V637" s="4"/>
    </row>
    <row r="638" ht="14.25" customHeight="1">
      <c r="C638" s="2"/>
      <c r="D638" s="3"/>
      <c r="F638" s="4"/>
      <c r="G638" s="3"/>
      <c r="H638" s="3"/>
      <c r="I638" s="4"/>
      <c r="U638" s="4"/>
      <c r="V638" s="4"/>
    </row>
    <row r="639" ht="14.25" customHeight="1">
      <c r="C639" s="2"/>
      <c r="D639" s="3"/>
      <c r="F639" s="4"/>
      <c r="G639" s="3"/>
      <c r="H639" s="3"/>
      <c r="I639" s="4"/>
      <c r="U639" s="4"/>
      <c r="V639" s="4"/>
    </row>
    <row r="640" ht="14.25" customHeight="1">
      <c r="C640" s="2"/>
      <c r="D640" s="3"/>
      <c r="F640" s="4"/>
      <c r="G640" s="3"/>
      <c r="H640" s="3"/>
      <c r="I640" s="4"/>
      <c r="U640" s="4"/>
      <c r="V640" s="4"/>
    </row>
    <row r="641" ht="14.25" customHeight="1">
      <c r="C641" s="2"/>
      <c r="D641" s="3"/>
      <c r="F641" s="4"/>
      <c r="G641" s="3"/>
      <c r="H641" s="3"/>
      <c r="I641" s="4"/>
      <c r="U641" s="4"/>
      <c r="V641" s="4"/>
    </row>
    <row r="642" ht="14.25" customHeight="1">
      <c r="C642" s="2"/>
      <c r="D642" s="3"/>
      <c r="F642" s="4"/>
      <c r="G642" s="3"/>
      <c r="H642" s="3"/>
      <c r="I642" s="4"/>
      <c r="U642" s="4"/>
      <c r="V642" s="4"/>
    </row>
    <row r="643" ht="14.25" customHeight="1">
      <c r="C643" s="2"/>
      <c r="D643" s="3"/>
      <c r="F643" s="4"/>
      <c r="G643" s="3"/>
      <c r="H643" s="3"/>
      <c r="I643" s="4"/>
      <c r="U643" s="4"/>
      <c r="V643" s="4"/>
    </row>
    <row r="644" ht="14.25" customHeight="1">
      <c r="C644" s="2"/>
      <c r="D644" s="3"/>
      <c r="F644" s="4"/>
      <c r="G644" s="3"/>
      <c r="H644" s="3"/>
      <c r="I644" s="4"/>
      <c r="U644" s="4"/>
      <c r="V644" s="4"/>
    </row>
    <row r="645" ht="14.25" customHeight="1">
      <c r="C645" s="2"/>
      <c r="D645" s="3"/>
      <c r="F645" s="4"/>
      <c r="G645" s="3"/>
      <c r="H645" s="3"/>
      <c r="I645" s="4"/>
      <c r="U645" s="4"/>
      <c r="V645" s="4"/>
    </row>
    <row r="646" ht="14.25" customHeight="1">
      <c r="C646" s="2"/>
      <c r="D646" s="3"/>
      <c r="F646" s="4"/>
      <c r="G646" s="3"/>
      <c r="H646" s="3"/>
      <c r="I646" s="4"/>
      <c r="U646" s="4"/>
      <c r="V646" s="4"/>
    </row>
    <row r="647" ht="14.25" customHeight="1">
      <c r="C647" s="2"/>
      <c r="D647" s="3"/>
      <c r="F647" s="4"/>
      <c r="G647" s="3"/>
      <c r="H647" s="3"/>
      <c r="I647" s="4"/>
      <c r="U647" s="4"/>
      <c r="V647" s="4"/>
    </row>
    <row r="648" ht="14.25" customHeight="1">
      <c r="C648" s="2"/>
      <c r="D648" s="3"/>
      <c r="F648" s="4"/>
      <c r="G648" s="3"/>
      <c r="H648" s="3"/>
      <c r="I648" s="4"/>
      <c r="U648" s="4"/>
      <c r="V648" s="4"/>
    </row>
    <row r="649" ht="14.25" customHeight="1">
      <c r="C649" s="2"/>
      <c r="D649" s="3"/>
      <c r="F649" s="4"/>
      <c r="G649" s="3"/>
      <c r="H649" s="3"/>
      <c r="I649" s="4"/>
      <c r="U649" s="4"/>
      <c r="V649" s="4"/>
    </row>
    <row r="650" ht="14.25" customHeight="1">
      <c r="C650" s="2"/>
      <c r="D650" s="3"/>
      <c r="F650" s="4"/>
      <c r="G650" s="3"/>
      <c r="H650" s="3"/>
      <c r="I650" s="4"/>
      <c r="U650" s="4"/>
      <c r="V650" s="4"/>
    </row>
    <row r="651" ht="14.25" customHeight="1">
      <c r="C651" s="2"/>
      <c r="D651" s="3"/>
      <c r="F651" s="4"/>
      <c r="G651" s="3"/>
      <c r="H651" s="3"/>
      <c r="I651" s="4"/>
      <c r="U651" s="4"/>
      <c r="V651" s="4"/>
    </row>
    <row r="652" ht="14.25" customHeight="1">
      <c r="C652" s="2"/>
      <c r="D652" s="3"/>
      <c r="F652" s="4"/>
      <c r="G652" s="3"/>
      <c r="H652" s="3"/>
      <c r="I652" s="4"/>
      <c r="U652" s="4"/>
      <c r="V652" s="4"/>
    </row>
    <row r="653" ht="14.25" customHeight="1">
      <c r="C653" s="2"/>
      <c r="D653" s="3"/>
      <c r="F653" s="4"/>
      <c r="G653" s="3"/>
      <c r="H653" s="3"/>
      <c r="I653" s="4"/>
      <c r="U653" s="4"/>
      <c r="V653" s="4"/>
    </row>
    <row r="654" ht="14.25" customHeight="1">
      <c r="C654" s="2"/>
      <c r="D654" s="3"/>
      <c r="F654" s="4"/>
      <c r="G654" s="3"/>
      <c r="H654" s="3"/>
      <c r="I654" s="4"/>
      <c r="U654" s="4"/>
      <c r="V654" s="4"/>
    </row>
    <row r="655" ht="14.25" customHeight="1">
      <c r="C655" s="2"/>
      <c r="D655" s="3"/>
      <c r="F655" s="4"/>
      <c r="G655" s="3"/>
      <c r="H655" s="3"/>
      <c r="I655" s="4"/>
      <c r="U655" s="4"/>
      <c r="V655" s="4"/>
    </row>
    <row r="656" ht="14.25" customHeight="1">
      <c r="C656" s="2"/>
      <c r="D656" s="3"/>
      <c r="F656" s="4"/>
      <c r="G656" s="3"/>
      <c r="H656" s="3"/>
      <c r="I656" s="4"/>
      <c r="U656" s="4"/>
      <c r="V656" s="4"/>
    </row>
    <row r="657" ht="14.25" customHeight="1">
      <c r="C657" s="2"/>
      <c r="D657" s="3"/>
      <c r="F657" s="4"/>
      <c r="G657" s="3"/>
      <c r="H657" s="3"/>
      <c r="I657" s="4"/>
      <c r="U657" s="4"/>
      <c r="V657" s="4"/>
    </row>
    <row r="658" ht="14.25" customHeight="1">
      <c r="C658" s="2"/>
      <c r="D658" s="3"/>
      <c r="F658" s="4"/>
      <c r="G658" s="3"/>
      <c r="H658" s="3"/>
      <c r="I658" s="4"/>
      <c r="U658" s="4"/>
      <c r="V658" s="4"/>
    </row>
    <row r="659" ht="14.25" customHeight="1">
      <c r="C659" s="2"/>
      <c r="D659" s="3"/>
      <c r="F659" s="4"/>
      <c r="G659" s="3"/>
      <c r="H659" s="3"/>
      <c r="I659" s="4"/>
      <c r="U659" s="4"/>
      <c r="V659" s="4"/>
    </row>
    <row r="660" ht="14.25" customHeight="1">
      <c r="C660" s="2"/>
      <c r="D660" s="3"/>
      <c r="F660" s="4"/>
      <c r="G660" s="3"/>
      <c r="H660" s="3"/>
      <c r="I660" s="4"/>
      <c r="U660" s="4"/>
      <c r="V660" s="4"/>
    </row>
    <row r="661" ht="14.25" customHeight="1">
      <c r="C661" s="2"/>
      <c r="D661" s="3"/>
      <c r="F661" s="4"/>
      <c r="G661" s="3"/>
      <c r="H661" s="3"/>
      <c r="I661" s="4"/>
      <c r="U661" s="4"/>
      <c r="V661" s="4"/>
    </row>
    <row r="662" ht="14.25" customHeight="1">
      <c r="C662" s="2"/>
      <c r="D662" s="3"/>
      <c r="F662" s="4"/>
      <c r="G662" s="3"/>
      <c r="H662" s="3"/>
      <c r="I662" s="4"/>
      <c r="U662" s="4"/>
      <c r="V662" s="4"/>
    </row>
    <row r="663" ht="14.25" customHeight="1">
      <c r="C663" s="2"/>
      <c r="D663" s="3"/>
      <c r="F663" s="4"/>
      <c r="G663" s="3"/>
      <c r="H663" s="3"/>
      <c r="I663" s="4"/>
      <c r="U663" s="4"/>
      <c r="V663" s="4"/>
    </row>
    <row r="664" ht="14.25" customHeight="1">
      <c r="C664" s="2"/>
      <c r="D664" s="3"/>
      <c r="F664" s="4"/>
      <c r="G664" s="3"/>
      <c r="H664" s="3"/>
      <c r="I664" s="4"/>
      <c r="U664" s="4"/>
      <c r="V664" s="4"/>
    </row>
    <row r="665" ht="14.25" customHeight="1">
      <c r="C665" s="2"/>
      <c r="D665" s="3"/>
      <c r="F665" s="4"/>
      <c r="G665" s="3"/>
      <c r="H665" s="3"/>
      <c r="I665" s="4"/>
      <c r="U665" s="4"/>
      <c r="V665" s="4"/>
    </row>
    <row r="666" ht="14.25" customHeight="1">
      <c r="C666" s="2"/>
      <c r="D666" s="3"/>
      <c r="F666" s="4"/>
      <c r="G666" s="3"/>
      <c r="H666" s="3"/>
      <c r="I666" s="4"/>
      <c r="U666" s="4"/>
      <c r="V666" s="4"/>
    </row>
    <row r="667" ht="14.25" customHeight="1">
      <c r="C667" s="2"/>
      <c r="D667" s="3"/>
      <c r="F667" s="4"/>
      <c r="G667" s="3"/>
      <c r="H667" s="3"/>
      <c r="I667" s="4"/>
      <c r="U667" s="4"/>
      <c r="V667" s="4"/>
    </row>
    <row r="668" ht="14.25" customHeight="1">
      <c r="C668" s="2"/>
      <c r="D668" s="3"/>
      <c r="F668" s="4"/>
      <c r="G668" s="3"/>
      <c r="H668" s="3"/>
      <c r="I668" s="4"/>
      <c r="U668" s="4"/>
      <c r="V668" s="4"/>
    </row>
    <row r="669" ht="14.25" customHeight="1">
      <c r="C669" s="2"/>
      <c r="D669" s="3"/>
      <c r="F669" s="4"/>
      <c r="G669" s="3"/>
      <c r="H669" s="3"/>
      <c r="I669" s="4"/>
      <c r="U669" s="4"/>
      <c r="V669" s="4"/>
    </row>
    <row r="670" ht="14.25" customHeight="1">
      <c r="C670" s="2"/>
      <c r="D670" s="3"/>
      <c r="F670" s="4"/>
      <c r="G670" s="3"/>
      <c r="H670" s="3"/>
      <c r="I670" s="4"/>
      <c r="U670" s="4"/>
      <c r="V670" s="4"/>
    </row>
    <row r="671" ht="14.25" customHeight="1">
      <c r="C671" s="2"/>
      <c r="D671" s="3"/>
      <c r="F671" s="4"/>
      <c r="G671" s="3"/>
      <c r="H671" s="3"/>
      <c r="I671" s="4"/>
      <c r="U671" s="4"/>
      <c r="V671" s="4"/>
    </row>
    <row r="672" ht="14.25" customHeight="1">
      <c r="C672" s="2"/>
      <c r="D672" s="3"/>
      <c r="F672" s="4"/>
      <c r="G672" s="3"/>
      <c r="H672" s="3"/>
      <c r="I672" s="4"/>
      <c r="U672" s="4"/>
      <c r="V672" s="4"/>
    </row>
    <row r="673" ht="14.25" customHeight="1">
      <c r="C673" s="2"/>
      <c r="D673" s="3"/>
      <c r="F673" s="4"/>
      <c r="G673" s="3"/>
      <c r="H673" s="3"/>
      <c r="I673" s="4"/>
      <c r="U673" s="4"/>
      <c r="V673" s="4"/>
    </row>
    <row r="674" ht="14.25" customHeight="1">
      <c r="C674" s="2"/>
      <c r="D674" s="3"/>
      <c r="F674" s="4"/>
      <c r="G674" s="3"/>
      <c r="H674" s="3"/>
      <c r="I674" s="4"/>
      <c r="U674" s="4"/>
      <c r="V674" s="4"/>
    </row>
    <row r="675" ht="14.25" customHeight="1">
      <c r="C675" s="2"/>
      <c r="D675" s="3"/>
      <c r="F675" s="4"/>
      <c r="G675" s="3"/>
      <c r="H675" s="3"/>
      <c r="I675" s="4"/>
      <c r="U675" s="4"/>
      <c r="V675" s="4"/>
    </row>
    <row r="676" ht="14.25" customHeight="1">
      <c r="C676" s="2"/>
      <c r="D676" s="3"/>
      <c r="F676" s="4"/>
      <c r="G676" s="3"/>
      <c r="H676" s="3"/>
      <c r="I676" s="4"/>
      <c r="U676" s="4"/>
      <c r="V676" s="4"/>
    </row>
    <row r="677" ht="14.25" customHeight="1">
      <c r="C677" s="2"/>
      <c r="D677" s="3"/>
      <c r="F677" s="4"/>
      <c r="G677" s="3"/>
      <c r="H677" s="3"/>
      <c r="I677" s="4"/>
      <c r="U677" s="4"/>
      <c r="V677" s="4"/>
    </row>
    <row r="678" ht="14.25" customHeight="1">
      <c r="C678" s="2"/>
      <c r="D678" s="3"/>
      <c r="F678" s="4"/>
      <c r="G678" s="3"/>
      <c r="H678" s="3"/>
      <c r="I678" s="4"/>
      <c r="U678" s="4"/>
      <c r="V678" s="4"/>
    </row>
    <row r="679" ht="14.25" customHeight="1">
      <c r="C679" s="2"/>
      <c r="D679" s="3"/>
      <c r="F679" s="4"/>
      <c r="G679" s="3"/>
      <c r="H679" s="3"/>
      <c r="I679" s="4"/>
      <c r="U679" s="4"/>
      <c r="V679" s="4"/>
    </row>
    <row r="680" ht="14.25" customHeight="1">
      <c r="C680" s="2"/>
      <c r="D680" s="3"/>
      <c r="F680" s="4"/>
      <c r="G680" s="3"/>
      <c r="H680" s="3"/>
      <c r="I680" s="4"/>
      <c r="U680" s="4"/>
      <c r="V680" s="4"/>
    </row>
    <row r="681" ht="14.25" customHeight="1">
      <c r="C681" s="2"/>
      <c r="D681" s="3"/>
      <c r="F681" s="4"/>
      <c r="G681" s="3"/>
      <c r="H681" s="3"/>
      <c r="I681" s="4"/>
      <c r="U681" s="4"/>
      <c r="V681" s="4"/>
    </row>
    <row r="682" ht="14.25" customHeight="1">
      <c r="C682" s="2"/>
      <c r="D682" s="3"/>
      <c r="F682" s="4"/>
      <c r="G682" s="3"/>
      <c r="H682" s="3"/>
      <c r="I682" s="4"/>
      <c r="U682" s="4"/>
      <c r="V682" s="4"/>
    </row>
    <row r="683" ht="14.25" customHeight="1">
      <c r="C683" s="2"/>
      <c r="D683" s="3"/>
      <c r="F683" s="4"/>
      <c r="G683" s="3"/>
      <c r="H683" s="3"/>
      <c r="I683" s="4"/>
      <c r="U683" s="4"/>
      <c r="V683" s="4"/>
    </row>
    <row r="684" ht="14.25" customHeight="1">
      <c r="C684" s="2"/>
      <c r="D684" s="3"/>
      <c r="F684" s="4"/>
      <c r="G684" s="3"/>
      <c r="H684" s="3"/>
      <c r="I684" s="4"/>
      <c r="U684" s="4"/>
      <c r="V684" s="4"/>
    </row>
    <row r="685" ht="14.25" customHeight="1">
      <c r="C685" s="2"/>
      <c r="D685" s="3"/>
      <c r="F685" s="4"/>
      <c r="G685" s="3"/>
      <c r="H685" s="3"/>
      <c r="I685" s="4"/>
      <c r="U685" s="4"/>
      <c r="V685" s="4"/>
    </row>
    <row r="686" ht="14.25" customHeight="1">
      <c r="C686" s="2"/>
      <c r="D686" s="3"/>
      <c r="F686" s="4"/>
      <c r="G686" s="3"/>
      <c r="H686" s="3"/>
      <c r="I686" s="4"/>
      <c r="U686" s="4"/>
      <c r="V686" s="4"/>
    </row>
    <row r="687" ht="14.25" customHeight="1">
      <c r="C687" s="2"/>
      <c r="D687" s="3"/>
      <c r="F687" s="4"/>
      <c r="G687" s="3"/>
      <c r="H687" s="3"/>
      <c r="I687" s="4"/>
      <c r="U687" s="4"/>
      <c r="V687" s="4"/>
    </row>
    <row r="688" ht="14.25" customHeight="1">
      <c r="C688" s="2"/>
      <c r="D688" s="3"/>
      <c r="F688" s="4"/>
      <c r="G688" s="3"/>
      <c r="H688" s="3"/>
      <c r="I688" s="4"/>
      <c r="U688" s="4"/>
      <c r="V688" s="4"/>
    </row>
    <row r="689" ht="14.25" customHeight="1">
      <c r="C689" s="2"/>
      <c r="D689" s="3"/>
      <c r="F689" s="4"/>
      <c r="G689" s="3"/>
      <c r="H689" s="3"/>
      <c r="I689" s="4"/>
      <c r="U689" s="4"/>
      <c r="V689" s="4"/>
    </row>
    <row r="690" ht="14.25" customHeight="1">
      <c r="C690" s="2"/>
      <c r="D690" s="3"/>
      <c r="F690" s="4"/>
      <c r="G690" s="3"/>
      <c r="H690" s="3"/>
      <c r="I690" s="4"/>
      <c r="U690" s="4"/>
      <c r="V690" s="4"/>
    </row>
    <row r="691" ht="14.25" customHeight="1">
      <c r="C691" s="2"/>
      <c r="D691" s="3"/>
      <c r="F691" s="4"/>
      <c r="G691" s="3"/>
      <c r="H691" s="3"/>
      <c r="I691" s="4"/>
      <c r="U691" s="4"/>
      <c r="V691" s="4"/>
    </row>
    <row r="692" ht="14.25" customHeight="1">
      <c r="C692" s="2"/>
      <c r="D692" s="3"/>
      <c r="F692" s="4"/>
      <c r="G692" s="3"/>
      <c r="H692" s="3"/>
      <c r="I692" s="4"/>
      <c r="U692" s="4"/>
      <c r="V692" s="4"/>
    </row>
    <row r="693" ht="14.25" customHeight="1">
      <c r="C693" s="2"/>
      <c r="D693" s="3"/>
      <c r="F693" s="4"/>
      <c r="G693" s="3"/>
      <c r="H693" s="3"/>
      <c r="I693" s="4"/>
      <c r="U693" s="4"/>
      <c r="V693" s="4"/>
    </row>
    <row r="694" ht="14.25" customHeight="1">
      <c r="C694" s="2"/>
      <c r="D694" s="3"/>
      <c r="F694" s="4"/>
      <c r="G694" s="3"/>
      <c r="H694" s="3"/>
      <c r="I694" s="4"/>
      <c r="U694" s="4"/>
      <c r="V694" s="4"/>
    </row>
    <row r="695" ht="14.25" customHeight="1">
      <c r="C695" s="2"/>
      <c r="D695" s="3"/>
      <c r="F695" s="4"/>
      <c r="G695" s="3"/>
      <c r="H695" s="3"/>
      <c r="I695" s="4"/>
      <c r="U695" s="4"/>
      <c r="V695" s="4"/>
    </row>
    <row r="696" ht="14.25" customHeight="1">
      <c r="C696" s="2"/>
      <c r="D696" s="3"/>
      <c r="F696" s="4"/>
      <c r="G696" s="3"/>
      <c r="H696" s="3"/>
      <c r="I696" s="4"/>
      <c r="U696" s="4"/>
      <c r="V696" s="4"/>
    </row>
    <row r="697" ht="14.25" customHeight="1">
      <c r="C697" s="2"/>
      <c r="D697" s="3"/>
      <c r="F697" s="4"/>
      <c r="G697" s="3"/>
      <c r="H697" s="3"/>
      <c r="I697" s="4"/>
      <c r="U697" s="4"/>
      <c r="V697" s="4"/>
    </row>
    <row r="698" ht="14.25" customHeight="1">
      <c r="C698" s="2"/>
      <c r="D698" s="3"/>
      <c r="F698" s="4"/>
      <c r="G698" s="3"/>
      <c r="H698" s="3"/>
      <c r="I698" s="4"/>
      <c r="U698" s="4"/>
      <c r="V698" s="4"/>
    </row>
    <row r="699" ht="14.25" customHeight="1">
      <c r="C699" s="2"/>
      <c r="D699" s="3"/>
      <c r="F699" s="4"/>
      <c r="G699" s="3"/>
      <c r="H699" s="3"/>
      <c r="I699" s="4"/>
      <c r="U699" s="4"/>
      <c r="V699" s="4"/>
    </row>
    <row r="700" ht="14.25" customHeight="1">
      <c r="C700" s="2"/>
      <c r="D700" s="3"/>
      <c r="F700" s="4"/>
      <c r="G700" s="3"/>
      <c r="H700" s="3"/>
      <c r="I700" s="4"/>
      <c r="U700" s="4"/>
      <c r="V700" s="4"/>
    </row>
    <row r="701" ht="14.25" customHeight="1">
      <c r="C701" s="2"/>
      <c r="D701" s="3"/>
      <c r="F701" s="4"/>
      <c r="G701" s="3"/>
      <c r="H701" s="3"/>
      <c r="I701" s="4"/>
      <c r="U701" s="4"/>
      <c r="V701" s="4"/>
    </row>
    <row r="702" ht="14.25" customHeight="1">
      <c r="C702" s="2"/>
      <c r="D702" s="3"/>
      <c r="F702" s="4"/>
      <c r="G702" s="3"/>
      <c r="H702" s="3"/>
      <c r="I702" s="4"/>
      <c r="U702" s="4"/>
      <c r="V702" s="4"/>
    </row>
    <row r="703" ht="14.25" customHeight="1">
      <c r="C703" s="2"/>
      <c r="D703" s="3"/>
      <c r="F703" s="4"/>
      <c r="G703" s="3"/>
      <c r="H703" s="3"/>
      <c r="I703" s="4"/>
      <c r="U703" s="4"/>
      <c r="V703" s="4"/>
    </row>
    <row r="704" ht="14.25" customHeight="1">
      <c r="C704" s="2"/>
      <c r="D704" s="3"/>
      <c r="F704" s="4"/>
      <c r="G704" s="3"/>
      <c r="H704" s="3"/>
      <c r="I704" s="4"/>
      <c r="U704" s="4"/>
      <c r="V704" s="4"/>
    </row>
    <row r="705" ht="14.25" customHeight="1">
      <c r="C705" s="2"/>
      <c r="D705" s="3"/>
      <c r="F705" s="4"/>
      <c r="G705" s="3"/>
      <c r="H705" s="3"/>
      <c r="I705" s="4"/>
      <c r="U705" s="4"/>
      <c r="V705" s="4"/>
    </row>
    <row r="706" ht="14.25" customHeight="1">
      <c r="C706" s="2"/>
      <c r="D706" s="3"/>
      <c r="F706" s="4"/>
      <c r="G706" s="3"/>
      <c r="H706" s="3"/>
      <c r="I706" s="4"/>
      <c r="U706" s="4"/>
      <c r="V706" s="4"/>
    </row>
    <row r="707" ht="14.25" customHeight="1">
      <c r="C707" s="2"/>
      <c r="D707" s="3"/>
      <c r="F707" s="4"/>
      <c r="G707" s="3"/>
      <c r="H707" s="3"/>
      <c r="I707" s="4"/>
      <c r="U707" s="4"/>
      <c r="V707" s="4"/>
    </row>
    <row r="708" ht="14.25" customHeight="1">
      <c r="C708" s="2"/>
      <c r="D708" s="3"/>
      <c r="F708" s="4"/>
      <c r="G708" s="3"/>
      <c r="H708" s="3"/>
      <c r="I708" s="4"/>
      <c r="U708" s="4"/>
      <c r="V708" s="4"/>
    </row>
    <row r="709" ht="14.25" customHeight="1">
      <c r="C709" s="2"/>
      <c r="D709" s="3"/>
      <c r="F709" s="4"/>
      <c r="G709" s="3"/>
      <c r="H709" s="3"/>
      <c r="I709" s="4"/>
      <c r="U709" s="4"/>
      <c r="V709" s="4"/>
    </row>
    <row r="710" ht="14.25" customHeight="1">
      <c r="C710" s="2"/>
      <c r="D710" s="3"/>
      <c r="F710" s="4"/>
      <c r="G710" s="3"/>
      <c r="H710" s="3"/>
      <c r="I710" s="4"/>
      <c r="U710" s="4"/>
      <c r="V710" s="4"/>
    </row>
    <row r="711" ht="14.25" customHeight="1">
      <c r="C711" s="2"/>
      <c r="D711" s="3"/>
      <c r="F711" s="4"/>
      <c r="G711" s="3"/>
      <c r="H711" s="3"/>
      <c r="I711" s="4"/>
      <c r="U711" s="4"/>
      <c r="V711" s="4"/>
    </row>
    <row r="712" ht="14.25" customHeight="1">
      <c r="C712" s="2"/>
      <c r="D712" s="3"/>
      <c r="F712" s="4"/>
      <c r="G712" s="3"/>
      <c r="H712" s="3"/>
      <c r="I712" s="4"/>
      <c r="U712" s="4"/>
      <c r="V712" s="4"/>
    </row>
    <row r="713" ht="14.25" customHeight="1">
      <c r="C713" s="2"/>
      <c r="D713" s="3"/>
      <c r="F713" s="4"/>
      <c r="G713" s="3"/>
      <c r="H713" s="3"/>
      <c r="I713" s="4"/>
      <c r="U713" s="4"/>
      <c r="V713" s="4"/>
    </row>
    <row r="714" ht="14.25" customHeight="1">
      <c r="C714" s="2"/>
      <c r="D714" s="3"/>
      <c r="F714" s="4"/>
      <c r="G714" s="3"/>
      <c r="H714" s="3"/>
      <c r="I714" s="4"/>
      <c r="U714" s="4"/>
      <c r="V714" s="4"/>
    </row>
    <row r="715" ht="14.25" customHeight="1">
      <c r="C715" s="2"/>
      <c r="D715" s="3"/>
      <c r="F715" s="4"/>
      <c r="G715" s="3"/>
      <c r="H715" s="3"/>
      <c r="I715" s="4"/>
      <c r="U715" s="4"/>
      <c r="V715" s="4"/>
    </row>
    <row r="716" ht="14.25" customHeight="1">
      <c r="C716" s="2"/>
      <c r="D716" s="3"/>
      <c r="F716" s="4"/>
      <c r="G716" s="3"/>
      <c r="H716" s="3"/>
      <c r="I716" s="4"/>
      <c r="U716" s="4"/>
      <c r="V716" s="4"/>
    </row>
    <row r="717" ht="14.25" customHeight="1">
      <c r="C717" s="2"/>
      <c r="D717" s="3"/>
      <c r="F717" s="4"/>
      <c r="G717" s="3"/>
      <c r="H717" s="3"/>
      <c r="I717" s="4"/>
      <c r="U717" s="4"/>
      <c r="V717" s="4"/>
    </row>
    <row r="718" ht="14.25" customHeight="1">
      <c r="C718" s="2"/>
      <c r="D718" s="3"/>
      <c r="F718" s="4"/>
      <c r="G718" s="3"/>
      <c r="H718" s="3"/>
      <c r="I718" s="4"/>
      <c r="U718" s="4"/>
      <c r="V718" s="4"/>
    </row>
    <row r="719" ht="14.25" customHeight="1">
      <c r="C719" s="2"/>
      <c r="D719" s="3"/>
      <c r="F719" s="4"/>
      <c r="G719" s="3"/>
      <c r="H719" s="3"/>
      <c r="I719" s="4"/>
      <c r="U719" s="4"/>
      <c r="V719" s="4"/>
    </row>
    <row r="720" ht="14.25" customHeight="1">
      <c r="C720" s="2"/>
      <c r="D720" s="3"/>
      <c r="F720" s="4"/>
      <c r="G720" s="3"/>
      <c r="H720" s="3"/>
      <c r="I720" s="4"/>
      <c r="U720" s="4"/>
      <c r="V720" s="4"/>
    </row>
    <row r="721" ht="14.25" customHeight="1">
      <c r="C721" s="2"/>
      <c r="D721" s="3"/>
      <c r="F721" s="4"/>
      <c r="G721" s="3"/>
      <c r="H721" s="3"/>
      <c r="I721" s="4"/>
      <c r="U721" s="4"/>
      <c r="V721" s="4"/>
    </row>
    <row r="722" ht="14.25" customHeight="1">
      <c r="C722" s="2"/>
      <c r="D722" s="3"/>
      <c r="F722" s="4"/>
      <c r="G722" s="3"/>
      <c r="H722" s="3"/>
      <c r="I722" s="4"/>
      <c r="U722" s="4"/>
      <c r="V722" s="4"/>
    </row>
    <row r="723" ht="14.25" customHeight="1">
      <c r="C723" s="2"/>
      <c r="D723" s="3"/>
      <c r="F723" s="4"/>
      <c r="G723" s="3"/>
      <c r="H723" s="3"/>
      <c r="I723" s="4"/>
      <c r="U723" s="4"/>
      <c r="V723" s="4"/>
    </row>
    <row r="724" ht="14.25" customHeight="1">
      <c r="C724" s="2"/>
      <c r="D724" s="3"/>
      <c r="F724" s="4"/>
      <c r="G724" s="3"/>
      <c r="H724" s="3"/>
      <c r="I724" s="4"/>
      <c r="U724" s="4"/>
      <c r="V724" s="4"/>
    </row>
    <row r="725" ht="14.25" customHeight="1">
      <c r="C725" s="2"/>
      <c r="D725" s="3"/>
      <c r="F725" s="4"/>
      <c r="G725" s="3"/>
      <c r="H725" s="3"/>
      <c r="I725" s="4"/>
      <c r="U725" s="4"/>
      <c r="V725" s="4"/>
    </row>
    <row r="726" ht="14.25" customHeight="1">
      <c r="C726" s="2"/>
      <c r="D726" s="3"/>
      <c r="F726" s="4"/>
      <c r="G726" s="3"/>
      <c r="H726" s="3"/>
      <c r="I726" s="4"/>
      <c r="U726" s="4"/>
      <c r="V726" s="4"/>
    </row>
    <row r="727" ht="14.25" customHeight="1">
      <c r="C727" s="2"/>
      <c r="D727" s="3"/>
      <c r="F727" s="4"/>
      <c r="G727" s="3"/>
      <c r="H727" s="3"/>
      <c r="I727" s="4"/>
      <c r="U727" s="4"/>
      <c r="V727" s="4"/>
    </row>
    <row r="728" ht="14.25" customHeight="1">
      <c r="C728" s="2"/>
      <c r="D728" s="3"/>
      <c r="F728" s="4"/>
      <c r="G728" s="3"/>
      <c r="H728" s="3"/>
      <c r="I728" s="4"/>
      <c r="U728" s="4"/>
      <c r="V728" s="4"/>
    </row>
    <row r="729" ht="14.25" customHeight="1">
      <c r="C729" s="2"/>
      <c r="D729" s="3"/>
      <c r="F729" s="4"/>
      <c r="G729" s="3"/>
      <c r="H729" s="3"/>
      <c r="I729" s="4"/>
      <c r="U729" s="4"/>
      <c r="V729" s="4"/>
    </row>
    <row r="730" ht="14.25" customHeight="1">
      <c r="C730" s="2"/>
      <c r="D730" s="3"/>
      <c r="F730" s="4"/>
      <c r="G730" s="3"/>
      <c r="H730" s="3"/>
      <c r="I730" s="4"/>
      <c r="U730" s="4"/>
      <c r="V730" s="4"/>
    </row>
    <row r="731" ht="14.25" customHeight="1">
      <c r="C731" s="2"/>
      <c r="D731" s="3"/>
      <c r="F731" s="4"/>
      <c r="G731" s="3"/>
      <c r="H731" s="3"/>
      <c r="I731" s="4"/>
      <c r="U731" s="4"/>
      <c r="V731" s="4"/>
    </row>
    <row r="732" ht="14.25" customHeight="1">
      <c r="C732" s="2"/>
      <c r="D732" s="3"/>
      <c r="F732" s="4"/>
      <c r="G732" s="3"/>
      <c r="H732" s="3"/>
      <c r="I732" s="4"/>
      <c r="U732" s="4"/>
      <c r="V732" s="4"/>
    </row>
    <row r="733" ht="14.25" customHeight="1">
      <c r="C733" s="2"/>
      <c r="D733" s="3"/>
      <c r="F733" s="4"/>
      <c r="G733" s="3"/>
      <c r="H733" s="3"/>
      <c r="I733" s="4"/>
      <c r="U733" s="4"/>
      <c r="V733" s="4"/>
    </row>
    <row r="734" ht="14.25" customHeight="1">
      <c r="C734" s="2"/>
      <c r="D734" s="3"/>
      <c r="F734" s="4"/>
      <c r="G734" s="3"/>
      <c r="H734" s="3"/>
      <c r="I734" s="4"/>
      <c r="U734" s="4"/>
      <c r="V734" s="4"/>
    </row>
    <row r="735" ht="14.25" customHeight="1">
      <c r="C735" s="2"/>
      <c r="D735" s="3"/>
      <c r="F735" s="4"/>
      <c r="G735" s="3"/>
      <c r="H735" s="3"/>
      <c r="I735" s="4"/>
      <c r="U735" s="4"/>
      <c r="V735" s="4"/>
    </row>
    <row r="736" ht="14.25" customHeight="1">
      <c r="C736" s="2"/>
      <c r="D736" s="3"/>
      <c r="F736" s="4"/>
      <c r="G736" s="3"/>
      <c r="H736" s="3"/>
      <c r="I736" s="4"/>
      <c r="U736" s="4"/>
      <c r="V736" s="4"/>
    </row>
    <row r="737" ht="14.25" customHeight="1">
      <c r="C737" s="2"/>
      <c r="D737" s="3"/>
      <c r="F737" s="4"/>
      <c r="G737" s="3"/>
      <c r="H737" s="3"/>
      <c r="I737" s="4"/>
      <c r="U737" s="4"/>
      <c r="V737" s="4"/>
    </row>
    <row r="738" ht="14.25" customHeight="1">
      <c r="C738" s="2"/>
      <c r="D738" s="3"/>
      <c r="F738" s="4"/>
      <c r="G738" s="3"/>
      <c r="H738" s="3"/>
      <c r="I738" s="4"/>
      <c r="U738" s="4"/>
      <c r="V738" s="4"/>
    </row>
    <row r="739" ht="14.25" customHeight="1">
      <c r="C739" s="2"/>
      <c r="D739" s="3"/>
      <c r="F739" s="4"/>
      <c r="G739" s="3"/>
      <c r="H739" s="3"/>
      <c r="I739" s="4"/>
      <c r="U739" s="4"/>
      <c r="V739" s="4"/>
    </row>
    <row r="740" ht="14.25" customHeight="1">
      <c r="C740" s="2"/>
      <c r="D740" s="3"/>
      <c r="F740" s="4"/>
      <c r="G740" s="3"/>
      <c r="H740" s="3"/>
      <c r="I740" s="4"/>
      <c r="U740" s="4"/>
      <c r="V740" s="4"/>
    </row>
    <row r="741" ht="14.25" customHeight="1">
      <c r="C741" s="2"/>
      <c r="D741" s="3"/>
      <c r="F741" s="4"/>
      <c r="G741" s="3"/>
      <c r="H741" s="3"/>
      <c r="I741" s="4"/>
      <c r="U741" s="4"/>
      <c r="V741" s="4"/>
    </row>
    <row r="742" ht="14.25" customHeight="1">
      <c r="C742" s="2"/>
      <c r="D742" s="3"/>
      <c r="F742" s="4"/>
      <c r="G742" s="3"/>
      <c r="H742" s="3"/>
      <c r="I742" s="4"/>
      <c r="U742" s="4"/>
      <c r="V742" s="4"/>
    </row>
    <row r="743" ht="14.25" customHeight="1">
      <c r="C743" s="2"/>
      <c r="D743" s="3"/>
      <c r="F743" s="4"/>
      <c r="G743" s="3"/>
      <c r="H743" s="3"/>
      <c r="I743" s="4"/>
      <c r="U743" s="4"/>
      <c r="V743" s="4"/>
    </row>
    <row r="744" ht="14.25" customHeight="1">
      <c r="C744" s="2"/>
      <c r="D744" s="3"/>
      <c r="F744" s="4"/>
      <c r="G744" s="3"/>
      <c r="H744" s="3"/>
      <c r="I744" s="4"/>
      <c r="U744" s="4"/>
      <c r="V744" s="4"/>
    </row>
    <row r="745" ht="14.25" customHeight="1">
      <c r="C745" s="2"/>
      <c r="D745" s="3"/>
      <c r="F745" s="4"/>
      <c r="G745" s="3"/>
      <c r="H745" s="3"/>
      <c r="I745" s="4"/>
      <c r="U745" s="4"/>
      <c r="V745" s="4"/>
    </row>
    <row r="746" ht="14.25" customHeight="1">
      <c r="C746" s="2"/>
      <c r="D746" s="3"/>
      <c r="F746" s="4"/>
      <c r="G746" s="3"/>
      <c r="H746" s="3"/>
      <c r="I746" s="4"/>
      <c r="U746" s="4"/>
      <c r="V746" s="4"/>
    </row>
    <row r="747" ht="14.25" customHeight="1">
      <c r="C747" s="2"/>
      <c r="D747" s="3"/>
      <c r="F747" s="4"/>
      <c r="G747" s="3"/>
      <c r="H747" s="3"/>
      <c r="I747" s="4"/>
      <c r="U747" s="4"/>
      <c r="V747" s="4"/>
    </row>
    <row r="748" ht="14.25" customHeight="1">
      <c r="C748" s="2"/>
      <c r="D748" s="3"/>
      <c r="F748" s="4"/>
      <c r="G748" s="3"/>
      <c r="H748" s="3"/>
      <c r="I748" s="4"/>
      <c r="U748" s="4"/>
      <c r="V748" s="4"/>
    </row>
    <row r="749" ht="14.25" customHeight="1">
      <c r="C749" s="2"/>
      <c r="D749" s="3"/>
      <c r="F749" s="4"/>
      <c r="G749" s="3"/>
      <c r="H749" s="3"/>
      <c r="I749" s="4"/>
      <c r="U749" s="4"/>
      <c r="V749" s="4"/>
    </row>
    <row r="750" ht="14.25" customHeight="1">
      <c r="C750" s="2"/>
      <c r="D750" s="3"/>
      <c r="F750" s="4"/>
      <c r="G750" s="3"/>
      <c r="H750" s="3"/>
      <c r="I750" s="4"/>
      <c r="U750" s="4"/>
      <c r="V750" s="4"/>
    </row>
    <row r="751" ht="14.25" customHeight="1">
      <c r="C751" s="2"/>
      <c r="D751" s="3"/>
      <c r="F751" s="4"/>
      <c r="G751" s="3"/>
      <c r="H751" s="3"/>
      <c r="I751" s="4"/>
      <c r="U751" s="4"/>
      <c r="V751" s="4"/>
    </row>
    <row r="752" ht="14.25" customHeight="1">
      <c r="C752" s="2"/>
      <c r="D752" s="3"/>
      <c r="F752" s="4"/>
      <c r="G752" s="3"/>
      <c r="H752" s="3"/>
      <c r="I752" s="4"/>
      <c r="U752" s="4"/>
      <c r="V752" s="4"/>
    </row>
    <row r="753" ht="14.25" customHeight="1">
      <c r="C753" s="2"/>
      <c r="D753" s="3"/>
      <c r="F753" s="4"/>
      <c r="G753" s="3"/>
      <c r="H753" s="3"/>
      <c r="I753" s="4"/>
      <c r="U753" s="4"/>
      <c r="V753" s="4"/>
    </row>
    <row r="754" ht="14.25" customHeight="1">
      <c r="C754" s="2"/>
      <c r="D754" s="3"/>
      <c r="F754" s="4"/>
      <c r="G754" s="3"/>
      <c r="H754" s="3"/>
      <c r="I754" s="4"/>
      <c r="U754" s="4"/>
      <c r="V754" s="4"/>
    </row>
    <row r="755" ht="14.25" customHeight="1">
      <c r="C755" s="2"/>
      <c r="D755" s="3"/>
      <c r="F755" s="4"/>
      <c r="G755" s="3"/>
      <c r="H755" s="3"/>
      <c r="I755" s="4"/>
      <c r="U755" s="4"/>
      <c r="V755" s="4"/>
    </row>
    <row r="756" ht="14.25" customHeight="1">
      <c r="C756" s="2"/>
      <c r="D756" s="3"/>
      <c r="F756" s="4"/>
      <c r="G756" s="3"/>
      <c r="H756" s="3"/>
      <c r="I756" s="4"/>
      <c r="U756" s="4"/>
      <c r="V756" s="4"/>
    </row>
    <row r="757" ht="14.25" customHeight="1">
      <c r="C757" s="2"/>
      <c r="D757" s="3"/>
      <c r="F757" s="4"/>
      <c r="G757" s="3"/>
      <c r="H757" s="3"/>
      <c r="I757" s="4"/>
      <c r="U757" s="4"/>
      <c r="V757" s="4"/>
    </row>
    <row r="758" ht="14.25" customHeight="1">
      <c r="C758" s="2"/>
      <c r="D758" s="3"/>
      <c r="F758" s="4"/>
      <c r="G758" s="3"/>
      <c r="H758" s="3"/>
      <c r="I758" s="4"/>
      <c r="U758" s="4"/>
      <c r="V758" s="4"/>
    </row>
    <row r="759" ht="14.25" customHeight="1">
      <c r="C759" s="2"/>
      <c r="D759" s="3"/>
      <c r="F759" s="4"/>
      <c r="G759" s="3"/>
      <c r="H759" s="3"/>
      <c r="I759" s="4"/>
      <c r="U759" s="4"/>
      <c r="V759" s="4"/>
    </row>
    <row r="760" ht="14.25" customHeight="1">
      <c r="C760" s="2"/>
      <c r="D760" s="3"/>
      <c r="F760" s="4"/>
      <c r="G760" s="3"/>
      <c r="H760" s="3"/>
      <c r="I760" s="4"/>
      <c r="U760" s="4"/>
      <c r="V760" s="4"/>
    </row>
    <row r="761" ht="14.25" customHeight="1">
      <c r="C761" s="2"/>
      <c r="D761" s="3"/>
      <c r="F761" s="4"/>
      <c r="G761" s="3"/>
      <c r="H761" s="3"/>
      <c r="I761" s="4"/>
      <c r="U761" s="4"/>
      <c r="V761" s="4"/>
    </row>
    <row r="762" ht="14.25" customHeight="1">
      <c r="C762" s="2"/>
      <c r="D762" s="3"/>
      <c r="F762" s="4"/>
      <c r="G762" s="3"/>
      <c r="H762" s="3"/>
      <c r="I762" s="4"/>
      <c r="U762" s="4"/>
      <c r="V762" s="4"/>
    </row>
    <row r="763" ht="14.25" customHeight="1">
      <c r="C763" s="2"/>
      <c r="D763" s="3"/>
      <c r="F763" s="4"/>
      <c r="G763" s="3"/>
      <c r="H763" s="3"/>
      <c r="I763" s="4"/>
      <c r="U763" s="4"/>
      <c r="V763" s="4"/>
    </row>
    <row r="764" ht="14.25" customHeight="1">
      <c r="C764" s="2"/>
      <c r="D764" s="3"/>
      <c r="F764" s="4"/>
      <c r="G764" s="3"/>
      <c r="H764" s="3"/>
      <c r="I764" s="4"/>
      <c r="U764" s="4"/>
      <c r="V764" s="4"/>
    </row>
    <row r="765" ht="14.25" customHeight="1">
      <c r="C765" s="2"/>
      <c r="D765" s="3"/>
      <c r="F765" s="4"/>
      <c r="G765" s="3"/>
      <c r="H765" s="3"/>
      <c r="I765" s="4"/>
      <c r="U765" s="4"/>
      <c r="V765" s="4"/>
    </row>
    <row r="766" ht="14.25" customHeight="1">
      <c r="C766" s="2"/>
      <c r="D766" s="3"/>
      <c r="F766" s="4"/>
      <c r="G766" s="3"/>
      <c r="H766" s="3"/>
      <c r="I766" s="4"/>
      <c r="U766" s="4"/>
      <c r="V766" s="4"/>
    </row>
    <row r="767" ht="14.25" customHeight="1">
      <c r="C767" s="2"/>
      <c r="D767" s="3"/>
      <c r="F767" s="4"/>
      <c r="G767" s="3"/>
      <c r="H767" s="3"/>
      <c r="I767" s="4"/>
      <c r="U767" s="4"/>
      <c r="V767" s="4"/>
    </row>
    <row r="768" ht="14.25" customHeight="1">
      <c r="C768" s="2"/>
      <c r="D768" s="3"/>
      <c r="F768" s="4"/>
      <c r="G768" s="3"/>
      <c r="H768" s="3"/>
      <c r="I768" s="4"/>
      <c r="U768" s="4"/>
      <c r="V768" s="4"/>
    </row>
    <row r="769" ht="14.25" customHeight="1">
      <c r="C769" s="2"/>
      <c r="D769" s="3"/>
      <c r="F769" s="4"/>
      <c r="G769" s="3"/>
      <c r="H769" s="3"/>
      <c r="I769" s="4"/>
      <c r="U769" s="4"/>
      <c r="V769" s="4"/>
    </row>
    <row r="770" ht="14.25" customHeight="1">
      <c r="C770" s="2"/>
      <c r="D770" s="3"/>
      <c r="F770" s="4"/>
      <c r="G770" s="3"/>
      <c r="H770" s="3"/>
      <c r="I770" s="4"/>
      <c r="U770" s="4"/>
      <c r="V770" s="4"/>
    </row>
    <row r="771" ht="14.25" customHeight="1">
      <c r="C771" s="2"/>
      <c r="D771" s="3"/>
      <c r="F771" s="4"/>
      <c r="G771" s="3"/>
      <c r="H771" s="3"/>
      <c r="I771" s="4"/>
      <c r="U771" s="4"/>
      <c r="V771" s="4"/>
    </row>
    <row r="772" ht="14.25" customHeight="1">
      <c r="C772" s="2"/>
      <c r="D772" s="3"/>
      <c r="F772" s="4"/>
      <c r="G772" s="3"/>
      <c r="H772" s="3"/>
      <c r="I772" s="4"/>
      <c r="U772" s="4"/>
      <c r="V772" s="4"/>
    </row>
    <row r="773" ht="14.25" customHeight="1">
      <c r="C773" s="2"/>
      <c r="D773" s="3"/>
      <c r="F773" s="4"/>
      <c r="G773" s="3"/>
      <c r="H773" s="3"/>
      <c r="I773" s="4"/>
      <c r="U773" s="4"/>
      <c r="V773" s="4"/>
    </row>
    <row r="774" ht="14.25" customHeight="1">
      <c r="C774" s="2"/>
      <c r="D774" s="3"/>
      <c r="F774" s="4"/>
      <c r="G774" s="3"/>
      <c r="H774" s="3"/>
      <c r="I774" s="4"/>
      <c r="U774" s="4"/>
      <c r="V774" s="4"/>
    </row>
    <row r="775" ht="14.25" customHeight="1">
      <c r="C775" s="2"/>
      <c r="D775" s="3"/>
      <c r="F775" s="4"/>
      <c r="G775" s="3"/>
      <c r="H775" s="3"/>
      <c r="I775" s="4"/>
      <c r="U775" s="4"/>
      <c r="V775" s="4"/>
    </row>
    <row r="776" ht="14.25" customHeight="1">
      <c r="C776" s="2"/>
      <c r="D776" s="3"/>
      <c r="F776" s="4"/>
      <c r="G776" s="3"/>
      <c r="H776" s="3"/>
      <c r="I776" s="4"/>
      <c r="U776" s="4"/>
      <c r="V776" s="4"/>
    </row>
    <row r="777" ht="14.25" customHeight="1">
      <c r="C777" s="2"/>
      <c r="D777" s="3"/>
      <c r="F777" s="4"/>
      <c r="G777" s="3"/>
      <c r="H777" s="3"/>
      <c r="I777" s="4"/>
      <c r="U777" s="4"/>
      <c r="V777" s="4"/>
    </row>
    <row r="778" ht="14.25" customHeight="1">
      <c r="C778" s="2"/>
      <c r="D778" s="3"/>
      <c r="F778" s="4"/>
      <c r="G778" s="3"/>
      <c r="H778" s="3"/>
      <c r="I778" s="4"/>
      <c r="U778" s="4"/>
      <c r="V778" s="4"/>
    </row>
    <row r="779" ht="14.25" customHeight="1">
      <c r="C779" s="2"/>
      <c r="D779" s="3"/>
      <c r="F779" s="4"/>
      <c r="G779" s="3"/>
      <c r="H779" s="3"/>
      <c r="I779" s="4"/>
      <c r="U779" s="4"/>
      <c r="V779" s="4"/>
    </row>
    <row r="780" ht="14.25" customHeight="1">
      <c r="C780" s="2"/>
      <c r="D780" s="3"/>
      <c r="F780" s="4"/>
      <c r="G780" s="3"/>
      <c r="H780" s="3"/>
      <c r="I780" s="4"/>
      <c r="U780" s="4"/>
      <c r="V780" s="4"/>
    </row>
    <row r="781" ht="14.25" customHeight="1">
      <c r="C781" s="2"/>
      <c r="D781" s="3"/>
      <c r="F781" s="4"/>
      <c r="G781" s="3"/>
      <c r="H781" s="3"/>
      <c r="I781" s="4"/>
      <c r="U781" s="4"/>
      <c r="V781" s="4"/>
    </row>
    <row r="782" ht="14.25" customHeight="1">
      <c r="C782" s="2"/>
      <c r="D782" s="3"/>
      <c r="F782" s="4"/>
      <c r="G782" s="3"/>
      <c r="H782" s="3"/>
      <c r="I782" s="4"/>
      <c r="U782" s="4"/>
      <c r="V782" s="4"/>
    </row>
    <row r="783" ht="14.25" customHeight="1">
      <c r="C783" s="2"/>
      <c r="D783" s="3"/>
      <c r="F783" s="4"/>
      <c r="G783" s="3"/>
      <c r="H783" s="3"/>
      <c r="I783" s="4"/>
      <c r="U783" s="4"/>
      <c r="V783" s="4"/>
    </row>
    <row r="784" ht="14.25" customHeight="1">
      <c r="C784" s="2"/>
      <c r="D784" s="3"/>
      <c r="F784" s="4"/>
      <c r="G784" s="3"/>
      <c r="H784" s="3"/>
      <c r="I784" s="4"/>
      <c r="U784" s="4"/>
      <c r="V784" s="4"/>
    </row>
    <row r="785" ht="14.25" customHeight="1">
      <c r="C785" s="2"/>
      <c r="D785" s="3"/>
      <c r="F785" s="4"/>
      <c r="G785" s="3"/>
      <c r="H785" s="3"/>
      <c r="I785" s="4"/>
      <c r="U785" s="4"/>
      <c r="V785" s="4"/>
    </row>
    <row r="786" ht="14.25" customHeight="1">
      <c r="C786" s="2"/>
      <c r="D786" s="3"/>
      <c r="F786" s="4"/>
      <c r="G786" s="3"/>
      <c r="H786" s="3"/>
      <c r="I786" s="4"/>
      <c r="U786" s="4"/>
      <c r="V786" s="4"/>
    </row>
    <row r="787" ht="14.25" customHeight="1">
      <c r="C787" s="2"/>
      <c r="D787" s="3"/>
      <c r="F787" s="4"/>
      <c r="G787" s="3"/>
      <c r="H787" s="3"/>
      <c r="I787" s="4"/>
      <c r="U787" s="4"/>
      <c r="V787" s="4"/>
    </row>
    <row r="788" ht="14.25" customHeight="1">
      <c r="C788" s="2"/>
      <c r="D788" s="3"/>
      <c r="F788" s="4"/>
      <c r="G788" s="3"/>
      <c r="H788" s="3"/>
      <c r="I788" s="4"/>
      <c r="U788" s="4"/>
      <c r="V788" s="4"/>
    </row>
    <row r="789" ht="14.25" customHeight="1">
      <c r="C789" s="2"/>
      <c r="D789" s="3"/>
      <c r="F789" s="4"/>
      <c r="G789" s="3"/>
      <c r="H789" s="3"/>
      <c r="I789" s="4"/>
      <c r="U789" s="4"/>
      <c r="V789" s="4"/>
    </row>
    <row r="790" ht="14.25" customHeight="1">
      <c r="C790" s="2"/>
      <c r="D790" s="3"/>
      <c r="F790" s="4"/>
      <c r="G790" s="3"/>
      <c r="H790" s="3"/>
      <c r="I790" s="4"/>
      <c r="U790" s="4"/>
      <c r="V790" s="4"/>
    </row>
    <row r="791" ht="14.25" customHeight="1">
      <c r="C791" s="2"/>
      <c r="D791" s="3"/>
      <c r="F791" s="4"/>
      <c r="G791" s="3"/>
      <c r="H791" s="3"/>
      <c r="I791" s="4"/>
      <c r="U791" s="4"/>
      <c r="V791" s="4"/>
    </row>
    <row r="792" ht="14.25" customHeight="1">
      <c r="C792" s="2"/>
      <c r="D792" s="3"/>
      <c r="F792" s="4"/>
      <c r="G792" s="3"/>
      <c r="H792" s="3"/>
      <c r="I792" s="4"/>
      <c r="U792" s="4"/>
      <c r="V792" s="4"/>
    </row>
    <row r="793" ht="14.25" customHeight="1">
      <c r="C793" s="2"/>
      <c r="D793" s="3"/>
      <c r="F793" s="4"/>
      <c r="G793" s="3"/>
      <c r="H793" s="3"/>
      <c r="I793" s="4"/>
      <c r="U793" s="4"/>
      <c r="V793" s="4"/>
    </row>
    <row r="794" ht="14.25" customHeight="1">
      <c r="C794" s="2"/>
      <c r="D794" s="3"/>
      <c r="F794" s="4"/>
      <c r="G794" s="3"/>
      <c r="H794" s="3"/>
      <c r="I794" s="4"/>
      <c r="U794" s="4"/>
      <c r="V794" s="4"/>
    </row>
    <row r="795" ht="14.25" customHeight="1">
      <c r="C795" s="2"/>
      <c r="D795" s="3"/>
      <c r="F795" s="4"/>
      <c r="G795" s="3"/>
      <c r="H795" s="3"/>
      <c r="I795" s="4"/>
      <c r="U795" s="4"/>
      <c r="V795" s="4"/>
    </row>
    <row r="796" ht="14.25" customHeight="1">
      <c r="C796" s="2"/>
      <c r="D796" s="3"/>
      <c r="F796" s="4"/>
      <c r="G796" s="3"/>
      <c r="H796" s="3"/>
      <c r="I796" s="4"/>
      <c r="U796" s="4"/>
      <c r="V796" s="4"/>
    </row>
    <row r="797" ht="14.25" customHeight="1">
      <c r="C797" s="2"/>
      <c r="D797" s="3"/>
      <c r="F797" s="4"/>
      <c r="G797" s="3"/>
      <c r="H797" s="3"/>
      <c r="I797" s="4"/>
      <c r="U797" s="4"/>
      <c r="V797" s="4"/>
    </row>
    <row r="798" ht="14.25" customHeight="1">
      <c r="C798" s="2"/>
      <c r="D798" s="3"/>
      <c r="F798" s="4"/>
      <c r="G798" s="3"/>
      <c r="H798" s="3"/>
      <c r="I798" s="4"/>
      <c r="U798" s="4"/>
      <c r="V798" s="4"/>
    </row>
    <row r="799" ht="14.25" customHeight="1">
      <c r="C799" s="2"/>
      <c r="D799" s="3"/>
      <c r="F799" s="4"/>
      <c r="G799" s="3"/>
      <c r="H799" s="3"/>
      <c r="I799" s="4"/>
      <c r="U799" s="4"/>
      <c r="V799" s="4"/>
    </row>
    <row r="800" ht="14.25" customHeight="1">
      <c r="C800" s="2"/>
      <c r="D800" s="3"/>
      <c r="F800" s="4"/>
      <c r="G800" s="3"/>
      <c r="H800" s="3"/>
      <c r="I800" s="4"/>
      <c r="U800" s="4"/>
      <c r="V800" s="4"/>
    </row>
    <row r="801" ht="14.25" customHeight="1">
      <c r="C801" s="2"/>
      <c r="D801" s="3"/>
      <c r="F801" s="4"/>
      <c r="G801" s="3"/>
      <c r="H801" s="3"/>
      <c r="I801" s="4"/>
      <c r="U801" s="4"/>
      <c r="V801" s="4"/>
    </row>
    <row r="802" ht="14.25" customHeight="1">
      <c r="C802" s="2"/>
      <c r="D802" s="3"/>
      <c r="F802" s="4"/>
      <c r="G802" s="3"/>
      <c r="H802" s="3"/>
      <c r="I802" s="4"/>
      <c r="U802" s="4"/>
      <c r="V802" s="4"/>
    </row>
    <row r="803" ht="14.25" customHeight="1">
      <c r="C803" s="2"/>
      <c r="D803" s="3"/>
      <c r="F803" s="4"/>
      <c r="G803" s="3"/>
      <c r="H803" s="3"/>
      <c r="I803" s="4"/>
      <c r="U803" s="4"/>
      <c r="V803" s="4"/>
    </row>
    <row r="804" ht="14.25" customHeight="1">
      <c r="C804" s="2"/>
      <c r="D804" s="3"/>
      <c r="F804" s="4"/>
      <c r="G804" s="3"/>
      <c r="H804" s="3"/>
      <c r="I804" s="4"/>
      <c r="U804" s="4"/>
      <c r="V804" s="4"/>
    </row>
    <row r="805" ht="14.25" customHeight="1">
      <c r="C805" s="2"/>
      <c r="D805" s="3"/>
      <c r="F805" s="4"/>
      <c r="G805" s="3"/>
      <c r="H805" s="3"/>
      <c r="I805" s="4"/>
      <c r="U805" s="4"/>
      <c r="V805" s="4"/>
    </row>
    <row r="806" ht="14.25" customHeight="1">
      <c r="C806" s="2"/>
      <c r="D806" s="3"/>
      <c r="F806" s="4"/>
      <c r="G806" s="3"/>
      <c r="H806" s="3"/>
      <c r="I806" s="4"/>
      <c r="U806" s="4"/>
      <c r="V806" s="4"/>
    </row>
    <row r="807" ht="14.25" customHeight="1">
      <c r="C807" s="2"/>
      <c r="D807" s="3"/>
      <c r="F807" s="4"/>
      <c r="G807" s="3"/>
      <c r="H807" s="3"/>
      <c r="I807" s="4"/>
      <c r="U807" s="4"/>
      <c r="V807" s="4"/>
    </row>
    <row r="808" ht="14.25" customHeight="1">
      <c r="C808" s="2"/>
      <c r="D808" s="3"/>
      <c r="F808" s="4"/>
      <c r="G808" s="3"/>
      <c r="H808" s="3"/>
      <c r="I808" s="4"/>
      <c r="U808" s="4"/>
      <c r="V808" s="4"/>
    </row>
    <row r="809" ht="14.25" customHeight="1">
      <c r="C809" s="2"/>
      <c r="D809" s="3"/>
      <c r="F809" s="4"/>
      <c r="G809" s="3"/>
      <c r="H809" s="3"/>
      <c r="I809" s="4"/>
      <c r="U809" s="4"/>
      <c r="V809" s="4"/>
    </row>
    <row r="810" ht="14.25" customHeight="1">
      <c r="C810" s="2"/>
      <c r="D810" s="3"/>
      <c r="F810" s="4"/>
      <c r="G810" s="3"/>
      <c r="H810" s="3"/>
      <c r="I810" s="4"/>
      <c r="U810" s="4"/>
      <c r="V810" s="4"/>
    </row>
    <row r="811" ht="14.25" customHeight="1">
      <c r="C811" s="2"/>
      <c r="D811" s="3"/>
      <c r="F811" s="4"/>
      <c r="G811" s="3"/>
      <c r="H811" s="3"/>
      <c r="I811" s="4"/>
      <c r="U811" s="4"/>
      <c r="V811" s="4"/>
    </row>
    <row r="812" ht="14.25" customHeight="1">
      <c r="C812" s="2"/>
      <c r="D812" s="3"/>
      <c r="F812" s="4"/>
      <c r="G812" s="3"/>
      <c r="H812" s="3"/>
      <c r="I812" s="4"/>
      <c r="U812" s="4"/>
      <c r="V812" s="4"/>
    </row>
    <row r="813" ht="14.25" customHeight="1">
      <c r="C813" s="2"/>
      <c r="D813" s="3"/>
      <c r="F813" s="4"/>
      <c r="G813" s="3"/>
      <c r="H813" s="3"/>
      <c r="I813" s="4"/>
      <c r="U813" s="4"/>
      <c r="V813" s="4"/>
    </row>
    <row r="814" ht="14.25" customHeight="1">
      <c r="C814" s="2"/>
      <c r="D814" s="3"/>
      <c r="F814" s="4"/>
      <c r="G814" s="3"/>
      <c r="H814" s="3"/>
      <c r="I814" s="4"/>
      <c r="U814" s="4"/>
      <c r="V814" s="4"/>
    </row>
    <row r="815" ht="14.25" customHeight="1">
      <c r="C815" s="2"/>
      <c r="D815" s="3"/>
      <c r="F815" s="4"/>
      <c r="G815" s="3"/>
      <c r="H815" s="3"/>
      <c r="I815" s="4"/>
      <c r="U815" s="4"/>
      <c r="V815" s="4"/>
    </row>
    <row r="816" ht="14.25" customHeight="1">
      <c r="C816" s="2"/>
      <c r="D816" s="3"/>
      <c r="F816" s="4"/>
      <c r="G816" s="3"/>
      <c r="H816" s="3"/>
      <c r="I816" s="4"/>
      <c r="U816" s="4"/>
      <c r="V816" s="4"/>
    </row>
    <row r="817" ht="14.25" customHeight="1">
      <c r="C817" s="2"/>
      <c r="D817" s="3"/>
      <c r="F817" s="4"/>
      <c r="G817" s="3"/>
      <c r="H817" s="3"/>
      <c r="I817" s="4"/>
      <c r="U817" s="4"/>
      <c r="V817" s="4"/>
    </row>
    <row r="818" ht="14.25" customHeight="1">
      <c r="C818" s="2"/>
      <c r="D818" s="3"/>
      <c r="F818" s="4"/>
      <c r="G818" s="3"/>
      <c r="H818" s="3"/>
      <c r="I818" s="4"/>
      <c r="U818" s="4"/>
      <c r="V818" s="4"/>
    </row>
    <row r="819" ht="14.25" customHeight="1">
      <c r="C819" s="2"/>
      <c r="D819" s="3"/>
      <c r="F819" s="4"/>
      <c r="G819" s="3"/>
      <c r="H819" s="3"/>
      <c r="I819" s="4"/>
      <c r="U819" s="4"/>
      <c r="V819" s="4"/>
    </row>
    <row r="820" ht="14.25" customHeight="1">
      <c r="C820" s="2"/>
      <c r="D820" s="3"/>
      <c r="F820" s="4"/>
      <c r="G820" s="3"/>
      <c r="H820" s="3"/>
      <c r="I820" s="4"/>
      <c r="U820" s="4"/>
      <c r="V820" s="4"/>
    </row>
    <row r="821" ht="14.25" customHeight="1">
      <c r="C821" s="2"/>
      <c r="D821" s="3"/>
      <c r="F821" s="4"/>
      <c r="G821" s="3"/>
      <c r="H821" s="3"/>
      <c r="I821" s="4"/>
      <c r="U821" s="4"/>
      <c r="V821" s="4"/>
    </row>
    <row r="822" ht="14.25" customHeight="1">
      <c r="C822" s="2"/>
      <c r="D822" s="3"/>
      <c r="F822" s="4"/>
      <c r="G822" s="3"/>
      <c r="H822" s="3"/>
      <c r="I822" s="4"/>
      <c r="U822" s="4"/>
      <c r="V822" s="4"/>
    </row>
    <row r="823" ht="14.25" customHeight="1">
      <c r="C823" s="2"/>
      <c r="D823" s="3"/>
      <c r="F823" s="4"/>
      <c r="G823" s="3"/>
      <c r="H823" s="3"/>
      <c r="I823" s="4"/>
      <c r="U823" s="4"/>
      <c r="V823" s="4"/>
    </row>
    <row r="824" ht="14.25" customHeight="1">
      <c r="C824" s="2"/>
      <c r="D824" s="3"/>
      <c r="F824" s="4"/>
      <c r="G824" s="3"/>
      <c r="H824" s="3"/>
      <c r="I824" s="4"/>
      <c r="U824" s="4"/>
      <c r="V824" s="4"/>
    </row>
    <row r="825" ht="14.25" customHeight="1">
      <c r="C825" s="2"/>
      <c r="D825" s="3"/>
      <c r="F825" s="4"/>
      <c r="G825" s="3"/>
      <c r="H825" s="3"/>
      <c r="I825" s="4"/>
      <c r="U825" s="4"/>
      <c r="V825" s="4"/>
    </row>
    <row r="826" ht="14.25" customHeight="1">
      <c r="C826" s="2"/>
      <c r="D826" s="3"/>
      <c r="F826" s="4"/>
      <c r="G826" s="3"/>
      <c r="H826" s="3"/>
      <c r="I826" s="4"/>
      <c r="U826" s="4"/>
      <c r="V826" s="4"/>
    </row>
    <row r="827" ht="14.25" customHeight="1">
      <c r="C827" s="2"/>
      <c r="D827" s="3"/>
      <c r="F827" s="4"/>
      <c r="G827" s="3"/>
      <c r="H827" s="3"/>
      <c r="I827" s="4"/>
      <c r="U827" s="4"/>
      <c r="V827" s="4"/>
    </row>
    <row r="828" ht="14.25" customHeight="1">
      <c r="C828" s="2"/>
      <c r="D828" s="3"/>
      <c r="F828" s="4"/>
      <c r="G828" s="3"/>
      <c r="H828" s="3"/>
      <c r="I828" s="4"/>
      <c r="U828" s="4"/>
      <c r="V828" s="4"/>
    </row>
    <row r="829" ht="14.25" customHeight="1">
      <c r="C829" s="2"/>
      <c r="D829" s="3"/>
      <c r="F829" s="4"/>
      <c r="G829" s="3"/>
      <c r="H829" s="3"/>
      <c r="I829" s="4"/>
      <c r="U829" s="4"/>
      <c r="V829" s="4"/>
    </row>
    <row r="830" ht="14.25" customHeight="1">
      <c r="C830" s="2"/>
      <c r="D830" s="3"/>
      <c r="F830" s="4"/>
      <c r="G830" s="3"/>
      <c r="H830" s="3"/>
      <c r="I830" s="4"/>
      <c r="U830" s="4"/>
      <c r="V830" s="4"/>
    </row>
    <row r="831" ht="14.25" customHeight="1">
      <c r="C831" s="2"/>
      <c r="D831" s="3"/>
      <c r="F831" s="4"/>
      <c r="G831" s="3"/>
      <c r="H831" s="3"/>
      <c r="I831" s="4"/>
      <c r="U831" s="4"/>
      <c r="V831" s="4"/>
    </row>
    <row r="832" ht="14.25" customHeight="1">
      <c r="C832" s="2"/>
      <c r="D832" s="3"/>
      <c r="F832" s="4"/>
      <c r="G832" s="3"/>
      <c r="H832" s="3"/>
      <c r="I832" s="4"/>
      <c r="U832" s="4"/>
      <c r="V832" s="4"/>
    </row>
    <row r="833" ht="14.25" customHeight="1">
      <c r="C833" s="2"/>
      <c r="D833" s="3"/>
      <c r="F833" s="4"/>
      <c r="G833" s="3"/>
      <c r="H833" s="3"/>
      <c r="I833" s="4"/>
      <c r="U833" s="4"/>
      <c r="V833" s="4"/>
    </row>
    <row r="834" ht="14.25" customHeight="1">
      <c r="C834" s="2"/>
      <c r="D834" s="3"/>
      <c r="F834" s="4"/>
      <c r="G834" s="3"/>
      <c r="H834" s="3"/>
      <c r="I834" s="4"/>
      <c r="U834" s="4"/>
      <c r="V834" s="4"/>
    </row>
    <row r="835" ht="14.25" customHeight="1">
      <c r="C835" s="2"/>
      <c r="D835" s="3"/>
      <c r="F835" s="4"/>
      <c r="G835" s="3"/>
      <c r="H835" s="3"/>
      <c r="I835" s="4"/>
      <c r="U835" s="4"/>
      <c r="V835" s="4"/>
    </row>
    <row r="836" ht="14.25" customHeight="1">
      <c r="C836" s="2"/>
      <c r="D836" s="3"/>
      <c r="F836" s="4"/>
      <c r="G836" s="3"/>
      <c r="H836" s="3"/>
      <c r="I836" s="4"/>
      <c r="U836" s="4"/>
      <c r="V836" s="4"/>
    </row>
    <row r="837" ht="14.25" customHeight="1">
      <c r="C837" s="2"/>
      <c r="D837" s="3"/>
      <c r="F837" s="4"/>
      <c r="G837" s="3"/>
      <c r="H837" s="3"/>
      <c r="I837" s="4"/>
      <c r="U837" s="4"/>
      <c r="V837" s="4"/>
    </row>
    <row r="838" ht="14.25" customHeight="1">
      <c r="C838" s="2"/>
      <c r="D838" s="3"/>
      <c r="F838" s="4"/>
      <c r="G838" s="3"/>
      <c r="H838" s="3"/>
      <c r="I838" s="4"/>
      <c r="U838" s="4"/>
      <c r="V838" s="4"/>
    </row>
    <row r="839" ht="14.25" customHeight="1">
      <c r="C839" s="2"/>
      <c r="D839" s="3"/>
      <c r="F839" s="4"/>
      <c r="G839" s="3"/>
      <c r="H839" s="3"/>
      <c r="I839" s="4"/>
      <c r="U839" s="4"/>
      <c r="V839" s="4"/>
    </row>
    <row r="840" ht="14.25" customHeight="1">
      <c r="C840" s="2"/>
      <c r="D840" s="3"/>
      <c r="F840" s="4"/>
      <c r="G840" s="3"/>
      <c r="H840" s="3"/>
      <c r="I840" s="4"/>
      <c r="U840" s="4"/>
      <c r="V840" s="4"/>
    </row>
    <row r="841" ht="14.25" customHeight="1">
      <c r="C841" s="2"/>
      <c r="D841" s="3"/>
      <c r="F841" s="4"/>
      <c r="G841" s="3"/>
      <c r="H841" s="3"/>
      <c r="I841" s="4"/>
      <c r="U841" s="4"/>
      <c r="V841" s="4"/>
    </row>
    <row r="842" ht="14.25" customHeight="1">
      <c r="C842" s="2"/>
      <c r="D842" s="3"/>
      <c r="F842" s="4"/>
      <c r="G842" s="3"/>
      <c r="H842" s="3"/>
      <c r="I842" s="4"/>
      <c r="U842" s="4"/>
      <c r="V842" s="4"/>
    </row>
    <row r="843" ht="14.25" customHeight="1">
      <c r="C843" s="2"/>
      <c r="D843" s="3"/>
      <c r="F843" s="4"/>
      <c r="G843" s="3"/>
      <c r="H843" s="3"/>
      <c r="I843" s="4"/>
      <c r="U843" s="4"/>
      <c r="V843" s="4"/>
    </row>
    <row r="844" ht="14.25" customHeight="1">
      <c r="C844" s="2"/>
      <c r="D844" s="3"/>
      <c r="F844" s="4"/>
      <c r="G844" s="3"/>
      <c r="H844" s="3"/>
      <c r="I844" s="4"/>
      <c r="U844" s="4"/>
      <c r="V844" s="4"/>
    </row>
    <row r="845" ht="14.25" customHeight="1">
      <c r="C845" s="2"/>
      <c r="D845" s="3"/>
      <c r="F845" s="4"/>
      <c r="G845" s="3"/>
      <c r="H845" s="3"/>
      <c r="I845" s="4"/>
      <c r="U845" s="4"/>
      <c r="V845" s="4"/>
    </row>
    <row r="846" ht="14.25" customHeight="1">
      <c r="C846" s="2"/>
      <c r="D846" s="3"/>
      <c r="F846" s="4"/>
      <c r="G846" s="3"/>
      <c r="H846" s="3"/>
      <c r="I846" s="4"/>
      <c r="U846" s="4"/>
      <c r="V846" s="4"/>
    </row>
    <row r="847" ht="14.25" customHeight="1">
      <c r="C847" s="2"/>
      <c r="D847" s="3"/>
      <c r="F847" s="4"/>
      <c r="G847" s="3"/>
      <c r="H847" s="3"/>
      <c r="I847" s="4"/>
      <c r="U847" s="4"/>
      <c r="V847" s="4"/>
    </row>
    <row r="848" ht="14.25" customHeight="1">
      <c r="C848" s="2"/>
      <c r="D848" s="3"/>
      <c r="F848" s="4"/>
      <c r="G848" s="3"/>
      <c r="H848" s="3"/>
      <c r="I848" s="4"/>
      <c r="U848" s="4"/>
      <c r="V848" s="4"/>
    </row>
    <row r="849" ht="14.25" customHeight="1">
      <c r="C849" s="2"/>
      <c r="D849" s="3"/>
      <c r="F849" s="4"/>
      <c r="G849" s="3"/>
      <c r="H849" s="3"/>
      <c r="I849" s="4"/>
      <c r="U849" s="4"/>
      <c r="V849" s="4"/>
    </row>
    <row r="850" ht="14.25" customHeight="1">
      <c r="C850" s="2"/>
      <c r="D850" s="3"/>
      <c r="F850" s="4"/>
      <c r="G850" s="3"/>
      <c r="H850" s="3"/>
      <c r="I850" s="4"/>
      <c r="U850" s="4"/>
      <c r="V850" s="4"/>
    </row>
    <row r="851" ht="14.25" customHeight="1">
      <c r="C851" s="2"/>
      <c r="D851" s="3"/>
      <c r="F851" s="4"/>
      <c r="G851" s="3"/>
      <c r="H851" s="3"/>
      <c r="I851" s="4"/>
      <c r="U851" s="4"/>
      <c r="V851" s="4"/>
    </row>
    <row r="852" ht="14.25" customHeight="1">
      <c r="C852" s="2"/>
      <c r="D852" s="3"/>
      <c r="F852" s="4"/>
      <c r="G852" s="3"/>
      <c r="H852" s="3"/>
      <c r="I852" s="4"/>
      <c r="U852" s="4"/>
      <c r="V852" s="4"/>
    </row>
    <row r="853" ht="14.25" customHeight="1">
      <c r="C853" s="2"/>
      <c r="D853" s="3"/>
      <c r="F853" s="4"/>
      <c r="G853" s="3"/>
      <c r="H853" s="3"/>
      <c r="I853" s="4"/>
      <c r="U853" s="4"/>
      <c r="V853" s="4"/>
    </row>
    <row r="854" ht="14.25" customHeight="1">
      <c r="C854" s="2"/>
      <c r="D854" s="3"/>
      <c r="F854" s="4"/>
      <c r="G854" s="3"/>
      <c r="H854" s="3"/>
      <c r="I854" s="4"/>
      <c r="U854" s="4"/>
      <c r="V854" s="4"/>
    </row>
    <row r="855" ht="14.25" customHeight="1">
      <c r="C855" s="2"/>
      <c r="D855" s="3"/>
      <c r="F855" s="4"/>
      <c r="G855" s="3"/>
      <c r="H855" s="3"/>
      <c r="I855" s="4"/>
      <c r="U855" s="4"/>
      <c r="V855" s="4"/>
    </row>
    <row r="856" ht="14.25" customHeight="1">
      <c r="C856" s="2"/>
      <c r="D856" s="3"/>
      <c r="F856" s="4"/>
      <c r="G856" s="3"/>
      <c r="H856" s="3"/>
      <c r="I856" s="4"/>
      <c r="U856" s="4"/>
      <c r="V856" s="4"/>
    </row>
    <row r="857" ht="14.25" customHeight="1">
      <c r="C857" s="2"/>
      <c r="D857" s="3"/>
      <c r="F857" s="4"/>
      <c r="G857" s="3"/>
      <c r="H857" s="3"/>
      <c r="I857" s="4"/>
      <c r="U857" s="4"/>
      <c r="V857" s="4"/>
    </row>
    <row r="858" ht="14.25" customHeight="1">
      <c r="C858" s="2"/>
      <c r="D858" s="3"/>
      <c r="F858" s="4"/>
      <c r="G858" s="3"/>
      <c r="H858" s="3"/>
      <c r="I858" s="4"/>
      <c r="U858" s="4"/>
      <c r="V858" s="4"/>
    </row>
    <row r="859" ht="14.25" customHeight="1">
      <c r="C859" s="2"/>
      <c r="D859" s="3"/>
      <c r="F859" s="4"/>
      <c r="G859" s="3"/>
      <c r="H859" s="3"/>
      <c r="I859" s="4"/>
      <c r="U859" s="4"/>
      <c r="V859" s="4"/>
    </row>
    <row r="860" ht="14.25" customHeight="1">
      <c r="C860" s="2"/>
      <c r="D860" s="3"/>
      <c r="F860" s="4"/>
      <c r="G860" s="3"/>
      <c r="H860" s="3"/>
      <c r="I860" s="4"/>
      <c r="U860" s="4"/>
      <c r="V860" s="4"/>
    </row>
    <row r="861" ht="14.25" customHeight="1">
      <c r="C861" s="2"/>
      <c r="D861" s="3"/>
      <c r="F861" s="4"/>
      <c r="G861" s="3"/>
      <c r="H861" s="3"/>
      <c r="I861" s="4"/>
      <c r="U861" s="4"/>
      <c r="V861" s="4"/>
    </row>
    <row r="862" ht="14.25" customHeight="1">
      <c r="C862" s="2"/>
      <c r="D862" s="3"/>
      <c r="F862" s="4"/>
      <c r="G862" s="3"/>
      <c r="H862" s="3"/>
      <c r="I862" s="4"/>
      <c r="U862" s="4"/>
      <c r="V862" s="4"/>
    </row>
    <row r="863" ht="14.25" customHeight="1">
      <c r="C863" s="2"/>
      <c r="D863" s="3"/>
      <c r="F863" s="4"/>
      <c r="G863" s="3"/>
      <c r="H863" s="3"/>
      <c r="I863" s="4"/>
      <c r="U863" s="4"/>
      <c r="V863" s="4"/>
    </row>
    <row r="864" ht="14.25" customHeight="1">
      <c r="C864" s="2"/>
      <c r="D864" s="3"/>
      <c r="F864" s="4"/>
      <c r="G864" s="3"/>
      <c r="H864" s="3"/>
      <c r="I864" s="4"/>
      <c r="U864" s="4"/>
      <c r="V864" s="4"/>
    </row>
    <row r="865" ht="14.25" customHeight="1">
      <c r="C865" s="2"/>
      <c r="D865" s="3"/>
      <c r="F865" s="4"/>
      <c r="G865" s="3"/>
      <c r="H865" s="3"/>
      <c r="I865" s="4"/>
      <c r="U865" s="4"/>
      <c r="V865" s="4"/>
    </row>
    <row r="866" ht="14.25" customHeight="1">
      <c r="C866" s="2"/>
      <c r="D866" s="3"/>
      <c r="F866" s="4"/>
      <c r="G866" s="3"/>
      <c r="H866" s="3"/>
      <c r="I866" s="4"/>
      <c r="U866" s="4"/>
      <c r="V866" s="4"/>
    </row>
    <row r="867" ht="14.25" customHeight="1">
      <c r="C867" s="2"/>
      <c r="D867" s="3"/>
      <c r="F867" s="4"/>
      <c r="G867" s="3"/>
      <c r="H867" s="3"/>
      <c r="I867" s="4"/>
      <c r="U867" s="4"/>
      <c r="V867" s="4"/>
    </row>
    <row r="868" ht="14.25" customHeight="1">
      <c r="C868" s="2"/>
      <c r="D868" s="3"/>
      <c r="F868" s="4"/>
      <c r="G868" s="3"/>
      <c r="H868" s="3"/>
      <c r="I868" s="4"/>
      <c r="U868" s="4"/>
      <c r="V868" s="4"/>
    </row>
    <row r="869" ht="14.25" customHeight="1">
      <c r="C869" s="2"/>
      <c r="D869" s="3"/>
      <c r="F869" s="4"/>
      <c r="G869" s="3"/>
      <c r="H869" s="3"/>
      <c r="I869" s="4"/>
      <c r="U869" s="4"/>
      <c r="V869" s="4"/>
    </row>
    <row r="870" ht="14.25" customHeight="1">
      <c r="C870" s="2"/>
      <c r="D870" s="3"/>
      <c r="F870" s="4"/>
      <c r="G870" s="3"/>
      <c r="H870" s="3"/>
      <c r="I870" s="4"/>
      <c r="U870" s="4"/>
      <c r="V870" s="4"/>
    </row>
    <row r="871" ht="14.25" customHeight="1">
      <c r="C871" s="2"/>
      <c r="D871" s="3"/>
      <c r="F871" s="4"/>
      <c r="G871" s="3"/>
      <c r="H871" s="3"/>
      <c r="I871" s="4"/>
      <c r="U871" s="4"/>
      <c r="V871" s="4"/>
    </row>
    <row r="872" ht="14.25" customHeight="1">
      <c r="C872" s="2"/>
      <c r="D872" s="3"/>
      <c r="F872" s="4"/>
      <c r="G872" s="3"/>
      <c r="H872" s="3"/>
      <c r="I872" s="4"/>
      <c r="U872" s="4"/>
      <c r="V872" s="4"/>
    </row>
    <row r="873" ht="14.25" customHeight="1">
      <c r="C873" s="2"/>
      <c r="D873" s="3"/>
      <c r="F873" s="4"/>
      <c r="G873" s="3"/>
      <c r="H873" s="3"/>
      <c r="I873" s="4"/>
      <c r="U873" s="4"/>
      <c r="V873" s="4"/>
    </row>
    <row r="874" ht="14.25" customHeight="1">
      <c r="C874" s="2"/>
      <c r="D874" s="3"/>
      <c r="F874" s="4"/>
      <c r="G874" s="3"/>
      <c r="H874" s="3"/>
      <c r="I874" s="4"/>
      <c r="U874" s="4"/>
      <c r="V874" s="4"/>
    </row>
    <row r="875" ht="14.25" customHeight="1">
      <c r="C875" s="2"/>
      <c r="D875" s="3"/>
      <c r="F875" s="4"/>
      <c r="G875" s="3"/>
      <c r="H875" s="3"/>
      <c r="I875" s="4"/>
      <c r="U875" s="4"/>
      <c r="V875" s="4"/>
    </row>
    <row r="876" ht="14.25" customHeight="1">
      <c r="C876" s="2"/>
      <c r="D876" s="3"/>
      <c r="F876" s="4"/>
      <c r="G876" s="3"/>
      <c r="H876" s="3"/>
      <c r="I876" s="4"/>
      <c r="U876" s="4"/>
      <c r="V876" s="4"/>
    </row>
    <row r="877" ht="14.25" customHeight="1">
      <c r="C877" s="2"/>
      <c r="D877" s="3"/>
      <c r="F877" s="4"/>
      <c r="G877" s="3"/>
      <c r="H877" s="3"/>
      <c r="I877" s="4"/>
      <c r="U877" s="4"/>
      <c r="V877" s="4"/>
    </row>
    <row r="878" ht="14.25" customHeight="1">
      <c r="C878" s="2"/>
      <c r="D878" s="3"/>
      <c r="F878" s="4"/>
      <c r="G878" s="3"/>
      <c r="H878" s="3"/>
      <c r="I878" s="4"/>
      <c r="U878" s="4"/>
      <c r="V878" s="4"/>
    </row>
    <row r="879" ht="14.25" customHeight="1">
      <c r="C879" s="2"/>
      <c r="D879" s="3"/>
      <c r="F879" s="4"/>
      <c r="G879" s="3"/>
      <c r="H879" s="3"/>
      <c r="I879" s="4"/>
      <c r="U879" s="4"/>
      <c r="V879" s="4"/>
    </row>
    <row r="880" ht="14.25" customHeight="1">
      <c r="C880" s="2"/>
      <c r="D880" s="3"/>
      <c r="F880" s="4"/>
      <c r="G880" s="3"/>
      <c r="H880" s="3"/>
      <c r="I880" s="4"/>
      <c r="U880" s="4"/>
      <c r="V880" s="4"/>
    </row>
    <row r="881" ht="14.25" customHeight="1">
      <c r="C881" s="2"/>
      <c r="D881" s="3"/>
      <c r="F881" s="4"/>
      <c r="G881" s="3"/>
      <c r="H881" s="3"/>
      <c r="I881" s="4"/>
      <c r="U881" s="4"/>
      <c r="V881" s="4"/>
    </row>
    <row r="882" ht="14.25" customHeight="1">
      <c r="C882" s="2"/>
      <c r="D882" s="3"/>
      <c r="F882" s="4"/>
      <c r="G882" s="3"/>
      <c r="H882" s="3"/>
      <c r="I882" s="4"/>
      <c r="U882" s="4"/>
      <c r="V882" s="4"/>
    </row>
    <row r="883" ht="14.25" customHeight="1">
      <c r="C883" s="2"/>
      <c r="D883" s="3"/>
      <c r="F883" s="4"/>
      <c r="G883" s="3"/>
      <c r="H883" s="3"/>
      <c r="I883" s="4"/>
      <c r="U883" s="4"/>
      <c r="V883" s="4"/>
    </row>
    <row r="884" ht="14.25" customHeight="1">
      <c r="C884" s="2"/>
      <c r="D884" s="3"/>
      <c r="F884" s="4"/>
      <c r="G884" s="3"/>
      <c r="H884" s="3"/>
      <c r="I884" s="4"/>
      <c r="U884" s="4"/>
      <c r="V884" s="4"/>
    </row>
    <row r="885" ht="14.25" customHeight="1">
      <c r="C885" s="2"/>
      <c r="D885" s="3"/>
      <c r="F885" s="4"/>
      <c r="G885" s="3"/>
      <c r="H885" s="3"/>
      <c r="I885" s="4"/>
      <c r="U885" s="4"/>
      <c r="V885" s="4"/>
    </row>
    <row r="886" ht="14.25" customHeight="1">
      <c r="C886" s="2"/>
      <c r="D886" s="3"/>
      <c r="F886" s="4"/>
      <c r="G886" s="3"/>
      <c r="H886" s="3"/>
      <c r="I886" s="4"/>
      <c r="U886" s="4"/>
      <c r="V886" s="4"/>
    </row>
    <row r="887" ht="14.25" customHeight="1">
      <c r="C887" s="2"/>
      <c r="D887" s="3"/>
      <c r="F887" s="4"/>
      <c r="G887" s="3"/>
      <c r="H887" s="3"/>
      <c r="I887" s="4"/>
      <c r="U887" s="4"/>
      <c r="V887" s="4"/>
    </row>
    <row r="888" ht="14.25" customHeight="1">
      <c r="C888" s="2"/>
      <c r="D888" s="3"/>
      <c r="F888" s="4"/>
      <c r="G888" s="3"/>
      <c r="H888" s="3"/>
      <c r="I888" s="4"/>
      <c r="U888" s="4"/>
      <c r="V888" s="4"/>
    </row>
    <row r="889" ht="14.25" customHeight="1">
      <c r="C889" s="2"/>
      <c r="D889" s="3"/>
      <c r="F889" s="4"/>
      <c r="G889" s="3"/>
      <c r="H889" s="3"/>
      <c r="I889" s="4"/>
      <c r="U889" s="4"/>
      <c r="V889" s="4"/>
    </row>
    <row r="890" ht="14.25" customHeight="1">
      <c r="C890" s="2"/>
      <c r="D890" s="3"/>
      <c r="F890" s="4"/>
      <c r="G890" s="3"/>
      <c r="H890" s="3"/>
      <c r="I890" s="4"/>
      <c r="U890" s="4"/>
      <c r="V890" s="4"/>
    </row>
    <row r="891" ht="14.25" customHeight="1">
      <c r="C891" s="2"/>
      <c r="D891" s="3"/>
      <c r="F891" s="4"/>
      <c r="G891" s="3"/>
      <c r="H891" s="3"/>
      <c r="I891" s="4"/>
      <c r="U891" s="4"/>
      <c r="V891" s="4"/>
    </row>
    <row r="892" ht="14.25" customHeight="1">
      <c r="C892" s="2"/>
      <c r="D892" s="3"/>
      <c r="F892" s="4"/>
      <c r="G892" s="3"/>
      <c r="H892" s="3"/>
      <c r="I892" s="4"/>
      <c r="U892" s="4"/>
      <c r="V892" s="4"/>
    </row>
    <row r="893" ht="14.25" customHeight="1">
      <c r="C893" s="2"/>
      <c r="D893" s="3"/>
      <c r="F893" s="4"/>
      <c r="G893" s="3"/>
      <c r="H893" s="3"/>
      <c r="I893" s="4"/>
      <c r="U893" s="4"/>
      <c r="V893" s="4"/>
    </row>
    <row r="894" ht="14.25" customHeight="1">
      <c r="C894" s="2"/>
      <c r="D894" s="3"/>
      <c r="F894" s="4"/>
      <c r="G894" s="3"/>
      <c r="H894" s="3"/>
      <c r="I894" s="4"/>
      <c r="U894" s="4"/>
      <c r="V894" s="4"/>
    </row>
    <row r="895" ht="14.25" customHeight="1">
      <c r="C895" s="2"/>
      <c r="D895" s="3"/>
      <c r="F895" s="4"/>
      <c r="G895" s="3"/>
      <c r="H895" s="3"/>
      <c r="I895" s="4"/>
      <c r="U895" s="4"/>
      <c r="V895" s="4"/>
    </row>
    <row r="896" ht="14.25" customHeight="1">
      <c r="C896" s="2"/>
      <c r="D896" s="3"/>
      <c r="F896" s="4"/>
      <c r="G896" s="3"/>
      <c r="H896" s="3"/>
      <c r="I896" s="4"/>
      <c r="U896" s="4"/>
      <c r="V896" s="4"/>
    </row>
    <row r="897" ht="14.25" customHeight="1">
      <c r="C897" s="2"/>
      <c r="D897" s="3"/>
      <c r="F897" s="4"/>
      <c r="G897" s="3"/>
      <c r="H897" s="3"/>
      <c r="I897" s="4"/>
      <c r="U897" s="4"/>
      <c r="V897" s="4"/>
    </row>
    <row r="898" ht="14.25" customHeight="1">
      <c r="C898" s="2"/>
      <c r="D898" s="3"/>
      <c r="F898" s="4"/>
      <c r="G898" s="3"/>
      <c r="H898" s="3"/>
      <c r="I898" s="4"/>
      <c r="U898" s="4"/>
      <c r="V898" s="4"/>
    </row>
    <row r="899" ht="14.25" customHeight="1">
      <c r="C899" s="2"/>
      <c r="D899" s="3"/>
      <c r="F899" s="4"/>
      <c r="G899" s="3"/>
      <c r="H899" s="3"/>
      <c r="I899" s="4"/>
      <c r="U899" s="4"/>
      <c r="V899" s="4"/>
    </row>
    <row r="900" ht="14.25" customHeight="1">
      <c r="C900" s="2"/>
      <c r="D900" s="3"/>
      <c r="F900" s="4"/>
      <c r="G900" s="3"/>
      <c r="H900" s="3"/>
      <c r="I900" s="4"/>
      <c r="U900" s="4"/>
      <c r="V900" s="4"/>
    </row>
    <row r="901" ht="14.25" customHeight="1">
      <c r="C901" s="2"/>
      <c r="D901" s="3"/>
      <c r="F901" s="4"/>
      <c r="G901" s="3"/>
      <c r="H901" s="3"/>
      <c r="I901" s="4"/>
      <c r="U901" s="4"/>
      <c r="V901" s="4"/>
    </row>
    <row r="902" ht="14.25" customHeight="1">
      <c r="C902" s="2"/>
      <c r="D902" s="3"/>
      <c r="F902" s="4"/>
      <c r="G902" s="3"/>
      <c r="H902" s="3"/>
      <c r="I902" s="4"/>
      <c r="U902" s="4"/>
      <c r="V902" s="4"/>
    </row>
    <row r="903" ht="14.25" customHeight="1">
      <c r="C903" s="2"/>
      <c r="D903" s="3"/>
      <c r="F903" s="4"/>
      <c r="G903" s="3"/>
      <c r="H903" s="3"/>
      <c r="I903" s="4"/>
      <c r="U903" s="4"/>
      <c r="V903" s="4"/>
    </row>
    <row r="904" ht="14.25" customHeight="1">
      <c r="C904" s="2"/>
      <c r="D904" s="3"/>
      <c r="F904" s="4"/>
      <c r="G904" s="3"/>
      <c r="H904" s="3"/>
      <c r="I904" s="4"/>
      <c r="U904" s="4"/>
      <c r="V904" s="4"/>
    </row>
    <row r="905" ht="14.25" customHeight="1">
      <c r="C905" s="2"/>
      <c r="D905" s="3"/>
      <c r="F905" s="4"/>
      <c r="G905" s="3"/>
      <c r="H905" s="3"/>
      <c r="I905" s="4"/>
      <c r="U905" s="4"/>
      <c r="V905" s="4"/>
    </row>
    <row r="906" ht="14.25" customHeight="1">
      <c r="C906" s="2"/>
      <c r="D906" s="3"/>
      <c r="F906" s="4"/>
      <c r="G906" s="3"/>
      <c r="H906" s="3"/>
      <c r="I906" s="4"/>
      <c r="U906" s="4"/>
      <c r="V906" s="4"/>
    </row>
    <row r="907" ht="14.25" customHeight="1">
      <c r="C907" s="2"/>
      <c r="D907" s="3"/>
      <c r="F907" s="4"/>
      <c r="G907" s="3"/>
      <c r="H907" s="3"/>
      <c r="I907" s="4"/>
      <c r="U907" s="4"/>
      <c r="V907" s="4"/>
    </row>
    <row r="908" ht="14.25" customHeight="1">
      <c r="C908" s="2"/>
      <c r="D908" s="3"/>
      <c r="F908" s="4"/>
      <c r="G908" s="3"/>
      <c r="H908" s="3"/>
      <c r="I908" s="4"/>
      <c r="U908" s="4"/>
      <c r="V908" s="4"/>
    </row>
    <row r="909" ht="14.25" customHeight="1">
      <c r="C909" s="2"/>
      <c r="D909" s="3"/>
      <c r="F909" s="4"/>
      <c r="G909" s="3"/>
      <c r="H909" s="3"/>
      <c r="I909" s="4"/>
      <c r="U909" s="4"/>
      <c r="V909" s="4"/>
    </row>
    <row r="910" ht="14.25" customHeight="1">
      <c r="C910" s="2"/>
      <c r="D910" s="3"/>
      <c r="F910" s="4"/>
      <c r="G910" s="3"/>
      <c r="H910" s="3"/>
      <c r="I910" s="4"/>
      <c r="U910" s="4"/>
      <c r="V910" s="4"/>
    </row>
    <row r="911" ht="14.25" customHeight="1">
      <c r="C911" s="2"/>
      <c r="D911" s="3"/>
      <c r="F911" s="4"/>
      <c r="G911" s="3"/>
      <c r="H911" s="3"/>
      <c r="I911" s="4"/>
      <c r="U911" s="4"/>
      <c r="V911" s="4"/>
    </row>
    <row r="912" ht="14.25" customHeight="1">
      <c r="C912" s="2"/>
      <c r="D912" s="3"/>
      <c r="F912" s="4"/>
      <c r="G912" s="3"/>
      <c r="H912" s="3"/>
      <c r="I912" s="4"/>
      <c r="U912" s="4"/>
      <c r="V912" s="4"/>
    </row>
    <row r="913" ht="14.25" customHeight="1">
      <c r="C913" s="2"/>
      <c r="D913" s="3"/>
      <c r="F913" s="4"/>
      <c r="G913" s="3"/>
      <c r="H913" s="3"/>
      <c r="I913" s="4"/>
      <c r="U913" s="4"/>
      <c r="V913" s="4"/>
    </row>
    <row r="914" ht="14.25" customHeight="1">
      <c r="C914" s="2"/>
      <c r="D914" s="3"/>
      <c r="F914" s="4"/>
      <c r="G914" s="3"/>
      <c r="H914" s="3"/>
      <c r="I914" s="4"/>
      <c r="U914" s="4"/>
      <c r="V914" s="4"/>
    </row>
    <row r="915" ht="14.25" customHeight="1">
      <c r="C915" s="2"/>
      <c r="D915" s="3"/>
      <c r="F915" s="4"/>
      <c r="G915" s="3"/>
      <c r="H915" s="3"/>
      <c r="I915" s="4"/>
      <c r="U915" s="4"/>
      <c r="V915" s="4"/>
    </row>
    <row r="916" ht="14.25" customHeight="1">
      <c r="C916" s="2"/>
      <c r="D916" s="3"/>
      <c r="F916" s="4"/>
      <c r="G916" s="3"/>
      <c r="H916" s="3"/>
      <c r="I916" s="4"/>
      <c r="U916" s="4"/>
      <c r="V916" s="4"/>
    </row>
    <row r="917" ht="14.25" customHeight="1">
      <c r="C917" s="2"/>
      <c r="D917" s="3"/>
      <c r="F917" s="4"/>
      <c r="G917" s="3"/>
      <c r="H917" s="3"/>
      <c r="I917" s="4"/>
      <c r="U917" s="4"/>
      <c r="V917" s="4"/>
    </row>
    <row r="918" ht="14.25" customHeight="1">
      <c r="C918" s="2"/>
      <c r="D918" s="3"/>
      <c r="F918" s="4"/>
      <c r="G918" s="3"/>
      <c r="H918" s="3"/>
      <c r="I918" s="4"/>
      <c r="U918" s="4"/>
      <c r="V918" s="4"/>
    </row>
    <row r="919" ht="14.25" customHeight="1">
      <c r="C919" s="2"/>
      <c r="D919" s="3"/>
      <c r="F919" s="4"/>
      <c r="G919" s="3"/>
      <c r="H919" s="3"/>
      <c r="I919" s="4"/>
      <c r="U919" s="4"/>
      <c r="V919" s="4"/>
    </row>
    <row r="920" ht="14.25" customHeight="1">
      <c r="C920" s="2"/>
      <c r="D920" s="3"/>
      <c r="F920" s="4"/>
      <c r="G920" s="3"/>
      <c r="H920" s="3"/>
      <c r="I920" s="4"/>
      <c r="U920" s="4"/>
      <c r="V920" s="4"/>
    </row>
    <row r="921" ht="14.25" customHeight="1">
      <c r="C921" s="2"/>
      <c r="D921" s="3"/>
      <c r="F921" s="4"/>
      <c r="G921" s="3"/>
      <c r="H921" s="3"/>
      <c r="I921" s="4"/>
      <c r="U921" s="4"/>
      <c r="V921" s="4"/>
    </row>
    <row r="922" ht="14.25" customHeight="1">
      <c r="C922" s="2"/>
      <c r="D922" s="3"/>
      <c r="F922" s="4"/>
      <c r="G922" s="3"/>
      <c r="H922" s="3"/>
      <c r="I922" s="4"/>
      <c r="U922" s="4"/>
      <c r="V922" s="4"/>
    </row>
    <row r="923" ht="14.25" customHeight="1">
      <c r="C923" s="2"/>
      <c r="D923" s="3"/>
      <c r="F923" s="4"/>
      <c r="G923" s="3"/>
      <c r="H923" s="3"/>
      <c r="I923" s="4"/>
      <c r="U923" s="4"/>
      <c r="V923" s="4"/>
    </row>
    <row r="924" ht="14.25" customHeight="1">
      <c r="C924" s="2"/>
      <c r="D924" s="3"/>
      <c r="F924" s="4"/>
      <c r="G924" s="3"/>
      <c r="H924" s="3"/>
      <c r="I924" s="4"/>
      <c r="U924" s="4"/>
      <c r="V924" s="4"/>
    </row>
    <row r="925" ht="14.25" customHeight="1">
      <c r="C925" s="2"/>
      <c r="D925" s="3"/>
      <c r="F925" s="4"/>
      <c r="G925" s="3"/>
      <c r="H925" s="3"/>
      <c r="I925" s="4"/>
      <c r="U925" s="4"/>
      <c r="V925" s="4"/>
    </row>
    <row r="926" ht="14.25" customHeight="1">
      <c r="C926" s="2"/>
      <c r="D926" s="3"/>
      <c r="F926" s="4"/>
      <c r="G926" s="3"/>
      <c r="H926" s="3"/>
      <c r="I926" s="4"/>
      <c r="U926" s="4"/>
      <c r="V926" s="4"/>
    </row>
    <row r="927" ht="14.25" customHeight="1">
      <c r="C927" s="2"/>
      <c r="D927" s="3"/>
      <c r="F927" s="4"/>
      <c r="G927" s="3"/>
      <c r="H927" s="3"/>
      <c r="I927" s="4"/>
      <c r="U927" s="4"/>
      <c r="V927" s="4"/>
    </row>
    <row r="928" ht="14.25" customHeight="1">
      <c r="C928" s="2"/>
      <c r="D928" s="3"/>
      <c r="F928" s="4"/>
      <c r="G928" s="3"/>
      <c r="H928" s="3"/>
      <c r="I928" s="4"/>
      <c r="U928" s="4"/>
      <c r="V928" s="4"/>
    </row>
    <row r="929" ht="14.25" customHeight="1">
      <c r="C929" s="2"/>
      <c r="D929" s="3"/>
      <c r="F929" s="4"/>
      <c r="G929" s="3"/>
      <c r="H929" s="3"/>
      <c r="I929" s="4"/>
      <c r="U929" s="4"/>
      <c r="V929" s="4"/>
    </row>
    <row r="930" ht="14.25" customHeight="1">
      <c r="C930" s="2"/>
      <c r="D930" s="3"/>
      <c r="F930" s="4"/>
      <c r="G930" s="3"/>
      <c r="H930" s="3"/>
      <c r="I930" s="4"/>
      <c r="U930" s="4"/>
      <c r="V930" s="4"/>
    </row>
    <row r="931" ht="14.25" customHeight="1">
      <c r="C931" s="2"/>
      <c r="D931" s="3"/>
      <c r="F931" s="4"/>
      <c r="G931" s="3"/>
      <c r="H931" s="3"/>
      <c r="I931" s="4"/>
      <c r="U931" s="4"/>
      <c r="V931" s="4"/>
    </row>
    <row r="932" ht="14.25" customHeight="1">
      <c r="C932" s="2"/>
      <c r="D932" s="3"/>
      <c r="F932" s="4"/>
      <c r="G932" s="3"/>
      <c r="H932" s="3"/>
      <c r="I932" s="4"/>
      <c r="U932" s="4"/>
      <c r="V932" s="4"/>
    </row>
    <row r="933" ht="14.25" customHeight="1">
      <c r="C933" s="2"/>
      <c r="D933" s="3"/>
      <c r="F933" s="4"/>
      <c r="G933" s="3"/>
      <c r="H933" s="3"/>
      <c r="I933" s="4"/>
      <c r="U933" s="4"/>
      <c r="V933" s="4"/>
    </row>
    <row r="934" ht="14.25" customHeight="1">
      <c r="C934" s="2"/>
      <c r="D934" s="3"/>
      <c r="F934" s="4"/>
      <c r="G934" s="3"/>
      <c r="H934" s="3"/>
      <c r="I934" s="4"/>
      <c r="U934" s="4"/>
      <c r="V934" s="4"/>
    </row>
    <row r="935" ht="14.25" customHeight="1">
      <c r="C935" s="2"/>
      <c r="D935" s="3"/>
      <c r="F935" s="4"/>
      <c r="G935" s="3"/>
      <c r="H935" s="3"/>
      <c r="I935" s="4"/>
      <c r="U935" s="4"/>
      <c r="V935" s="4"/>
    </row>
    <row r="936" ht="14.25" customHeight="1">
      <c r="C936" s="2"/>
      <c r="D936" s="3"/>
      <c r="F936" s="4"/>
      <c r="G936" s="3"/>
      <c r="H936" s="3"/>
      <c r="I936" s="4"/>
      <c r="U936" s="4"/>
      <c r="V936" s="4"/>
    </row>
    <row r="937" ht="14.25" customHeight="1">
      <c r="C937" s="2"/>
      <c r="D937" s="3"/>
      <c r="F937" s="4"/>
      <c r="G937" s="3"/>
      <c r="H937" s="3"/>
      <c r="I937" s="4"/>
      <c r="U937" s="4"/>
      <c r="V937" s="4"/>
    </row>
    <row r="938" ht="14.25" customHeight="1">
      <c r="C938" s="2"/>
      <c r="D938" s="3"/>
      <c r="F938" s="4"/>
      <c r="G938" s="3"/>
      <c r="H938" s="3"/>
      <c r="I938" s="4"/>
      <c r="U938" s="4"/>
      <c r="V938" s="4"/>
    </row>
    <row r="939" ht="14.25" customHeight="1">
      <c r="C939" s="2"/>
      <c r="D939" s="3"/>
      <c r="F939" s="4"/>
      <c r="G939" s="3"/>
      <c r="H939" s="3"/>
      <c r="I939" s="4"/>
      <c r="U939" s="4"/>
      <c r="V939" s="4"/>
    </row>
    <row r="940" ht="14.25" customHeight="1">
      <c r="C940" s="2"/>
      <c r="D940" s="3"/>
      <c r="F940" s="4"/>
      <c r="G940" s="3"/>
      <c r="H940" s="3"/>
      <c r="I940" s="4"/>
      <c r="U940" s="4"/>
      <c r="V940" s="4"/>
    </row>
    <row r="941" ht="14.25" customHeight="1">
      <c r="C941" s="2"/>
      <c r="D941" s="3"/>
      <c r="F941" s="4"/>
      <c r="G941" s="3"/>
      <c r="H941" s="3"/>
      <c r="I941" s="4"/>
      <c r="U941" s="4"/>
      <c r="V941" s="4"/>
    </row>
    <row r="942" ht="14.25" customHeight="1">
      <c r="C942" s="2"/>
      <c r="D942" s="3"/>
      <c r="F942" s="4"/>
      <c r="G942" s="3"/>
      <c r="H942" s="3"/>
      <c r="I942" s="4"/>
      <c r="U942" s="4"/>
      <c r="V942" s="4"/>
    </row>
    <row r="943" ht="14.25" customHeight="1">
      <c r="C943" s="2"/>
      <c r="D943" s="3"/>
      <c r="F943" s="4"/>
      <c r="G943" s="3"/>
      <c r="H943" s="3"/>
      <c r="I943" s="4"/>
      <c r="U943" s="4"/>
      <c r="V943" s="4"/>
    </row>
    <row r="944" ht="14.25" customHeight="1">
      <c r="C944" s="2"/>
      <c r="D944" s="3"/>
      <c r="F944" s="4"/>
      <c r="G944" s="3"/>
      <c r="H944" s="3"/>
      <c r="I944" s="4"/>
      <c r="U944" s="4"/>
      <c r="V944" s="4"/>
    </row>
    <row r="945" ht="14.25" customHeight="1">
      <c r="C945" s="2"/>
      <c r="D945" s="3"/>
      <c r="F945" s="4"/>
      <c r="G945" s="3"/>
      <c r="H945" s="3"/>
      <c r="I945" s="4"/>
      <c r="U945" s="4"/>
      <c r="V945" s="4"/>
    </row>
    <row r="946" ht="14.25" customHeight="1">
      <c r="C946" s="2"/>
      <c r="D946" s="3"/>
      <c r="F946" s="4"/>
      <c r="G946" s="3"/>
      <c r="H946" s="3"/>
      <c r="I946" s="4"/>
      <c r="U946" s="4"/>
      <c r="V946" s="4"/>
    </row>
    <row r="947" ht="14.25" customHeight="1">
      <c r="C947" s="2"/>
      <c r="D947" s="3"/>
      <c r="F947" s="4"/>
      <c r="G947" s="3"/>
      <c r="H947" s="3"/>
      <c r="I947" s="4"/>
      <c r="U947" s="4"/>
      <c r="V947" s="4"/>
    </row>
    <row r="948" ht="14.25" customHeight="1">
      <c r="C948" s="2"/>
      <c r="D948" s="3"/>
      <c r="F948" s="4"/>
      <c r="G948" s="3"/>
      <c r="H948" s="3"/>
      <c r="I948" s="4"/>
      <c r="U948" s="4"/>
      <c r="V948" s="4"/>
    </row>
    <row r="949" ht="14.25" customHeight="1">
      <c r="C949" s="2"/>
      <c r="D949" s="3"/>
      <c r="F949" s="4"/>
      <c r="G949" s="3"/>
      <c r="H949" s="3"/>
      <c r="I949" s="4"/>
      <c r="U949" s="4"/>
      <c r="V949" s="4"/>
    </row>
    <row r="950" ht="14.25" customHeight="1">
      <c r="C950" s="2"/>
      <c r="D950" s="3"/>
      <c r="F950" s="4"/>
      <c r="G950" s="3"/>
      <c r="H950" s="3"/>
      <c r="I950" s="4"/>
      <c r="U950" s="4"/>
      <c r="V950" s="4"/>
    </row>
    <row r="951" ht="14.25" customHeight="1">
      <c r="C951" s="2"/>
      <c r="D951" s="3"/>
      <c r="F951" s="4"/>
      <c r="G951" s="3"/>
      <c r="H951" s="3"/>
      <c r="I951" s="4"/>
      <c r="U951" s="4"/>
      <c r="V951" s="4"/>
    </row>
    <row r="952" ht="14.25" customHeight="1">
      <c r="C952" s="2"/>
      <c r="D952" s="3"/>
      <c r="F952" s="4"/>
      <c r="G952" s="3"/>
      <c r="H952" s="3"/>
      <c r="I952" s="4"/>
      <c r="U952" s="4"/>
      <c r="V952" s="4"/>
    </row>
    <row r="953" ht="14.25" customHeight="1">
      <c r="C953" s="2"/>
      <c r="D953" s="3"/>
      <c r="F953" s="4"/>
      <c r="G953" s="3"/>
      <c r="H953" s="3"/>
      <c r="I953" s="4"/>
      <c r="U953" s="4"/>
      <c r="V953" s="4"/>
    </row>
    <row r="954" ht="14.25" customHeight="1">
      <c r="C954" s="2"/>
      <c r="D954" s="3"/>
      <c r="F954" s="4"/>
      <c r="G954" s="3"/>
      <c r="H954" s="3"/>
      <c r="I954" s="4"/>
      <c r="U954" s="4"/>
      <c r="V954" s="4"/>
    </row>
    <row r="955" ht="14.25" customHeight="1">
      <c r="C955" s="2"/>
      <c r="D955" s="3"/>
      <c r="F955" s="4"/>
      <c r="G955" s="3"/>
      <c r="H955" s="3"/>
      <c r="I955" s="4"/>
      <c r="U955" s="4"/>
      <c r="V955" s="4"/>
    </row>
    <row r="956" ht="14.25" customHeight="1">
      <c r="C956" s="2"/>
      <c r="D956" s="3"/>
      <c r="F956" s="4"/>
      <c r="G956" s="3"/>
      <c r="H956" s="3"/>
      <c r="I956" s="4"/>
      <c r="U956" s="4"/>
      <c r="V956" s="4"/>
    </row>
    <row r="957" ht="14.25" customHeight="1">
      <c r="C957" s="2"/>
      <c r="D957" s="3"/>
      <c r="F957" s="4"/>
      <c r="G957" s="3"/>
      <c r="H957" s="3"/>
      <c r="I957" s="4"/>
      <c r="U957" s="4"/>
      <c r="V957" s="4"/>
    </row>
    <row r="958" ht="14.25" customHeight="1">
      <c r="C958" s="2"/>
      <c r="D958" s="3"/>
      <c r="F958" s="4"/>
      <c r="G958" s="3"/>
      <c r="H958" s="3"/>
      <c r="I958" s="4"/>
      <c r="U958" s="4"/>
      <c r="V958" s="4"/>
    </row>
    <row r="959" ht="14.25" customHeight="1">
      <c r="C959" s="2"/>
      <c r="D959" s="3"/>
      <c r="F959" s="4"/>
      <c r="G959" s="3"/>
      <c r="H959" s="3"/>
      <c r="I959" s="4"/>
      <c r="U959" s="4"/>
      <c r="V959" s="4"/>
    </row>
    <row r="960" ht="14.25" customHeight="1">
      <c r="C960" s="2"/>
      <c r="D960" s="3"/>
      <c r="F960" s="4"/>
      <c r="G960" s="3"/>
      <c r="H960" s="3"/>
      <c r="I960" s="4"/>
      <c r="U960" s="4"/>
      <c r="V960" s="4"/>
    </row>
    <row r="961" ht="14.25" customHeight="1">
      <c r="C961" s="2"/>
      <c r="D961" s="3"/>
      <c r="F961" s="4"/>
      <c r="G961" s="3"/>
      <c r="H961" s="3"/>
      <c r="I961" s="4"/>
      <c r="U961" s="4"/>
      <c r="V961" s="4"/>
    </row>
    <row r="962" ht="14.25" customHeight="1">
      <c r="C962" s="2"/>
      <c r="D962" s="3"/>
      <c r="F962" s="4"/>
      <c r="G962" s="3"/>
      <c r="H962" s="3"/>
      <c r="I962" s="4"/>
      <c r="U962" s="4"/>
      <c r="V962" s="4"/>
    </row>
    <row r="963" ht="14.25" customHeight="1">
      <c r="C963" s="2"/>
      <c r="D963" s="3"/>
      <c r="F963" s="4"/>
      <c r="G963" s="3"/>
      <c r="H963" s="3"/>
      <c r="I963" s="4"/>
      <c r="U963" s="4"/>
      <c r="V963" s="4"/>
    </row>
    <row r="964" ht="14.25" customHeight="1">
      <c r="C964" s="2"/>
      <c r="D964" s="3"/>
      <c r="F964" s="4"/>
      <c r="G964" s="3"/>
      <c r="H964" s="3"/>
      <c r="I964" s="4"/>
      <c r="U964" s="4"/>
      <c r="V964" s="4"/>
    </row>
    <row r="965" ht="14.25" customHeight="1">
      <c r="C965" s="2"/>
      <c r="D965" s="3"/>
      <c r="F965" s="4"/>
      <c r="G965" s="3"/>
      <c r="H965" s="3"/>
      <c r="I965" s="4"/>
      <c r="U965" s="4"/>
      <c r="V965" s="4"/>
    </row>
    <row r="966" ht="14.25" customHeight="1">
      <c r="C966" s="2"/>
      <c r="D966" s="3"/>
      <c r="F966" s="4"/>
      <c r="G966" s="3"/>
      <c r="H966" s="3"/>
      <c r="I966" s="4"/>
      <c r="U966" s="4"/>
      <c r="V966" s="4"/>
    </row>
    <row r="967" ht="14.25" customHeight="1">
      <c r="C967" s="2"/>
      <c r="D967" s="3"/>
      <c r="F967" s="4"/>
      <c r="G967" s="3"/>
      <c r="H967" s="3"/>
      <c r="I967" s="4"/>
      <c r="U967" s="4"/>
      <c r="V967" s="4"/>
    </row>
    <row r="968" ht="14.25" customHeight="1">
      <c r="C968" s="2"/>
      <c r="D968" s="3"/>
      <c r="F968" s="4"/>
      <c r="G968" s="3"/>
      <c r="H968" s="3"/>
      <c r="I968" s="4"/>
      <c r="U968" s="4"/>
      <c r="V968" s="4"/>
    </row>
    <row r="969" ht="14.25" customHeight="1">
      <c r="C969" s="2"/>
      <c r="D969" s="3"/>
      <c r="F969" s="4"/>
      <c r="G969" s="3"/>
      <c r="H969" s="3"/>
      <c r="I969" s="4"/>
      <c r="U969" s="4"/>
      <c r="V969" s="4"/>
    </row>
    <row r="970" ht="14.25" customHeight="1">
      <c r="C970" s="2"/>
      <c r="D970" s="3"/>
      <c r="F970" s="4"/>
      <c r="G970" s="3"/>
      <c r="H970" s="3"/>
      <c r="I970" s="4"/>
      <c r="U970" s="4"/>
      <c r="V970" s="4"/>
    </row>
    <row r="971" ht="14.25" customHeight="1">
      <c r="C971" s="2"/>
      <c r="D971" s="3"/>
      <c r="F971" s="4"/>
      <c r="G971" s="3"/>
      <c r="H971" s="3"/>
      <c r="I971" s="4"/>
      <c r="U971" s="4"/>
      <c r="V971" s="4"/>
    </row>
    <row r="972" ht="14.25" customHeight="1">
      <c r="C972" s="2"/>
      <c r="D972" s="3"/>
      <c r="F972" s="4"/>
      <c r="G972" s="3"/>
      <c r="H972" s="3"/>
      <c r="I972" s="4"/>
      <c r="U972" s="4"/>
      <c r="V972" s="4"/>
    </row>
    <row r="973" ht="14.25" customHeight="1">
      <c r="C973" s="2"/>
      <c r="D973" s="3"/>
      <c r="F973" s="4"/>
      <c r="G973" s="3"/>
      <c r="H973" s="3"/>
      <c r="I973" s="4"/>
      <c r="U973" s="4"/>
      <c r="V973" s="4"/>
    </row>
    <row r="974" ht="14.25" customHeight="1">
      <c r="C974" s="2"/>
      <c r="D974" s="3"/>
      <c r="F974" s="4"/>
      <c r="G974" s="3"/>
      <c r="H974" s="3"/>
      <c r="I974" s="4"/>
      <c r="U974" s="4"/>
      <c r="V974" s="4"/>
    </row>
    <row r="975" ht="14.25" customHeight="1">
      <c r="C975" s="2"/>
      <c r="D975" s="3"/>
      <c r="F975" s="4"/>
      <c r="G975" s="3"/>
      <c r="H975" s="3"/>
      <c r="I975" s="4"/>
      <c r="U975" s="4"/>
      <c r="V975" s="4"/>
    </row>
    <row r="976" ht="14.25" customHeight="1">
      <c r="C976" s="2"/>
      <c r="D976" s="3"/>
      <c r="F976" s="4"/>
      <c r="G976" s="3"/>
      <c r="H976" s="3"/>
      <c r="I976" s="4"/>
      <c r="U976" s="4"/>
      <c r="V976" s="4"/>
    </row>
    <row r="977" ht="14.25" customHeight="1">
      <c r="C977" s="2"/>
      <c r="D977" s="3"/>
      <c r="F977" s="4"/>
      <c r="G977" s="3"/>
      <c r="H977" s="3"/>
      <c r="I977" s="4"/>
      <c r="U977" s="4"/>
      <c r="V977" s="4"/>
    </row>
    <row r="978" ht="14.25" customHeight="1">
      <c r="C978" s="2"/>
      <c r="D978" s="3"/>
      <c r="F978" s="4"/>
      <c r="G978" s="3"/>
      <c r="H978" s="3"/>
      <c r="I978" s="4"/>
      <c r="U978" s="4"/>
      <c r="V978" s="4"/>
    </row>
    <row r="979" ht="14.25" customHeight="1">
      <c r="C979" s="2"/>
      <c r="D979" s="3"/>
      <c r="F979" s="4"/>
      <c r="G979" s="3"/>
      <c r="H979" s="3"/>
      <c r="I979" s="4"/>
      <c r="U979" s="4"/>
      <c r="V979" s="4"/>
    </row>
    <row r="980" ht="14.25" customHeight="1">
      <c r="C980" s="2"/>
      <c r="D980" s="3"/>
      <c r="F980" s="4"/>
      <c r="G980" s="3"/>
      <c r="H980" s="3"/>
      <c r="I980" s="4"/>
      <c r="U980" s="4"/>
      <c r="V980" s="4"/>
    </row>
    <row r="981" ht="14.25" customHeight="1">
      <c r="C981" s="2"/>
      <c r="D981" s="3"/>
      <c r="F981" s="4"/>
      <c r="G981" s="3"/>
      <c r="H981" s="3"/>
      <c r="I981" s="4"/>
      <c r="U981" s="4"/>
      <c r="V981" s="4"/>
    </row>
    <row r="982" ht="14.25" customHeight="1">
      <c r="C982" s="2"/>
      <c r="D982" s="3"/>
      <c r="F982" s="4"/>
      <c r="G982" s="3"/>
      <c r="H982" s="3"/>
      <c r="I982" s="4"/>
      <c r="U982" s="4"/>
      <c r="V982" s="4"/>
    </row>
    <row r="983" ht="14.25" customHeight="1">
      <c r="C983" s="2"/>
      <c r="D983" s="3"/>
      <c r="F983" s="4"/>
      <c r="G983" s="3"/>
      <c r="H983" s="3"/>
      <c r="I983" s="4"/>
      <c r="U983" s="4"/>
      <c r="V983" s="4"/>
    </row>
    <row r="984" ht="14.25" customHeight="1">
      <c r="C984" s="2"/>
      <c r="D984" s="3"/>
      <c r="F984" s="4"/>
      <c r="G984" s="3"/>
      <c r="H984" s="3"/>
      <c r="I984" s="4"/>
      <c r="U984" s="4"/>
      <c r="V984" s="4"/>
    </row>
    <row r="985" ht="14.25" customHeight="1">
      <c r="C985" s="2"/>
      <c r="D985" s="3"/>
      <c r="F985" s="4"/>
      <c r="G985" s="3"/>
      <c r="H985" s="3"/>
      <c r="I985" s="4"/>
      <c r="U985" s="4"/>
      <c r="V985" s="4"/>
    </row>
    <row r="986" ht="14.25" customHeight="1">
      <c r="C986" s="2"/>
      <c r="D986" s="3"/>
      <c r="F986" s="4"/>
      <c r="G986" s="3"/>
      <c r="H986" s="3"/>
      <c r="I986" s="4"/>
      <c r="U986" s="4"/>
      <c r="V986" s="4"/>
    </row>
    <row r="987" ht="14.25" customHeight="1">
      <c r="C987" s="2"/>
      <c r="D987" s="3"/>
      <c r="F987" s="4"/>
      <c r="G987" s="3"/>
      <c r="H987" s="3"/>
      <c r="I987" s="4"/>
      <c r="U987" s="4"/>
      <c r="V987" s="4"/>
    </row>
    <row r="988" ht="14.25" customHeight="1">
      <c r="C988" s="2"/>
      <c r="D988" s="3"/>
      <c r="F988" s="4"/>
      <c r="G988" s="3"/>
      <c r="H988" s="3"/>
      <c r="I988" s="4"/>
      <c r="U988" s="4"/>
      <c r="V988" s="4"/>
    </row>
    <row r="989" ht="14.25" customHeight="1">
      <c r="C989" s="2"/>
      <c r="D989" s="3"/>
      <c r="F989" s="4"/>
      <c r="G989" s="3"/>
      <c r="H989" s="3"/>
      <c r="I989" s="4"/>
      <c r="U989" s="4"/>
      <c r="V989" s="4"/>
    </row>
    <row r="990" ht="14.25" customHeight="1">
      <c r="C990" s="2"/>
      <c r="D990" s="3"/>
      <c r="F990" s="4"/>
      <c r="G990" s="3"/>
      <c r="H990" s="3"/>
      <c r="I990" s="4"/>
      <c r="U990" s="4"/>
      <c r="V990" s="4"/>
    </row>
    <row r="991" ht="14.25" customHeight="1">
      <c r="C991" s="2"/>
      <c r="D991" s="3"/>
      <c r="F991" s="4"/>
      <c r="G991" s="3"/>
      <c r="H991" s="3"/>
      <c r="I991" s="4"/>
      <c r="U991" s="4"/>
      <c r="V991" s="4"/>
    </row>
    <row r="992" ht="14.25" customHeight="1">
      <c r="C992" s="2"/>
      <c r="D992" s="3"/>
      <c r="F992" s="4"/>
      <c r="G992" s="3"/>
      <c r="H992" s="3"/>
      <c r="I992" s="4"/>
      <c r="U992" s="4"/>
      <c r="V992" s="4"/>
    </row>
    <row r="993" ht="14.25" customHeight="1">
      <c r="C993" s="2"/>
      <c r="D993" s="3"/>
      <c r="F993" s="4"/>
      <c r="G993" s="3"/>
      <c r="H993" s="3"/>
      <c r="I993" s="4"/>
      <c r="U993" s="4"/>
      <c r="V993" s="4"/>
    </row>
    <row r="994" ht="14.25" customHeight="1">
      <c r="C994" s="2"/>
      <c r="D994" s="3"/>
      <c r="F994" s="4"/>
      <c r="G994" s="3"/>
      <c r="H994" s="3"/>
      <c r="I994" s="4"/>
      <c r="U994" s="4"/>
      <c r="V994" s="4"/>
    </row>
    <row r="995" ht="14.25" customHeight="1">
      <c r="C995" s="2"/>
      <c r="D995" s="3"/>
      <c r="F995" s="4"/>
      <c r="G995" s="3"/>
      <c r="H995" s="3"/>
      <c r="I995" s="4"/>
      <c r="U995" s="4"/>
      <c r="V995" s="4"/>
    </row>
    <row r="996" ht="14.25" customHeight="1">
      <c r="C996" s="2"/>
      <c r="D996" s="3"/>
      <c r="F996" s="4"/>
      <c r="G996" s="3"/>
      <c r="H996" s="3"/>
      <c r="I996" s="4"/>
      <c r="U996" s="4"/>
      <c r="V996" s="4"/>
    </row>
    <row r="997" ht="14.25" customHeight="1">
      <c r="C997" s="2"/>
      <c r="D997" s="3"/>
      <c r="F997" s="4"/>
      <c r="G997" s="3"/>
      <c r="H997" s="3"/>
      <c r="I997" s="4"/>
      <c r="U997" s="4"/>
      <c r="V997" s="4"/>
    </row>
    <row r="998" ht="14.25" customHeight="1">
      <c r="C998" s="2"/>
      <c r="D998" s="3"/>
      <c r="F998" s="4"/>
      <c r="G998" s="3"/>
      <c r="H998" s="3"/>
      <c r="I998" s="4"/>
      <c r="U998" s="4"/>
      <c r="V998" s="4"/>
    </row>
    <row r="999" ht="14.25" customHeight="1">
      <c r="C999" s="2"/>
      <c r="D999" s="3"/>
      <c r="F999" s="4"/>
      <c r="G999" s="3"/>
      <c r="H999" s="3"/>
      <c r="I999" s="4"/>
      <c r="U999" s="4"/>
      <c r="V999" s="4"/>
    </row>
    <row r="1000" ht="14.25" customHeight="1">
      <c r="C1000" s="2"/>
      <c r="D1000" s="3"/>
      <c r="F1000" s="4"/>
      <c r="G1000" s="3"/>
      <c r="H1000" s="3"/>
      <c r="I1000" s="4"/>
      <c r="U1000" s="4"/>
      <c r="V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2021-11-22T07:46:26Z</dcterms:created>
  <dc:creator>Александр Орлов</dc:creator>
</cp:coreProperties>
</file>