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d.docs.live.net/549bec91a8651c45/Documents/Virginia Tech/4 - Senior - 1st Semester/Fin Modeling In Excel/"/>
    </mc:Choice>
  </mc:AlternateContent>
  <xr:revisionPtr revIDLastSave="409" documentId="8_{14A1F206-585C-422F-BD01-29DCE03D5B79}" xr6:coauthVersionLast="47" xr6:coauthVersionMax="47" xr10:uidLastSave="{3FCC733D-7514-4520-AE00-50094E60E5EE}"/>
  <bookViews>
    <workbookView xWindow="-110" yWindow="-110" windowWidth="22780" windowHeight="14660" xr2:uid="{96BE2333-6D23-4646-B399-25A3C2502586}"/>
  </bookViews>
  <sheets>
    <sheet name="Financial Modeling Co. LLC" sheetId="7" r:id="rId1"/>
  </sheets>
  <definedNames>
    <definedName name="OCFlow">'Financial Modeling Co. LLC'!$B$67</definedName>
    <definedName name="_xlnm.Print_Area" localSheetId="0">'Financial Modeling Co. LLC'!$B$2:$S$293</definedName>
  </definedNames>
  <calcPr calcId="191029" calcMode="autoNoTable" iterate="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34" i="7" l="1"/>
  <c r="E327" i="7"/>
  <c r="E325" i="7"/>
  <c r="E423" i="7"/>
  <c r="J423" i="7"/>
  <c r="E264" i="7"/>
  <c r="L419" i="7"/>
  <c r="F426" i="7"/>
  <c r="K426" i="7"/>
  <c r="E405" i="7" l="1"/>
  <c r="E397" i="7"/>
  <c r="H353" i="7"/>
  <c r="H352" i="7"/>
  <c r="F329" i="7"/>
  <c r="F427" i="7"/>
  <c r="E427" i="7" s="1"/>
  <c r="E426" i="7"/>
  <c r="E424" i="7" l="1"/>
  <c r="E431" i="7" s="1"/>
  <c r="M478" i="7"/>
  <c r="L478" i="7"/>
  <c r="K478" i="7"/>
  <c r="M477" i="7"/>
  <c r="L477" i="7"/>
  <c r="K477" i="7"/>
  <c r="M469" i="7"/>
  <c r="L469" i="7"/>
  <c r="K469" i="7"/>
  <c r="L459" i="7"/>
  <c r="M459" i="7"/>
  <c r="K459" i="7"/>
  <c r="F477" i="7"/>
  <c r="F478" i="7"/>
  <c r="F480" i="7"/>
  <c r="K450" i="7"/>
  <c r="K451" i="7"/>
  <c r="K452" i="7"/>
  <c r="K453" i="7"/>
  <c r="K449" i="7"/>
  <c r="K443" i="7"/>
  <c r="K444" i="7"/>
  <c r="K445" i="7"/>
  <c r="K446" i="7"/>
  <c r="K442" i="7"/>
  <c r="E462" i="7"/>
  <c r="E463" i="7"/>
  <c r="E461" i="7"/>
  <c r="H460" i="7" l="1"/>
  <c r="I460" i="7" s="1"/>
  <c r="G459" i="7"/>
  <c r="I459" i="7"/>
  <c r="H459" i="7"/>
  <c r="E446" i="7"/>
  <c r="E445" i="7"/>
  <c r="E444" i="7"/>
  <c r="E443" i="7"/>
  <c r="E442" i="7"/>
  <c r="C474" i="7"/>
  <c r="C468" i="7"/>
  <c r="C471" i="7"/>
  <c r="C470" i="7"/>
  <c r="C484" i="7"/>
  <c r="C475" i="7"/>
  <c r="C486" i="7"/>
  <c r="C465" i="7"/>
  <c r="C461" i="7"/>
  <c r="C482" i="7"/>
  <c r="C472" i="7"/>
  <c r="C473" i="7"/>
  <c r="C483" i="7"/>
  <c r="C462" i="7"/>
  <c r="C476" i="7"/>
  <c r="C479" i="7"/>
  <c r="C469" i="7"/>
  <c r="C478" i="7"/>
  <c r="C477" i="7"/>
  <c r="C480" i="7"/>
  <c r="C467" i="7"/>
  <c r="C464" i="7"/>
  <c r="C487" i="7"/>
  <c r="C463" i="7"/>
  <c r="Q443" i="7"/>
  <c r="C466" i="7"/>
  <c r="E452" i="7" l="1"/>
  <c r="E453" i="7" s="1"/>
  <c r="E450" i="7"/>
  <c r="I448" i="7"/>
  <c r="J448" i="7" s="1"/>
  <c r="M441" i="7"/>
  <c r="O441" i="7"/>
  <c r="E433" i="7"/>
  <c r="E163" i="7"/>
  <c r="F428" i="7"/>
  <c r="E428" i="7" s="1"/>
  <c r="E174" i="7" s="1"/>
  <c r="H429" i="7"/>
  <c r="I427" i="7"/>
  <c r="I428" i="7"/>
  <c r="I426" i="7"/>
  <c r="H427" i="7"/>
  <c r="H428" i="7"/>
  <c r="H426" i="7"/>
  <c r="C452" i="7"/>
  <c r="C450" i="7"/>
  <c r="C453" i="7"/>
  <c r="E429" i="7" l="1"/>
  <c r="G430" i="7" s="1"/>
  <c r="G448" i="7"/>
  <c r="F448" i="7" s="1"/>
  <c r="E449" i="7"/>
  <c r="O448" i="7"/>
  <c r="P441" i="7"/>
  <c r="P448" i="7" s="1"/>
  <c r="L441" i="7"/>
  <c r="L448" i="7" s="1"/>
  <c r="M448" i="7"/>
  <c r="I441" i="7"/>
  <c r="J441" i="7" s="1"/>
  <c r="G441" i="7"/>
  <c r="F441" i="7" s="1"/>
  <c r="G429" i="7"/>
  <c r="G428" i="7"/>
  <c r="G427" i="7"/>
  <c r="G426" i="7"/>
  <c r="E422" i="7"/>
  <c r="E402" i="7"/>
  <c r="E403" i="7" s="1"/>
  <c r="E401" i="7"/>
  <c r="E400" i="7"/>
  <c r="E398" i="7"/>
  <c r="E396" i="7"/>
  <c r="E395" i="7"/>
  <c r="E393" i="7"/>
  <c r="E392" i="7"/>
  <c r="E391" i="7"/>
  <c r="E390" i="7"/>
  <c r="E152" i="7" l="1"/>
  <c r="E432" i="7"/>
  <c r="E434" i="7" s="1"/>
  <c r="E435" i="7" s="1"/>
  <c r="E386" i="7"/>
  <c r="E385" i="7"/>
  <c r="E383" i="7"/>
  <c r="E382" i="7"/>
  <c r="E381" i="7"/>
  <c r="E380" i="7"/>
  <c r="E379" i="7"/>
  <c r="E300" i="7" l="1"/>
  <c r="G299" i="7"/>
  <c r="H299" i="7"/>
  <c r="I299" i="7"/>
  <c r="J299" i="7"/>
  <c r="F299" i="7"/>
  <c r="E321" i="7"/>
  <c r="E332" i="7"/>
  <c r="E309" i="7"/>
  <c r="E301" i="7"/>
  <c r="H326" i="7" l="1"/>
  <c r="I326" i="7"/>
  <c r="G326" i="7"/>
  <c r="E324" i="7"/>
  <c r="E323" i="7"/>
  <c r="I292" i="7"/>
  <c r="J292" i="7" s="1"/>
  <c r="H292" i="7"/>
  <c r="F284" i="7"/>
  <c r="F218" i="7"/>
  <c r="F198" i="7"/>
  <c r="E290" i="7"/>
  <c r="F290" i="7" s="1"/>
  <c r="E285" i="7"/>
  <c r="F285" i="7"/>
  <c r="E280" i="7"/>
  <c r="E275" i="7"/>
  <c r="F275" i="7" s="1"/>
  <c r="F277" i="7"/>
  <c r="E270" i="7"/>
  <c r="F270" i="7" s="1"/>
  <c r="F272" i="7"/>
  <c r="E265" i="7"/>
  <c r="F265" i="7" s="1"/>
  <c r="F267" i="7" s="1"/>
  <c r="E238" i="7"/>
  <c r="F238" i="7" s="1"/>
  <c r="F240" i="7"/>
  <c r="E233" i="7"/>
  <c r="F233" i="7" s="1"/>
  <c r="F235" i="7"/>
  <c r="E226" i="7"/>
  <c r="F226" i="7" s="1"/>
  <c r="F228" i="7"/>
  <c r="E219" i="7"/>
  <c r="F219" i="7" s="1"/>
  <c r="F221" i="7"/>
  <c r="E214" i="7"/>
  <c r="F214" i="7" s="1"/>
  <c r="F213" i="7" s="1"/>
  <c r="F216" i="7"/>
  <c r="E209" i="7"/>
  <c r="F209" i="7" s="1"/>
  <c r="F211" i="7"/>
  <c r="E204" i="7"/>
  <c r="F204" i="7" s="1"/>
  <c r="F206" i="7"/>
  <c r="E199" i="7"/>
  <c r="F199" i="7" s="1"/>
  <c r="F201" i="7"/>
  <c r="F118" i="7"/>
  <c r="E119" i="7"/>
  <c r="F119" i="7" s="1"/>
  <c r="D6" i="7"/>
  <c r="G29" i="7"/>
  <c r="H29" i="7"/>
  <c r="I29" i="7"/>
  <c r="J29" i="7"/>
  <c r="G42" i="7"/>
  <c r="H42" i="7"/>
  <c r="I42" i="7"/>
  <c r="J42" i="7"/>
  <c r="G51" i="7"/>
  <c r="H51" i="7"/>
  <c r="I51" i="7"/>
  <c r="J51" i="7"/>
  <c r="G65" i="7"/>
  <c r="H65" i="7"/>
  <c r="I65" i="7"/>
  <c r="J65" i="7"/>
  <c r="G78" i="7"/>
  <c r="H78" i="7"/>
  <c r="I78" i="7"/>
  <c r="J78" i="7"/>
  <c r="G85" i="7"/>
  <c r="H85" i="7"/>
  <c r="I85" i="7"/>
  <c r="J85" i="7"/>
  <c r="G95" i="7"/>
  <c r="H95" i="7"/>
  <c r="I95" i="7"/>
  <c r="J95" i="7"/>
  <c r="G101" i="7"/>
  <c r="H101" i="7"/>
  <c r="I101" i="7"/>
  <c r="J101" i="7"/>
  <c r="G108" i="7"/>
  <c r="H108" i="7"/>
  <c r="I108" i="7"/>
  <c r="J108" i="7"/>
  <c r="G123" i="7"/>
  <c r="H123" i="7"/>
  <c r="I123" i="7"/>
  <c r="J123" i="7"/>
  <c r="G130" i="7"/>
  <c r="H130" i="7"/>
  <c r="I130" i="7"/>
  <c r="J130" i="7"/>
  <c r="G137" i="7"/>
  <c r="H137" i="7"/>
  <c r="I137" i="7"/>
  <c r="J137" i="7"/>
  <c r="G139" i="7"/>
  <c r="H139" i="7"/>
  <c r="I139" i="7" s="1"/>
  <c r="G140" i="7"/>
  <c r="H140" i="7"/>
  <c r="I140" i="7" s="1"/>
  <c r="G154" i="7"/>
  <c r="G165" i="7"/>
  <c r="H165" i="7"/>
  <c r="G176" i="7"/>
  <c r="G186" i="7"/>
  <c r="G192" i="7"/>
  <c r="H192" i="7"/>
  <c r="I192" i="7"/>
  <c r="J192" i="7"/>
  <c r="G194" i="7"/>
  <c r="H194" i="7"/>
  <c r="I194" i="7"/>
  <c r="J194" i="7"/>
  <c r="G223" i="7"/>
  <c r="H223" i="7"/>
  <c r="G231" i="7"/>
  <c r="H231" i="7"/>
  <c r="I231" i="7"/>
  <c r="J231" i="7"/>
  <c r="G242" i="7"/>
  <c r="H242" i="7"/>
  <c r="G245" i="7"/>
  <c r="H245" i="7"/>
  <c r="I245" i="7"/>
  <c r="J245" i="7"/>
  <c r="G246" i="7"/>
  <c r="G43" i="7" s="1"/>
  <c r="H246" i="7"/>
  <c r="G251" i="7"/>
  <c r="G44" i="7" s="1"/>
  <c r="H251" i="7"/>
  <c r="G257" i="7"/>
  <c r="G46" i="7" s="1"/>
  <c r="H257" i="7"/>
  <c r="G263" i="7"/>
  <c r="H263" i="7"/>
  <c r="I263" i="7"/>
  <c r="J263" i="7"/>
  <c r="L246" i="7"/>
  <c r="E184" i="7"/>
  <c r="F203" i="7" l="1"/>
  <c r="G204" i="7"/>
  <c r="F205" i="7"/>
  <c r="G219" i="7"/>
  <c r="F220" i="7"/>
  <c r="F225" i="7"/>
  <c r="G226" i="7"/>
  <c r="F227" i="7"/>
  <c r="F232" i="7"/>
  <c r="G233" i="7"/>
  <c r="F234" i="7"/>
  <c r="G238" i="7"/>
  <c r="F239" i="7"/>
  <c r="G265" i="7"/>
  <c r="F266" i="7"/>
  <c r="F269" i="7"/>
  <c r="G270" i="7"/>
  <c r="F271" i="7"/>
  <c r="F274" i="7"/>
  <c r="G275" i="7"/>
  <c r="F276" i="7"/>
  <c r="G285" i="7"/>
  <c r="F286" i="7"/>
  <c r="F287" i="7"/>
  <c r="G214" i="7"/>
  <c r="F215" i="7"/>
  <c r="F264" i="7"/>
  <c r="F52" i="7" s="1"/>
  <c r="G199" i="7"/>
  <c r="F200" i="7"/>
  <c r="F208" i="7"/>
  <c r="G209" i="7"/>
  <c r="F210" i="7"/>
  <c r="F120" i="7"/>
  <c r="G119" i="7"/>
  <c r="F121" i="7"/>
  <c r="F292" i="7"/>
  <c r="F289" i="7"/>
  <c r="G290" i="7"/>
  <c r="F291" i="7"/>
  <c r="F237" i="7"/>
  <c r="H44" i="7"/>
  <c r="I251" i="7"/>
  <c r="H154" i="7"/>
  <c r="H43" i="7"/>
  <c r="I246" i="7"/>
  <c r="I186" i="7"/>
  <c r="I154" i="7"/>
  <c r="J140" i="7"/>
  <c r="H46" i="7"/>
  <c r="I257" i="7"/>
  <c r="I242" i="7"/>
  <c r="J139" i="7"/>
  <c r="I165" i="7"/>
  <c r="I176" i="7"/>
  <c r="I223" i="7"/>
  <c r="H186" i="7"/>
  <c r="H176" i="7"/>
  <c r="F171" i="7"/>
  <c r="F160" i="7"/>
  <c r="F149" i="7"/>
  <c r="F257" i="7"/>
  <c r="F251" i="7"/>
  <c r="F246" i="7"/>
  <c r="F176" i="7"/>
  <c r="F165" i="7"/>
  <c r="F186" i="7"/>
  <c r="F182" i="7"/>
  <c r="F154" i="7"/>
  <c r="C168" i="7"/>
  <c r="C170" i="7"/>
  <c r="C15" i="7"/>
  <c r="C132" i="7"/>
  <c r="C127" i="7"/>
  <c r="C126" i="7"/>
  <c r="C149" i="7"/>
  <c r="C184" i="7"/>
  <c r="C151" i="7"/>
  <c r="C177" i="7"/>
  <c r="C146" i="7"/>
  <c r="C187" i="7"/>
  <c r="C71" i="7"/>
  <c r="C160" i="7"/>
  <c r="C145" i="7"/>
  <c r="C179" i="7"/>
  <c r="C189" i="7"/>
  <c r="C153" i="7"/>
  <c r="C164" i="7"/>
  <c r="C143" i="7"/>
  <c r="C159" i="7"/>
  <c r="C175" i="7"/>
  <c r="C174" i="7"/>
  <c r="C125" i="7"/>
  <c r="C163" i="7"/>
  <c r="C154" i="7"/>
  <c r="C115" i="7"/>
  <c r="C185" i="7"/>
  <c r="C186" i="7"/>
  <c r="C173" i="7"/>
  <c r="C128" i="7"/>
  <c r="C150" i="7"/>
  <c r="C171" i="7"/>
  <c r="C162" i="7"/>
  <c r="C148" i="7"/>
  <c r="C172" i="7"/>
  <c r="C133" i="7"/>
  <c r="C182" i="7"/>
  <c r="C155" i="7"/>
  <c r="C165" i="7"/>
  <c r="C246" i="7"/>
  <c r="C131" i="7"/>
  <c r="C251" i="7"/>
  <c r="C144" i="7"/>
  <c r="C183" i="7"/>
  <c r="C161" i="7"/>
  <c r="C124" i="7"/>
  <c r="C152" i="7"/>
  <c r="C134" i="7"/>
  <c r="C157" i="7"/>
  <c r="C256" i="7"/>
  <c r="C176" i="7"/>
  <c r="C166" i="7"/>
  <c r="C257" i="7"/>
  <c r="F300" i="7" l="1"/>
  <c r="E339" i="7"/>
  <c r="G237" i="7"/>
  <c r="G240" i="7"/>
  <c r="H238" i="7"/>
  <c r="G239" i="7"/>
  <c r="G218" i="7"/>
  <c r="G221" i="7"/>
  <c r="G220" i="7"/>
  <c r="H219" i="7"/>
  <c r="G213" i="7"/>
  <c r="G216" i="7"/>
  <c r="G215" i="7"/>
  <c r="H214" i="7"/>
  <c r="G228" i="7"/>
  <c r="H226" i="7"/>
  <c r="G225" i="7"/>
  <c r="G227" i="7"/>
  <c r="G274" i="7"/>
  <c r="G277" i="7"/>
  <c r="H275" i="7"/>
  <c r="G276" i="7"/>
  <c r="G201" i="7"/>
  <c r="G198" i="7"/>
  <c r="G200" i="7"/>
  <c r="H199" i="7"/>
  <c r="H285" i="7"/>
  <c r="G286" i="7"/>
  <c r="G284" i="7"/>
  <c r="G287" i="7"/>
  <c r="G267" i="7"/>
  <c r="G266" i="7"/>
  <c r="G264" i="7"/>
  <c r="H265" i="7"/>
  <c r="G232" i="7"/>
  <c r="G235" i="7"/>
  <c r="G234" i="7"/>
  <c r="H233" i="7"/>
  <c r="G206" i="7"/>
  <c r="H204" i="7"/>
  <c r="G205" i="7"/>
  <c r="G203" i="7"/>
  <c r="G291" i="7"/>
  <c r="G289" i="7"/>
  <c r="H290" i="7"/>
  <c r="G120" i="7"/>
  <c r="G118" i="7"/>
  <c r="H119" i="7"/>
  <c r="G121" i="7"/>
  <c r="G208" i="7"/>
  <c r="G211" i="7"/>
  <c r="G210" i="7"/>
  <c r="H209" i="7"/>
  <c r="G272" i="7"/>
  <c r="G271" i="7"/>
  <c r="G269" i="7"/>
  <c r="H270" i="7"/>
  <c r="I44" i="7"/>
  <c r="J251" i="7"/>
  <c r="J44" i="7" s="1"/>
  <c r="J242" i="7"/>
  <c r="J165" i="7"/>
  <c r="J176" i="7"/>
  <c r="I46" i="7"/>
  <c r="J257" i="7"/>
  <c r="J46" i="7" s="1"/>
  <c r="J223" i="7"/>
  <c r="I43" i="7"/>
  <c r="J246" i="7"/>
  <c r="J43" i="7" s="1"/>
  <c r="J186" i="7"/>
  <c r="J154" i="7"/>
  <c r="F46" i="7"/>
  <c r="F44" i="7"/>
  <c r="L44" i="7" s="1"/>
  <c r="M46" i="7"/>
  <c r="G111" i="7" s="1"/>
  <c r="F43" i="7"/>
  <c r="L43" i="7" s="1"/>
  <c r="F223" i="7"/>
  <c r="F242" i="7"/>
  <c r="E289" i="7"/>
  <c r="D213" i="7"/>
  <c r="D208" i="7"/>
  <c r="D203" i="7"/>
  <c r="E198" i="7"/>
  <c r="D198" i="7"/>
  <c r="E128" i="7"/>
  <c r="E284" i="7"/>
  <c r="E279" i="7"/>
  <c r="E274" i="7"/>
  <c r="E269" i="7"/>
  <c r="E242" i="7"/>
  <c r="D242" i="7"/>
  <c r="E237" i="7"/>
  <c r="D237" i="7"/>
  <c r="E232" i="7"/>
  <c r="D232" i="7"/>
  <c r="E225" i="7"/>
  <c r="D225" i="7"/>
  <c r="E223" i="7"/>
  <c r="D223" i="7"/>
  <c r="E218" i="7"/>
  <c r="D218" i="7"/>
  <c r="E213" i="7"/>
  <c r="E208" i="7"/>
  <c r="E203" i="7"/>
  <c r="E134" i="7"/>
  <c r="E133" i="7"/>
  <c r="E132" i="7"/>
  <c r="E131" i="7"/>
  <c r="E127" i="7"/>
  <c r="E126" i="7"/>
  <c r="E125" i="7"/>
  <c r="E124" i="7"/>
  <c r="E112" i="7"/>
  <c r="E111" i="7"/>
  <c r="K19" i="7"/>
  <c r="K21" i="7"/>
  <c r="K22" i="7"/>
  <c r="K25" i="7" s="1"/>
  <c r="K23" i="7"/>
  <c r="K24" i="7"/>
  <c r="E88" i="7"/>
  <c r="K17" i="7"/>
  <c r="K18" i="7"/>
  <c r="E71" i="7"/>
  <c r="E110" i="7"/>
  <c r="E109" i="7"/>
  <c r="E118" i="7"/>
  <c r="E117" i="7"/>
  <c r="E116" i="7"/>
  <c r="E115" i="7"/>
  <c r="E106" i="7"/>
  <c r="E105" i="7"/>
  <c r="E104" i="7"/>
  <c r="E103" i="7"/>
  <c r="E102" i="7"/>
  <c r="E97" i="7"/>
  <c r="E96" i="7"/>
  <c r="E91" i="7"/>
  <c r="E90" i="7"/>
  <c r="E89" i="7"/>
  <c r="E87" i="7"/>
  <c r="E50" i="7"/>
  <c r="K49" i="7"/>
  <c r="E49" i="7"/>
  <c r="K47" i="7"/>
  <c r="K46" i="7"/>
  <c r="K45" i="7"/>
  <c r="K44" i="7"/>
  <c r="N46" i="7"/>
  <c r="H111" i="7" s="1"/>
  <c r="N44" i="7"/>
  <c r="M44" i="7"/>
  <c r="K43" i="7"/>
  <c r="K40" i="7"/>
  <c r="K38" i="7"/>
  <c r="K37" i="7"/>
  <c r="K36" i="7"/>
  <c r="K35" i="7"/>
  <c r="K30" i="7"/>
  <c r="K33" i="7"/>
  <c r="K32" i="7"/>
  <c r="K31" i="7"/>
  <c r="K15" i="7"/>
  <c r="K16" i="7"/>
  <c r="E83" i="7"/>
  <c r="E82" i="7"/>
  <c r="E81" i="7"/>
  <c r="D81" i="7"/>
  <c r="E80" i="7"/>
  <c r="D80" i="7"/>
  <c r="E79" i="7"/>
  <c r="D79" i="7"/>
  <c r="E70" i="7"/>
  <c r="E76" i="7"/>
  <c r="E75" i="7"/>
  <c r="E74" i="7"/>
  <c r="E69" i="7"/>
  <c r="E68" i="7"/>
  <c r="P458" i="7"/>
  <c r="E27" i="7"/>
  <c r="B26" i="7"/>
  <c r="E12" i="7"/>
  <c r="L447" i="7"/>
  <c r="H457" i="7"/>
  <c r="C54" i="7"/>
  <c r="C45" i="7"/>
  <c r="C43" i="7"/>
  <c r="C92" i="7"/>
  <c r="C91" i="7"/>
  <c r="C53" i="7"/>
  <c r="C116" i="7"/>
  <c r="C105" i="7"/>
  <c r="C63" i="7"/>
  <c r="C104" i="7"/>
  <c r="C109" i="7"/>
  <c r="C118" i="7"/>
  <c r="C57" i="7"/>
  <c r="C82" i="7"/>
  <c r="C74" i="7"/>
  <c r="C90" i="7"/>
  <c r="C446" i="7"/>
  <c r="C56" i="7"/>
  <c r="C110" i="7"/>
  <c r="C88" i="7"/>
  <c r="C69" i="7"/>
  <c r="C106" i="7"/>
  <c r="C44" i="7"/>
  <c r="C61" i="7"/>
  <c r="C62" i="7"/>
  <c r="C445" i="7"/>
  <c r="C60" i="7"/>
  <c r="D424" i="7"/>
  <c r="C47" i="7"/>
  <c r="C50" i="7"/>
  <c r="C99" i="7"/>
  <c r="C112" i="7"/>
  <c r="C93" i="7"/>
  <c r="C87" i="7"/>
  <c r="C68" i="7"/>
  <c r="C98" i="7"/>
  <c r="C96" i="7"/>
  <c r="C443" i="7"/>
  <c r="C58" i="7"/>
  <c r="H430" i="7"/>
  <c r="I457" i="7"/>
  <c r="F457" i="7"/>
  <c r="Q444" i="7"/>
  <c r="C76" i="7"/>
  <c r="C79" i="7"/>
  <c r="C52" i="7"/>
  <c r="C46" i="7"/>
  <c r="C103" i="7"/>
  <c r="C117" i="7"/>
  <c r="C80" i="7"/>
  <c r="G457" i="7"/>
  <c r="C75" i="7"/>
  <c r="C59" i="7"/>
  <c r="Q445" i="7"/>
  <c r="M429" i="7"/>
  <c r="C49" i="7"/>
  <c r="C55" i="7"/>
  <c r="C111" i="7"/>
  <c r="M428" i="7"/>
  <c r="M427" i="7"/>
  <c r="K429" i="7"/>
  <c r="C70" i="7"/>
  <c r="M426" i="7"/>
  <c r="C81" i="7"/>
  <c r="C102" i="7"/>
  <c r="C83" i="7"/>
  <c r="C97" i="7"/>
  <c r="C89" i="7"/>
  <c r="F32" i="7" l="1"/>
  <c r="L32" i="7" s="1"/>
  <c r="F379" i="7"/>
  <c r="F395" i="7" s="1"/>
  <c r="G300" i="7"/>
  <c r="F301" i="7"/>
  <c r="H264" i="7"/>
  <c r="H267" i="7"/>
  <c r="I265" i="7"/>
  <c r="H266" i="7"/>
  <c r="H201" i="7"/>
  <c r="I199" i="7"/>
  <c r="H198" i="7"/>
  <c r="H200" i="7"/>
  <c r="H216" i="7"/>
  <c r="H213" i="7"/>
  <c r="I214" i="7"/>
  <c r="H215" i="7"/>
  <c r="F53" i="7"/>
  <c r="F21" i="7"/>
  <c r="L21" i="7" s="1"/>
  <c r="F87" i="7" s="1"/>
  <c r="F31" i="7"/>
  <c r="F401" i="7" s="1"/>
  <c r="H272" i="7"/>
  <c r="H269" i="7"/>
  <c r="I270" i="7"/>
  <c r="H271" i="7"/>
  <c r="H211" i="7"/>
  <c r="I209" i="7"/>
  <c r="H208" i="7"/>
  <c r="H210" i="7"/>
  <c r="H291" i="7"/>
  <c r="H289" i="7"/>
  <c r="I290" i="7"/>
  <c r="G52" i="7"/>
  <c r="H277" i="7"/>
  <c r="I275" i="7"/>
  <c r="H274" i="7"/>
  <c r="H276" i="7"/>
  <c r="H240" i="7"/>
  <c r="H237" i="7"/>
  <c r="I238" i="7"/>
  <c r="H239" i="7"/>
  <c r="F58" i="7"/>
  <c r="F22" i="7"/>
  <c r="L22" i="7" s="1"/>
  <c r="F88" i="7" s="1"/>
  <c r="H121" i="7"/>
  <c r="H120" i="7"/>
  <c r="I119" i="7"/>
  <c r="H118" i="7"/>
  <c r="H206" i="7"/>
  <c r="H203" i="7"/>
  <c r="I204" i="7"/>
  <c r="H205" i="7"/>
  <c r="H228" i="7"/>
  <c r="I226" i="7"/>
  <c r="H227" i="7"/>
  <c r="H225" i="7"/>
  <c r="F17" i="7"/>
  <c r="F16" i="7"/>
  <c r="F396" i="7" s="1"/>
  <c r="F55" i="7"/>
  <c r="F18" i="7"/>
  <c r="L18" i="7" s="1"/>
  <c r="F24" i="7"/>
  <c r="L24" i="7" s="1"/>
  <c r="F90" i="7" s="1"/>
  <c r="H235" i="7"/>
  <c r="I233" i="7"/>
  <c r="H234" i="7"/>
  <c r="H232" i="7"/>
  <c r="H218" i="7"/>
  <c r="H221" i="7"/>
  <c r="I219" i="7"/>
  <c r="H220" i="7"/>
  <c r="F23" i="7"/>
  <c r="L23" i="7" s="1"/>
  <c r="F89" i="7" s="1"/>
  <c r="F37" i="7"/>
  <c r="H284" i="7"/>
  <c r="H287" i="7"/>
  <c r="H286" i="7"/>
  <c r="I285" i="7"/>
  <c r="O44" i="7"/>
  <c r="N43" i="7"/>
  <c r="H110" i="7" s="1"/>
  <c r="O46" i="7"/>
  <c r="I111" i="7" s="1"/>
  <c r="P46" i="7"/>
  <c r="J111" i="7" s="1"/>
  <c r="F110" i="7"/>
  <c r="L46" i="7"/>
  <c r="F111" i="7" s="1"/>
  <c r="M43" i="7"/>
  <c r="G110" i="7" s="1"/>
  <c r="E92" i="7"/>
  <c r="E93" i="7" s="1"/>
  <c r="E98" i="7" s="1"/>
  <c r="E99" i="7"/>
  <c r="K27" i="7"/>
  <c r="R423" i="7"/>
  <c r="F397" i="7" l="1"/>
  <c r="F398" i="7" s="1"/>
  <c r="L17" i="7"/>
  <c r="F391" i="7"/>
  <c r="F54" i="7"/>
  <c r="F390" i="7"/>
  <c r="F400" i="7" s="1"/>
  <c r="F402" i="7" s="1"/>
  <c r="F403" i="7" s="1"/>
  <c r="F80" i="7"/>
  <c r="G58" i="7"/>
  <c r="G379" i="7"/>
  <c r="G395" i="7" s="1"/>
  <c r="H300" i="7"/>
  <c r="G301" i="7"/>
  <c r="G53" i="7"/>
  <c r="F25" i="7"/>
  <c r="G22" i="7"/>
  <c r="M22" i="7" s="1"/>
  <c r="G88" i="7" s="1"/>
  <c r="L31" i="7"/>
  <c r="G55" i="7"/>
  <c r="G18" i="7"/>
  <c r="M18" i="7" s="1"/>
  <c r="G21" i="7"/>
  <c r="M21" i="7" s="1"/>
  <c r="G87" i="7" s="1"/>
  <c r="G32" i="7"/>
  <c r="M32" i="7" s="1"/>
  <c r="G31" i="7"/>
  <c r="I198" i="7"/>
  <c r="J199" i="7"/>
  <c r="I200" i="7"/>
  <c r="I201" i="7"/>
  <c r="I287" i="7"/>
  <c r="I284" i="7"/>
  <c r="J285" i="7"/>
  <c r="I286" i="7"/>
  <c r="J219" i="7"/>
  <c r="I220" i="7"/>
  <c r="I218" i="7"/>
  <c r="I221" i="7"/>
  <c r="F79" i="7"/>
  <c r="L16" i="7"/>
  <c r="I225" i="7"/>
  <c r="J226" i="7"/>
  <c r="I227" i="7"/>
  <c r="I228" i="7"/>
  <c r="I203" i="7"/>
  <c r="J204" i="7"/>
  <c r="I205" i="7"/>
  <c r="I206" i="7"/>
  <c r="J119" i="7"/>
  <c r="I118" i="7"/>
  <c r="I121" i="7"/>
  <c r="I120" i="7"/>
  <c r="G23" i="7"/>
  <c r="M23" i="7" s="1"/>
  <c r="G37" i="7"/>
  <c r="H52" i="7"/>
  <c r="F75" i="7"/>
  <c r="L37" i="7"/>
  <c r="J233" i="7"/>
  <c r="I234" i="7"/>
  <c r="I235" i="7"/>
  <c r="I232" i="7"/>
  <c r="J275" i="7"/>
  <c r="I276" i="7"/>
  <c r="I277" i="7"/>
  <c r="I274" i="7"/>
  <c r="I289" i="7"/>
  <c r="J290" i="7"/>
  <c r="I291" i="7"/>
  <c r="I269" i="7"/>
  <c r="J270" i="7"/>
  <c r="I271" i="7"/>
  <c r="I272" i="7"/>
  <c r="G17" i="7"/>
  <c r="J238" i="7"/>
  <c r="I239" i="7"/>
  <c r="I240" i="7"/>
  <c r="I237" i="7"/>
  <c r="G16" i="7"/>
  <c r="G396" i="7" s="1"/>
  <c r="G24" i="7"/>
  <c r="J209" i="7"/>
  <c r="I210" i="7"/>
  <c r="I211" i="7"/>
  <c r="I208" i="7"/>
  <c r="J214" i="7"/>
  <c r="I215" i="7"/>
  <c r="I216" i="7"/>
  <c r="I213" i="7"/>
  <c r="J265" i="7"/>
  <c r="I266" i="7"/>
  <c r="I264" i="7"/>
  <c r="I267" i="7"/>
  <c r="P44" i="7"/>
  <c r="P43" i="7"/>
  <c r="J110" i="7" s="1"/>
  <c r="O43" i="7"/>
  <c r="I110" i="7" s="1"/>
  <c r="L25" i="7"/>
  <c r="E418" i="7"/>
  <c r="E47" i="7"/>
  <c r="E38" i="7"/>
  <c r="E25" i="7"/>
  <c r="E19" i="7"/>
  <c r="E42" i="7"/>
  <c r="B486" i="7"/>
  <c r="B468" i="7"/>
  <c r="B467" i="7"/>
  <c r="B466" i="7"/>
  <c r="B476" i="7"/>
  <c r="B477" i="7"/>
  <c r="B478" i="7"/>
  <c r="B479" i="7"/>
  <c r="B474" i="7"/>
  <c r="B471" i="7"/>
  <c r="B472" i="7"/>
  <c r="B473" i="7"/>
  <c r="B462" i="7"/>
  <c r="B487" i="7"/>
  <c r="B483" i="7"/>
  <c r="B482" i="7"/>
  <c r="B463" i="7"/>
  <c r="B461" i="7"/>
  <c r="K423" i="7"/>
  <c r="N462" i="7"/>
  <c r="L395" i="7"/>
  <c r="E467" i="7"/>
  <c r="E487" i="7"/>
  <c r="D429" i="7"/>
  <c r="N479" i="7"/>
  <c r="L426" i="7"/>
  <c r="N471" i="7"/>
  <c r="K454" i="7"/>
  <c r="N483" i="7"/>
  <c r="E466" i="7"/>
  <c r="E482" i="7"/>
  <c r="K424" i="7"/>
  <c r="P462" i="7"/>
  <c r="N426" i="7"/>
  <c r="Q449" i="7"/>
  <c r="E478" i="7"/>
  <c r="F440" i="7"/>
  <c r="F434" i="7"/>
  <c r="E486" i="7"/>
  <c r="N463" i="7"/>
  <c r="K428" i="7"/>
  <c r="K434" i="7"/>
  <c r="N477" i="7"/>
  <c r="D427" i="7"/>
  <c r="N467" i="7"/>
  <c r="E471" i="7"/>
  <c r="N468" i="7"/>
  <c r="N472" i="7"/>
  <c r="E470" i="7"/>
  <c r="K436" i="7"/>
  <c r="E440" i="7"/>
  <c r="E477" i="7"/>
  <c r="N428" i="7"/>
  <c r="E473" i="7"/>
  <c r="F454" i="7"/>
  <c r="L427" i="7"/>
  <c r="K427" i="7"/>
  <c r="L428" i="7"/>
  <c r="P461" i="7"/>
  <c r="K432" i="7"/>
  <c r="P426" i="7"/>
  <c r="N486" i="7"/>
  <c r="P463" i="7"/>
  <c r="L429" i="7"/>
  <c r="N487" i="7"/>
  <c r="N474" i="7"/>
  <c r="E472" i="7"/>
  <c r="Q448" i="7"/>
  <c r="P428" i="7"/>
  <c r="E479" i="7"/>
  <c r="N470" i="7"/>
  <c r="E483" i="7"/>
  <c r="Q442" i="7"/>
  <c r="N466" i="7"/>
  <c r="N473" i="7"/>
  <c r="K422" i="7"/>
  <c r="Q446" i="7"/>
  <c r="E476" i="7"/>
  <c r="P427" i="7"/>
  <c r="P429" i="7"/>
  <c r="F423" i="7"/>
  <c r="N429" i="7"/>
  <c r="D426" i="7"/>
  <c r="K431" i="7"/>
  <c r="N482" i="7"/>
  <c r="E474" i="7"/>
  <c r="J440" i="7"/>
  <c r="E468" i="7"/>
  <c r="F431" i="7"/>
  <c r="K433" i="7"/>
  <c r="C442" i="7"/>
  <c r="N476" i="7"/>
  <c r="F433" i="7"/>
  <c r="F422" i="7"/>
  <c r="N478" i="7"/>
  <c r="D428" i="7"/>
  <c r="C449" i="7"/>
  <c r="F432" i="7"/>
  <c r="N427" i="7"/>
  <c r="N461" i="7"/>
  <c r="G397" i="7" l="1"/>
  <c r="G398" i="7" s="1"/>
  <c r="M31" i="7"/>
  <c r="G401" i="7"/>
  <c r="F392" i="7"/>
  <c r="F393" i="7" s="1"/>
  <c r="F405" i="7" s="1"/>
  <c r="G54" i="7"/>
  <c r="G390" i="7"/>
  <c r="G400" i="7" s="1"/>
  <c r="M17" i="7"/>
  <c r="G391" i="7"/>
  <c r="F81" i="7"/>
  <c r="F82" i="7" s="1"/>
  <c r="F83" i="7" s="1"/>
  <c r="F97" i="7" s="1"/>
  <c r="H31" i="7"/>
  <c r="H379" i="7"/>
  <c r="H395" i="7" s="1"/>
  <c r="I300" i="7"/>
  <c r="H301" i="7"/>
  <c r="H18" i="7"/>
  <c r="N18" i="7" s="1"/>
  <c r="H17" i="7"/>
  <c r="H16" i="7"/>
  <c r="H24" i="7"/>
  <c r="N24" i="7" s="1"/>
  <c r="H90" i="7" s="1"/>
  <c r="I52" i="7"/>
  <c r="H53" i="7"/>
  <c r="H22" i="7"/>
  <c r="N22" i="7" s="1"/>
  <c r="H88" i="7" s="1"/>
  <c r="G80" i="7"/>
  <c r="G89" i="7"/>
  <c r="J280" i="7"/>
  <c r="J215" i="7"/>
  <c r="J213" i="7"/>
  <c r="J216" i="7"/>
  <c r="J198" i="7"/>
  <c r="J200" i="7"/>
  <c r="J201" i="7"/>
  <c r="J232" i="7"/>
  <c r="J234" i="7"/>
  <c r="J235" i="7"/>
  <c r="H58" i="7"/>
  <c r="H23" i="7"/>
  <c r="N23" i="7" s="1"/>
  <c r="H89" i="7" s="1"/>
  <c r="H37" i="7"/>
  <c r="H55" i="7"/>
  <c r="J203" i="7"/>
  <c r="J205" i="7"/>
  <c r="J206" i="7"/>
  <c r="J225" i="7"/>
  <c r="J227" i="7"/>
  <c r="J228" i="7"/>
  <c r="J220" i="7"/>
  <c r="J218" i="7"/>
  <c r="J221" i="7"/>
  <c r="G25" i="7"/>
  <c r="M24" i="7"/>
  <c r="G90" i="7" s="1"/>
  <c r="H32" i="7"/>
  <c r="N32" i="7" s="1"/>
  <c r="J118" i="7"/>
  <c r="J120" i="7"/>
  <c r="J121" i="7"/>
  <c r="H21" i="7"/>
  <c r="J274" i="7"/>
  <c r="J276" i="7"/>
  <c r="J277" i="7"/>
  <c r="J208" i="7"/>
  <c r="J210" i="7"/>
  <c r="J211" i="7"/>
  <c r="J266" i="7"/>
  <c r="J264" i="7"/>
  <c r="J267" i="7"/>
  <c r="G79" i="7"/>
  <c r="M16" i="7"/>
  <c r="J239" i="7"/>
  <c r="J240" i="7"/>
  <c r="J237" i="7"/>
  <c r="J269" i="7"/>
  <c r="J271" i="7"/>
  <c r="J272" i="7"/>
  <c r="J289" i="7"/>
  <c r="J291" i="7"/>
  <c r="G75" i="7"/>
  <c r="M37" i="7"/>
  <c r="J286" i="7"/>
  <c r="J287" i="7"/>
  <c r="J284" i="7"/>
  <c r="E29" i="7"/>
  <c r="B431" i="7"/>
  <c r="K381" i="7"/>
  <c r="K383" i="7"/>
  <c r="K379" i="7"/>
  <c r="K382" i="7"/>
  <c r="K385" i="7"/>
  <c r="K380" i="7"/>
  <c r="H362" i="7"/>
  <c r="D358" i="7"/>
  <c r="K386" i="7"/>
  <c r="O359" i="7"/>
  <c r="J358" i="7"/>
  <c r="G402" i="7" l="1"/>
  <c r="G403" i="7" s="1"/>
  <c r="N31" i="7"/>
  <c r="H401" i="7"/>
  <c r="N16" i="7"/>
  <c r="H396" i="7"/>
  <c r="H397" i="7" s="1"/>
  <c r="H398" i="7" s="1"/>
  <c r="H54" i="7"/>
  <c r="H390" i="7"/>
  <c r="H400" i="7" s="1"/>
  <c r="N17" i="7"/>
  <c r="H391" i="7"/>
  <c r="G392" i="7"/>
  <c r="G393" i="7" s="1"/>
  <c r="I53" i="7"/>
  <c r="I379" i="7"/>
  <c r="I395" i="7" s="1"/>
  <c r="J300" i="7"/>
  <c r="J301" i="7" s="1"/>
  <c r="E347" i="7" s="1"/>
  <c r="I301" i="7"/>
  <c r="H79" i="7"/>
  <c r="G81" i="7"/>
  <c r="G82" i="7" s="1"/>
  <c r="G83" i="7" s="1"/>
  <c r="G97" i="7" s="1"/>
  <c r="I31" i="7"/>
  <c r="I401" i="7" s="1"/>
  <c r="I32" i="7"/>
  <c r="O32" i="7" s="1"/>
  <c r="J52" i="7"/>
  <c r="F461" i="7" s="1"/>
  <c r="K461" i="7" s="1"/>
  <c r="I22" i="7"/>
  <c r="O22" i="7" s="1"/>
  <c r="I88" i="7" s="1"/>
  <c r="I23" i="7"/>
  <c r="O23" i="7" s="1"/>
  <c r="I55" i="7"/>
  <c r="I58" i="7"/>
  <c r="I24" i="7"/>
  <c r="O24" i="7" s="1"/>
  <c r="I90" i="7" s="1"/>
  <c r="I37" i="7"/>
  <c r="O37" i="7" s="1"/>
  <c r="I16" i="7"/>
  <c r="I18" i="7"/>
  <c r="O18" i="7" s="1"/>
  <c r="I21" i="7"/>
  <c r="O21" i="7" s="1"/>
  <c r="I87" i="7" s="1"/>
  <c r="I17" i="7"/>
  <c r="G280" i="7"/>
  <c r="J282" i="7"/>
  <c r="H280" i="7"/>
  <c r="F280" i="7"/>
  <c r="J279" i="7"/>
  <c r="J281" i="7"/>
  <c r="H80" i="7"/>
  <c r="N21" i="7"/>
  <c r="H25" i="7"/>
  <c r="H75" i="7"/>
  <c r="N37" i="7"/>
  <c r="M25" i="7"/>
  <c r="B428" i="7"/>
  <c r="B427" i="7"/>
  <c r="B426" i="7"/>
  <c r="D419" i="7"/>
  <c r="N353" i="7"/>
  <c r="K373" i="7"/>
  <c r="M352" i="7"/>
  <c r="K374" i="7"/>
  <c r="L369" i="7"/>
  <c r="M353" i="7"/>
  <c r="L392" i="7"/>
  <c r="L405" i="7"/>
  <c r="L368" i="7"/>
  <c r="L370" i="7"/>
  <c r="K372" i="7"/>
  <c r="N352" i="7"/>
  <c r="L461" i="7" l="1"/>
  <c r="M461" i="7"/>
  <c r="H402" i="7"/>
  <c r="H403" i="7" s="1"/>
  <c r="G405" i="7"/>
  <c r="O16" i="7"/>
  <c r="I396" i="7"/>
  <c r="I397" i="7" s="1"/>
  <c r="I398" i="7" s="1"/>
  <c r="O17" i="7"/>
  <c r="I391" i="7"/>
  <c r="I54" i="7"/>
  <c r="I390" i="7"/>
  <c r="I400" i="7" s="1"/>
  <c r="I402" i="7" s="1"/>
  <c r="I403" i="7" s="1"/>
  <c r="H392" i="7"/>
  <c r="H393" i="7" s="1"/>
  <c r="J53" i="7"/>
  <c r="J379" i="7"/>
  <c r="J395" i="7" s="1"/>
  <c r="I75" i="7"/>
  <c r="J16" i="7"/>
  <c r="H81" i="7"/>
  <c r="H82" i="7" s="1"/>
  <c r="H83" i="7" s="1"/>
  <c r="H97" i="7" s="1"/>
  <c r="I80" i="7"/>
  <c r="O31" i="7"/>
  <c r="I79" i="7"/>
  <c r="J23" i="7"/>
  <c r="P23" i="7" s="1"/>
  <c r="J89" i="7" s="1"/>
  <c r="J55" i="7"/>
  <c r="J17" i="7"/>
  <c r="J21" i="7"/>
  <c r="P21" i="7" s="1"/>
  <c r="J18" i="7"/>
  <c r="P18" i="7" s="1"/>
  <c r="J56" i="7"/>
  <c r="J69" i="7" s="1"/>
  <c r="J91" i="7" s="1"/>
  <c r="I25" i="7"/>
  <c r="J31" i="7"/>
  <c r="J401" i="7" s="1"/>
  <c r="J37" i="7"/>
  <c r="J32" i="7"/>
  <c r="P32" i="7" s="1"/>
  <c r="J24" i="7"/>
  <c r="P24" i="7" s="1"/>
  <c r="J90" i="7" s="1"/>
  <c r="J58" i="7"/>
  <c r="J22" i="7"/>
  <c r="P22" i="7" s="1"/>
  <c r="J88" i="7" s="1"/>
  <c r="H281" i="7"/>
  <c r="H279" i="7"/>
  <c r="H56" i="7" s="1"/>
  <c r="H282" i="7"/>
  <c r="I89" i="7"/>
  <c r="O25" i="7"/>
  <c r="G279" i="7"/>
  <c r="G56" i="7" s="1"/>
  <c r="G281" i="7"/>
  <c r="G282" i="7"/>
  <c r="I280" i="7"/>
  <c r="H87" i="7"/>
  <c r="N25" i="7"/>
  <c r="F281" i="7"/>
  <c r="F279" i="7"/>
  <c r="F56" i="7" s="1"/>
  <c r="F282" i="7"/>
  <c r="B346" i="7"/>
  <c r="K299" i="7"/>
  <c r="K296" i="7"/>
  <c r="H405" i="7" l="1"/>
  <c r="P16" i="7"/>
  <c r="J396" i="7"/>
  <c r="J397" i="7" s="1"/>
  <c r="J398" i="7" s="1"/>
  <c r="I392" i="7"/>
  <c r="I393" i="7" s="1"/>
  <c r="I405" i="7" s="1"/>
  <c r="P17" i="7"/>
  <c r="J391" i="7"/>
  <c r="J54" i="7"/>
  <c r="J390" i="7"/>
  <c r="J400" i="7" s="1"/>
  <c r="J402" i="7" s="1"/>
  <c r="J403" i="7" s="1"/>
  <c r="I81" i="7"/>
  <c r="I82" i="7" s="1"/>
  <c r="I83" i="7" s="1"/>
  <c r="I97" i="7" s="1"/>
  <c r="J87" i="7"/>
  <c r="J92" i="7" s="1"/>
  <c r="J93" i="7" s="1"/>
  <c r="J98" i="7" s="1"/>
  <c r="P25" i="7"/>
  <c r="J79" i="7"/>
  <c r="J80" i="7"/>
  <c r="P31" i="7"/>
  <c r="J25" i="7"/>
  <c r="J75" i="7"/>
  <c r="P37" i="7"/>
  <c r="G69" i="7"/>
  <c r="G91" i="7" s="1"/>
  <c r="G92" i="7" s="1"/>
  <c r="G93" i="7" s="1"/>
  <c r="G98" i="7" s="1"/>
  <c r="G57" i="7"/>
  <c r="G59" i="7" s="1"/>
  <c r="G68" i="7" s="1"/>
  <c r="H69" i="7"/>
  <c r="H91" i="7" s="1"/>
  <c r="H92" i="7" s="1"/>
  <c r="H93" i="7" s="1"/>
  <c r="H98" i="7" s="1"/>
  <c r="H57" i="7"/>
  <c r="H59" i="7" s="1"/>
  <c r="H68" i="7" s="1"/>
  <c r="F69" i="7"/>
  <c r="F91" i="7" s="1"/>
  <c r="F92" i="7" s="1"/>
  <c r="F93" i="7" s="1"/>
  <c r="F57" i="7"/>
  <c r="F59" i="7" s="1"/>
  <c r="F68" i="7" s="1"/>
  <c r="I282" i="7"/>
  <c r="I281" i="7"/>
  <c r="I279" i="7"/>
  <c r="I56" i="7" s="1"/>
  <c r="F296" i="7"/>
  <c r="G296" i="7" s="1"/>
  <c r="H296" i="7" s="1"/>
  <c r="I296" i="7" s="1"/>
  <c r="J296" i="7" s="1"/>
  <c r="D389" i="7"/>
  <c r="F388" i="7"/>
  <c r="D388" i="7"/>
  <c r="D377" i="7"/>
  <c r="F376" i="7"/>
  <c r="D376" i="7"/>
  <c r="D364" i="7"/>
  <c r="F363" i="7"/>
  <c r="D363" i="7"/>
  <c r="D360" i="7"/>
  <c r="L357" i="7"/>
  <c r="F357" i="7"/>
  <c r="K356" i="7"/>
  <c r="E356" i="7"/>
  <c r="G348" i="7"/>
  <c r="B347" i="7"/>
  <c r="B339" i="7"/>
  <c r="B324" i="7"/>
  <c r="D295" i="7"/>
  <c r="F294" i="7"/>
  <c r="D294" i="7"/>
  <c r="B292" i="7"/>
  <c r="B291" i="7"/>
  <c r="B290" i="7"/>
  <c r="B287" i="7"/>
  <c r="B286" i="7"/>
  <c r="B285" i="7"/>
  <c r="B282" i="7"/>
  <c r="B281" i="7"/>
  <c r="B280" i="7"/>
  <c r="B277" i="7"/>
  <c r="B276" i="7"/>
  <c r="B275" i="7"/>
  <c r="B272" i="7"/>
  <c r="B271" i="7"/>
  <c r="B270" i="7"/>
  <c r="B267" i="7"/>
  <c r="B266" i="7"/>
  <c r="B265" i="7"/>
  <c r="D263" i="7"/>
  <c r="F262" i="7"/>
  <c r="D262" i="7"/>
  <c r="B260" i="7"/>
  <c r="B259" i="7"/>
  <c r="B258" i="7"/>
  <c r="E257" i="7"/>
  <c r="D257" i="7"/>
  <c r="E256" i="7"/>
  <c r="D256" i="7"/>
  <c r="B254" i="7"/>
  <c r="B253" i="7"/>
  <c r="B252" i="7"/>
  <c r="E251" i="7"/>
  <c r="D251" i="7"/>
  <c r="B249" i="7"/>
  <c r="B248" i="7"/>
  <c r="B247" i="7"/>
  <c r="E246" i="7"/>
  <c r="D246" i="7"/>
  <c r="D245" i="7"/>
  <c r="F244" i="7"/>
  <c r="D244" i="7"/>
  <c r="B240" i="7"/>
  <c r="B239" i="7"/>
  <c r="B238" i="7"/>
  <c r="B235" i="7"/>
  <c r="B234" i="7"/>
  <c r="B233" i="7"/>
  <c r="D231" i="7"/>
  <c r="F230" i="7"/>
  <c r="D230" i="7"/>
  <c r="B228" i="7"/>
  <c r="B227" i="7"/>
  <c r="B226" i="7"/>
  <c r="B221" i="7"/>
  <c r="B220" i="7"/>
  <c r="B219" i="7"/>
  <c r="B216" i="7"/>
  <c r="B215" i="7"/>
  <c r="B214" i="7"/>
  <c r="B211" i="7"/>
  <c r="B210" i="7"/>
  <c r="B209" i="7"/>
  <c r="B206" i="7"/>
  <c r="B205" i="7"/>
  <c r="B204" i="7"/>
  <c r="B201" i="7"/>
  <c r="B200" i="7"/>
  <c r="B199" i="7"/>
  <c r="D194" i="7"/>
  <c r="D192" i="7"/>
  <c r="F191" i="7"/>
  <c r="D191" i="7"/>
  <c r="D184" i="7"/>
  <c r="B177" i="7"/>
  <c r="B176" i="7"/>
  <c r="B175" i="7"/>
  <c r="D174" i="7"/>
  <c r="B174" i="7"/>
  <c r="B173" i="7"/>
  <c r="B172" i="7"/>
  <c r="B171" i="7"/>
  <c r="B166" i="7"/>
  <c r="B165" i="7"/>
  <c r="B164" i="7"/>
  <c r="D163" i="7"/>
  <c r="B163" i="7"/>
  <c r="B162" i="7"/>
  <c r="B161" i="7"/>
  <c r="B160" i="7"/>
  <c r="D152" i="7"/>
  <c r="B146" i="7"/>
  <c r="B168" i="7" s="1"/>
  <c r="B145" i="7"/>
  <c r="B144" i="7"/>
  <c r="E140" i="7"/>
  <c r="F140" i="7" s="1"/>
  <c r="E139" i="7"/>
  <c r="F139" i="7" s="1"/>
  <c r="D137" i="7"/>
  <c r="F136" i="7"/>
  <c r="D136" i="7"/>
  <c r="B121" i="7"/>
  <c r="B120" i="7"/>
  <c r="B119" i="7"/>
  <c r="D78" i="7"/>
  <c r="D65" i="7"/>
  <c r="K62" i="7"/>
  <c r="K60" i="7"/>
  <c r="B60" i="7"/>
  <c r="B102" i="7" s="1"/>
  <c r="B470" i="7" s="1"/>
  <c r="K58" i="7"/>
  <c r="K56" i="7"/>
  <c r="K55" i="7"/>
  <c r="E54" i="7"/>
  <c r="K53" i="7"/>
  <c r="K52" i="7"/>
  <c r="D51" i="7"/>
  <c r="K50" i="7"/>
  <c r="B49" i="7"/>
  <c r="D47" i="7"/>
  <c r="D42" i="7"/>
  <c r="K41" i="7"/>
  <c r="F41" i="7"/>
  <c r="D41" i="7"/>
  <c r="D38" i="7"/>
  <c r="D33" i="7"/>
  <c r="D29" i="7"/>
  <c r="K28" i="7"/>
  <c r="F28" i="7"/>
  <c r="D28" i="7"/>
  <c r="D25" i="7"/>
  <c r="D19" i="7"/>
  <c r="C8" i="7"/>
  <c r="C9" i="7" s="1"/>
  <c r="F98" i="7" l="1"/>
  <c r="J57" i="7"/>
  <c r="J59" i="7" s="1"/>
  <c r="J68" i="7" s="1"/>
  <c r="J381" i="7" s="1"/>
  <c r="J422" i="7" s="1"/>
  <c r="J392" i="7"/>
  <c r="J393" i="7" s="1"/>
  <c r="J405" i="7" s="1"/>
  <c r="G380" i="7"/>
  <c r="G382" i="7" s="1"/>
  <c r="G381" i="7"/>
  <c r="G383" i="7" s="1"/>
  <c r="H380" i="7"/>
  <c r="H382" i="7" s="1"/>
  <c r="H381" i="7"/>
  <c r="H383" i="7" s="1"/>
  <c r="F380" i="7"/>
  <c r="F382" i="7" s="1"/>
  <c r="F381" i="7"/>
  <c r="F383" i="7" s="1"/>
  <c r="H342" i="7"/>
  <c r="F342" i="7"/>
  <c r="G342" i="7"/>
  <c r="J81" i="7"/>
  <c r="J82" i="7" s="1"/>
  <c r="J83" i="7" s="1"/>
  <c r="J97" i="7" s="1"/>
  <c r="I69" i="7"/>
  <c r="I91" i="7" s="1"/>
  <c r="I92" i="7" s="1"/>
  <c r="I93" i="7" s="1"/>
  <c r="I98" i="7" s="1"/>
  <c r="I57" i="7"/>
  <c r="I59" i="7" s="1"/>
  <c r="I68" i="7" s="1"/>
  <c r="P459" i="7"/>
  <c r="K12" i="7"/>
  <c r="S12" i="7" s="1"/>
  <c r="E419" i="7"/>
  <c r="D27" i="7"/>
  <c r="F12" i="7"/>
  <c r="K257" i="7"/>
  <c r="D40" i="7"/>
  <c r="D49" i="7" s="1"/>
  <c r="K246" i="7"/>
  <c r="B157" i="7"/>
  <c r="B179" i="7"/>
  <c r="G327" i="7"/>
  <c r="E51" i="7"/>
  <c r="E130" i="7"/>
  <c r="K251" i="7"/>
  <c r="E57" i="7"/>
  <c r="K54" i="7"/>
  <c r="E192" i="7"/>
  <c r="E295" i="7"/>
  <c r="E245" i="7"/>
  <c r="E194" i="7"/>
  <c r="E137" i="7"/>
  <c r="E123" i="7"/>
  <c r="E85" i="7"/>
  <c r="E101" i="7"/>
  <c r="E389" i="7"/>
  <c r="E377" i="7"/>
  <c r="E231" i="7"/>
  <c r="E65" i="7"/>
  <c r="E364" i="7"/>
  <c r="E263" i="7"/>
  <c r="E108" i="7"/>
  <c r="E78" i="7"/>
  <c r="E95" i="7"/>
  <c r="H327" i="7"/>
  <c r="I327" i="7" s="1"/>
  <c r="F467" i="7" l="1"/>
  <c r="J383" i="7"/>
  <c r="F462" i="7"/>
  <c r="K462" i="7" s="1"/>
  <c r="J380" i="7"/>
  <c r="J382" i="7" s="1"/>
  <c r="J342" i="7"/>
  <c r="E344" i="7" s="1"/>
  <c r="J424" i="7"/>
  <c r="J431" i="7" s="1"/>
  <c r="I380" i="7"/>
  <c r="I382" i="7" s="1"/>
  <c r="I381" i="7"/>
  <c r="I383" i="7" s="1"/>
  <c r="I342" i="7"/>
  <c r="G12" i="7"/>
  <c r="K29" i="7"/>
  <c r="S29" i="7" s="1"/>
  <c r="K51" i="7"/>
  <c r="K42" i="7"/>
  <c r="S42" i="7" s="1"/>
  <c r="F65" i="7"/>
  <c r="F419" i="7"/>
  <c r="K245" i="7"/>
  <c r="F364" i="7"/>
  <c r="F295" i="7"/>
  <c r="F194" i="7"/>
  <c r="F42" i="7"/>
  <c r="R42" i="7" s="1"/>
  <c r="F51" i="7"/>
  <c r="F192" i="7"/>
  <c r="D50" i="7"/>
  <c r="F389" i="7"/>
  <c r="F108" i="7"/>
  <c r="R12" i="7"/>
  <c r="F263" i="7"/>
  <c r="F95" i="7"/>
  <c r="F123" i="7"/>
  <c r="F130" i="7"/>
  <c r="F101" i="7"/>
  <c r="F29" i="7"/>
  <c r="R29" i="7" s="1"/>
  <c r="F341" i="7"/>
  <c r="F85" i="7"/>
  <c r="F137" i="7"/>
  <c r="F231" i="7"/>
  <c r="L12" i="7"/>
  <c r="L51" i="7" s="1"/>
  <c r="F245" i="7"/>
  <c r="S245" i="7" s="1"/>
  <c r="F377" i="7"/>
  <c r="F78" i="7"/>
  <c r="K57" i="7"/>
  <c r="E59" i="7"/>
  <c r="M467" i="7" l="1"/>
  <c r="L467" i="7"/>
  <c r="K467" i="7"/>
  <c r="L462" i="7"/>
  <c r="M462" i="7"/>
  <c r="M12" i="7"/>
  <c r="M245" i="7" s="1"/>
  <c r="U245" i="7" s="1"/>
  <c r="G341" i="7"/>
  <c r="G377" i="7"/>
  <c r="H12" i="7"/>
  <c r="G389" i="7"/>
  <c r="G364" i="7"/>
  <c r="G295" i="7"/>
  <c r="G419" i="7"/>
  <c r="L29" i="7"/>
  <c r="T29" i="7" s="1"/>
  <c r="L245" i="7"/>
  <c r="T245" i="7" s="1"/>
  <c r="L42" i="7"/>
  <c r="T42" i="7" s="1"/>
  <c r="T12" i="7"/>
  <c r="E61" i="7"/>
  <c r="K59" i="7"/>
  <c r="M29" i="7" l="1"/>
  <c r="U29" i="7" s="1"/>
  <c r="M42" i="7"/>
  <c r="U42" i="7" s="1"/>
  <c r="U12" i="7"/>
  <c r="M51" i="7"/>
  <c r="I12" i="7"/>
  <c r="H364" i="7"/>
  <c r="H377" i="7"/>
  <c r="N12" i="7"/>
  <c r="N51" i="7" s="1"/>
  <c r="H295" i="7"/>
  <c r="H389" i="7"/>
  <c r="H341" i="7"/>
  <c r="H419" i="7"/>
  <c r="E368" i="7"/>
  <c r="E373" i="7" s="1"/>
  <c r="K61" i="7"/>
  <c r="E63" i="7"/>
  <c r="O12" i="7" l="1"/>
  <c r="O42" i="7" s="1"/>
  <c r="J12" i="7"/>
  <c r="I295" i="7"/>
  <c r="I341" i="7"/>
  <c r="N42" i="7"/>
  <c r="I389" i="7"/>
  <c r="I364" i="7"/>
  <c r="I377" i="7"/>
  <c r="N245" i="7"/>
  <c r="N29" i="7"/>
  <c r="I419" i="7"/>
  <c r="K63" i="7"/>
  <c r="P12" i="7" l="1"/>
  <c r="P51" i="7" s="1"/>
  <c r="J295" i="7"/>
  <c r="K295" i="7" s="1"/>
  <c r="J389" i="7"/>
  <c r="O51" i="7"/>
  <c r="O29" i="7"/>
  <c r="O245" i="7"/>
  <c r="J341" i="7"/>
  <c r="J377" i="7"/>
  <c r="J364" i="7"/>
  <c r="J419" i="7"/>
  <c r="P42" i="7" l="1"/>
  <c r="P29" i="7"/>
  <c r="P245" i="7"/>
  <c r="E33" i="7" l="1"/>
  <c r="E40" i="7"/>
  <c r="J326" i="7"/>
  <c r="F330" i="7" s="1"/>
  <c r="F331" i="7" l="1"/>
  <c r="G329" i="7" s="1"/>
  <c r="E308" i="7"/>
  <c r="E372" i="7"/>
  <c r="E374" i="7" s="1"/>
  <c r="G330" i="7" l="1"/>
  <c r="L52" i="7"/>
  <c r="M52" i="7"/>
  <c r="N52" i="7"/>
  <c r="O52" i="7"/>
  <c r="P52" i="7"/>
  <c r="L53" i="7"/>
  <c r="M53" i="7"/>
  <c r="N53" i="7"/>
  <c r="O53" i="7"/>
  <c r="P53" i="7"/>
  <c r="L54" i="7"/>
  <c r="M54" i="7"/>
  <c r="N54" i="7"/>
  <c r="O54" i="7"/>
  <c r="P54" i="7"/>
  <c r="L55" i="7"/>
  <c r="M55" i="7"/>
  <c r="N55" i="7"/>
  <c r="O55" i="7"/>
  <c r="P55" i="7"/>
  <c r="L56" i="7"/>
  <c r="M56" i="7"/>
  <c r="N56" i="7"/>
  <c r="O56" i="7"/>
  <c r="P56" i="7"/>
  <c r="L57" i="7"/>
  <c r="M57" i="7"/>
  <c r="N57" i="7"/>
  <c r="O57" i="7"/>
  <c r="P57" i="7"/>
  <c r="L58" i="7"/>
  <c r="M58" i="7"/>
  <c r="N58" i="7"/>
  <c r="O58" i="7"/>
  <c r="P58" i="7"/>
  <c r="L59" i="7"/>
  <c r="M59" i="7"/>
  <c r="N59" i="7"/>
  <c r="O59" i="7"/>
  <c r="P59" i="7"/>
  <c r="G368" i="7"/>
  <c r="H368" i="7"/>
  <c r="J368" i="7"/>
  <c r="H373" i="7" l="1"/>
  <c r="G373" i="7"/>
  <c r="I368" i="7"/>
  <c r="J373" i="7"/>
  <c r="F368" i="7"/>
  <c r="R422" i="7" l="1"/>
  <c r="F373" i="7"/>
  <c r="I373" i="7"/>
  <c r="M206" i="7"/>
  <c r="K183" i="7"/>
  <c r="M291" i="7"/>
  <c r="K167" i="7"/>
  <c r="K179" i="7"/>
  <c r="F322" i="7"/>
  <c r="K74" i="7"/>
  <c r="C31" i="7"/>
  <c r="K198" i="7"/>
  <c r="K164" i="7"/>
  <c r="M239" i="7"/>
  <c r="M90" i="7"/>
  <c r="H330" i="7"/>
  <c r="M115" i="7"/>
  <c r="R18" i="7"/>
  <c r="K145" i="7"/>
  <c r="C28" i="7"/>
  <c r="L402" i="7"/>
  <c r="R46" i="7"/>
  <c r="M106" i="7"/>
  <c r="M199" i="7"/>
  <c r="L397" i="7"/>
  <c r="R59" i="7"/>
  <c r="K264" i="7"/>
  <c r="C32" i="7"/>
  <c r="C37" i="7"/>
  <c r="S251" i="7"/>
  <c r="C17" i="7"/>
  <c r="M111" i="7"/>
  <c r="U254" i="7"/>
  <c r="K159" i="7"/>
  <c r="M118" i="7"/>
  <c r="M221" i="7"/>
  <c r="M204" i="7"/>
  <c r="R261" i="7"/>
  <c r="F354" i="7"/>
  <c r="M125" i="7"/>
  <c r="K88" i="7"/>
  <c r="K186" i="7"/>
  <c r="S49" i="7"/>
  <c r="C29" i="7"/>
  <c r="M285" i="7"/>
  <c r="K144" i="7"/>
  <c r="M269" i="7"/>
  <c r="K161" i="7"/>
  <c r="K209" i="7"/>
  <c r="E6" i="7"/>
  <c r="K290" i="7"/>
  <c r="K176" i="7"/>
  <c r="K171" i="7"/>
  <c r="K188" i="7"/>
  <c r="S16" i="7"/>
  <c r="M96" i="7"/>
  <c r="M218" i="7"/>
  <c r="M214" i="7"/>
  <c r="K104" i="7"/>
  <c r="K180" i="7"/>
  <c r="K342" i="7"/>
  <c r="M83" i="7"/>
  <c r="M119" i="7"/>
  <c r="R32" i="7"/>
  <c r="M101" i="7"/>
  <c r="M272" i="7"/>
  <c r="K208" i="7"/>
  <c r="T257" i="7"/>
  <c r="M93" i="7"/>
  <c r="K297" i="7"/>
  <c r="F332" i="7"/>
  <c r="J329" i="7"/>
  <c r="M215" i="7"/>
  <c r="K102" i="7"/>
  <c r="R49" i="7"/>
  <c r="S23" i="7"/>
  <c r="L398" i="7"/>
  <c r="K280" i="7"/>
  <c r="S50" i="7"/>
  <c r="M78" i="7"/>
  <c r="K218" i="7"/>
  <c r="S252" i="7"/>
  <c r="C23" i="7"/>
  <c r="E299" i="7"/>
  <c r="F325" i="7"/>
  <c r="M200" i="7"/>
  <c r="K225" i="7"/>
  <c r="M88" i="7"/>
  <c r="F344" i="7"/>
  <c r="K300" i="7"/>
  <c r="R63" i="7"/>
  <c r="M112" i="7"/>
  <c r="K285" i="7"/>
  <c r="S17" i="7"/>
  <c r="C27" i="7"/>
  <c r="K153" i="7"/>
  <c r="R53" i="7"/>
  <c r="K108" i="7"/>
  <c r="M266" i="7"/>
  <c r="H329" i="7"/>
  <c r="S31" i="7"/>
  <c r="K105" i="7"/>
  <c r="R40" i="7"/>
  <c r="F310" i="7"/>
  <c r="M292" i="7"/>
  <c r="M208" i="7"/>
  <c r="K199" i="7"/>
  <c r="M213" i="7"/>
  <c r="M110" i="7"/>
  <c r="S37" i="7"/>
  <c r="M134" i="7"/>
  <c r="M236" i="7"/>
  <c r="M275" i="7"/>
  <c r="K165" i="7"/>
  <c r="K175" i="7"/>
  <c r="L393" i="7"/>
  <c r="K124" i="7"/>
  <c r="K275" i="7"/>
  <c r="M124" i="7"/>
  <c r="S46" i="7"/>
  <c r="K106" i="7"/>
  <c r="K151" i="7"/>
  <c r="M99" i="7"/>
  <c r="J353" i="7"/>
  <c r="C16" i="7"/>
  <c r="S247" i="7"/>
  <c r="S30" i="7"/>
  <c r="M225" i="7"/>
  <c r="K156" i="7"/>
  <c r="M203" i="7"/>
  <c r="K214" i="7"/>
  <c r="F324" i="7"/>
  <c r="K99" i="7"/>
  <c r="J352" i="7"/>
  <c r="K172" i="7"/>
  <c r="S25" i="7"/>
  <c r="S40" i="7"/>
  <c r="R51" i="7"/>
  <c r="M289" i="7"/>
  <c r="M223" i="7"/>
  <c r="L403" i="7"/>
  <c r="R22" i="7"/>
  <c r="K152" i="7"/>
  <c r="M105" i="7"/>
  <c r="M219" i="7"/>
  <c r="M68" i="7"/>
  <c r="T246" i="7"/>
  <c r="U248" i="7"/>
  <c r="C42" i="7"/>
  <c r="K143" i="7"/>
  <c r="S47" i="7"/>
  <c r="R25" i="7"/>
  <c r="M210" i="7"/>
  <c r="K269" i="7"/>
  <c r="R15" i="7"/>
  <c r="M120" i="7"/>
  <c r="R58" i="7"/>
  <c r="U252" i="7"/>
  <c r="T247" i="7"/>
  <c r="M71" i="7"/>
  <c r="C40" i="7"/>
  <c r="S256" i="7"/>
  <c r="M234" i="7"/>
  <c r="T253" i="7"/>
  <c r="K303" i="7"/>
  <c r="K232" i="7"/>
  <c r="F314" i="7"/>
  <c r="F346" i="7"/>
  <c r="M281" i="7"/>
  <c r="M123" i="7"/>
  <c r="T260" i="7"/>
  <c r="K98" i="7"/>
  <c r="S38" i="7"/>
  <c r="K284" i="7"/>
  <c r="K158" i="7"/>
  <c r="K182" i="7"/>
  <c r="K162" i="7"/>
  <c r="T252" i="7"/>
  <c r="K132" i="7"/>
  <c r="M109" i="7"/>
  <c r="L396" i="7"/>
  <c r="K169" i="7"/>
  <c r="M238" i="7"/>
  <c r="M205" i="7"/>
  <c r="F340" i="7"/>
  <c r="K76" i="7"/>
  <c r="R60" i="7"/>
  <c r="S255" i="7"/>
  <c r="M80" i="7"/>
  <c r="S15" i="7"/>
  <c r="M103" i="7"/>
  <c r="M131" i="7"/>
  <c r="K117" i="7"/>
  <c r="M104" i="7"/>
  <c r="R43" i="7"/>
  <c r="M75" i="7"/>
  <c r="K91" i="7"/>
  <c r="S32" i="7"/>
  <c r="U249" i="7"/>
  <c r="K130" i="7"/>
  <c r="S19" i="7"/>
  <c r="K128" i="7"/>
  <c r="K80" i="7"/>
  <c r="R38" i="7"/>
  <c r="M271" i="7"/>
  <c r="R31" i="7"/>
  <c r="K163" i="7"/>
  <c r="S250" i="7"/>
  <c r="K96" i="7"/>
  <c r="M277" i="7"/>
  <c r="T248" i="7"/>
  <c r="R35" i="7"/>
  <c r="S24" i="7"/>
  <c r="U253" i="7"/>
  <c r="M69" i="7"/>
  <c r="T259" i="7"/>
  <c r="M74" i="7"/>
  <c r="K146" i="7"/>
  <c r="K83" i="7"/>
  <c r="K178" i="7"/>
  <c r="K68" i="7"/>
  <c r="F307" i="7"/>
  <c r="K213" i="7"/>
  <c r="R47" i="7"/>
  <c r="K127" i="7"/>
  <c r="T249" i="7"/>
  <c r="S21" i="7"/>
  <c r="M287" i="7"/>
  <c r="S33" i="7"/>
  <c r="K154" i="7"/>
  <c r="K95" i="7"/>
  <c r="R37" i="7"/>
  <c r="K157" i="7"/>
  <c r="J327" i="7"/>
  <c r="R27" i="7"/>
  <c r="M274" i="7"/>
  <c r="K85" i="7"/>
  <c r="R19" i="7"/>
  <c r="M265" i="7"/>
  <c r="M128" i="7"/>
  <c r="K238" i="7"/>
  <c r="R62" i="7"/>
  <c r="R50" i="7"/>
  <c r="F337" i="7"/>
  <c r="M92" i="7"/>
  <c r="M132" i="7"/>
  <c r="R54" i="7"/>
  <c r="C18" i="7"/>
  <c r="M98" i="7"/>
  <c r="M198" i="7"/>
  <c r="K70" i="7"/>
  <c r="M240" i="7"/>
  <c r="M279" i="7"/>
  <c r="C33" i="7"/>
  <c r="C38" i="7"/>
  <c r="M70" i="7"/>
  <c r="K82" i="7"/>
  <c r="S257" i="7"/>
  <c r="F339" i="7"/>
  <c r="S35" i="7"/>
  <c r="M117" i="7"/>
  <c r="K111" i="7"/>
  <c r="M284" i="7"/>
  <c r="M227" i="7"/>
  <c r="K204" i="7"/>
  <c r="S22" i="7"/>
  <c r="K274" i="7"/>
  <c r="K126" i="7"/>
  <c r="K160" i="7"/>
  <c r="K118" i="7"/>
  <c r="R56" i="7"/>
  <c r="K233" i="7"/>
  <c r="S258" i="7"/>
  <c r="C22" i="7"/>
  <c r="F334" i="7"/>
  <c r="S45" i="7"/>
  <c r="K174" i="7"/>
  <c r="M267" i="7"/>
  <c r="F311" i="7"/>
  <c r="K226" i="7"/>
  <c r="S36" i="7"/>
  <c r="K184" i="7"/>
  <c r="K103" i="7"/>
  <c r="R30" i="7"/>
  <c r="R44" i="7"/>
  <c r="K131" i="7"/>
  <c r="K185" i="7"/>
  <c r="F315" i="7"/>
  <c r="M233" i="7"/>
  <c r="K170" i="7"/>
  <c r="K237" i="7"/>
  <c r="F347" i="7"/>
  <c r="M87" i="7"/>
  <c r="K168" i="7"/>
  <c r="K92" i="7"/>
  <c r="K125" i="7"/>
  <c r="M226" i="7"/>
  <c r="M282" i="7"/>
  <c r="F321" i="7"/>
  <c r="K203" i="7"/>
  <c r="R33" i="7"/>
  <c r="J330" i="7"/>
  <c r="M286" i="7"/>
  <c r="K155" i="7"/>
  <c r="F309" i="7"/>
  <c r="R36" i="7"/>
  <c r="L401" i="7"/>
  <c r="K78" i="7"/>
  <c r="M220" i="7"/>
  <c r="R24" i="7"/>
  <c r="S43" i="7"/>
  <c r="K101" i="7"/>
  <c r="K112" i="7"/>
  <c r="C24" i="7"/>
  <c r="M127" i="7"/>
  <c r="M201" i="7"/>
  <c r="C19" i="7"/>
  <c r="K149" i="7"/>
  <c r="K289" i="7"/>
  <c r="K69" i="7"/>
  <c r="K75" i="7"/>
  <c r="K115" i="7"/>
  <c r="U259" i="7"/>
  <c r="M89" i="7"/>
  <c r="K81" i="7"/>
  <c r="K223" i="7"/>
  <c r="M97" i="7"/>
  <c r="R23" i="7"/>
  <c r="F308" i="7"/>
  <c r="S18" i="7"/>
  <c r="M264" i="7"/>
  <c r="R16" i="7"/>
  <c r="C30" i="7"/>
  <c r="S246" i="7"/>
  <c r="K89" i="7"/>
  <c r="K134" i="7"/>
  <c r="K304" i="7"/>
  <c r="K123" i="7"/>
  <c r="K71" i="7"/>
  <c r="C25" i="7"/>
  <c r="C41" i="7"/>
  <c r="C36" i="7"/>
  <c r="T254" i="7"/>
  <c r="K173" i="7"/>
  <c r="K279" i="7"/>
  <c r="M81" i="7"/>
  <c r="F323" i="7"/>
  <c r="K90" i="7"/>
  <c r="L391" i="7"/>
  <c r="R52" i="7"/>
  <c r="K242" i="7"/>
  <c r="M79" i="7"/>
  <c r="R57" i="7"/>
  <c r="F312" i="7"/>
  <c r="M211" i="7"/>
  <c r="K93" i="7"/>
  <c r="M276" i="7"/>
  <c r="S44" i="7"/>
  <c r="M95" i="7"/>
  <c r="M76" i="7"/>
  <c r="K301" i="7"/>
  <c r="K265" i="7"/>
  <c r="K189" i="7"/>
  <c r="R17" i="7"/>
  <c r="T258" i="7"/>
  <c r="M133" i="7"/>
  <c r="R55" i="7"/>
  <c r="K181" i="7"/>
  <c r="U258" i="7"/>
  <c r="M82" i="7"/>
  <c r="M102" i="7"/>
  <c r="M228" i="7"/>
  <c r="M216" i="7"/>
  <c r="M232" i="7"/>
  <c r="M91" i="7"/>
  <c r="T251" i="7"/>
  <c r="K150" i="7"/>
  <c r="L390" i="7"/>
  <c r="K116" i="7"/>
  <c r="K177" i="7"/>
  <c r="K109" i="7"/>
  <c r="F348" i="7"/>
  <c r="M126" i="7"/>
  <c r="L400" i="7"/>
  <c r="M209" i="7"/>
  <c r="M237" i="7"/>
  <c r="L280" i="7"/>
  <c r="M235" i="7"/>
  <c r="K187" i="7"/>
  <c r="M130" i="7"/>
  <c r="U247" i="7"/>
  <c r="M290" i="7"/>
  <c r="K97" i="7"/>
  <c r="R45" i="7"/>
  <c r="K79" i="7"/>
  <c r="K133" i="7"/>
  <c r="K166" i="7"/>
  <c r="M270" i="7"/>
  <c r="K87" i="7"/>
  <c r="M108" i="7"/>
  <c r="R61" i="7"/>
  <c r="C35" i="7"/>
  <c r="K270" i="7"/>
  <c r="S27" i="7"/>
  <c r="K110" i="7"/>
  <c r="M121" i="7"/>
  <c r="R21" i="7"/>
  <c r="U260" i="7"/>
  <c r="M85" i="7"/>
  <c r="K219" i="7"/>
  <c r="F305" i="7"/>
  <c r="D300" i="7"/>
  <c r="M242" i="7"/>
  <c r="C21" i="7"/>
  <c r="F306" i="7"/>
  <c r="R424" i="7" l="1"/>
  <c r="R431" i="7" l="1"/>
  <c r="F15" i="7" l="1"/>
  <c r="G15" i="7"/>
  <c r="H15" i="7"/>
  <c r="I15" i="7"/>
  <c r="J15" i="7"/>
  <c r="L15" i="7"/>
  <c r="M15" i="7"/>
  <c r="N15" i="7"/>
  <c r="O15" i="7"/>
  <c r="P15" i="7"/>
  <c r="F19" i="7"/>
  <c r="G19" i="7"/>
  <c r="H19" i="7"/>
  <c r="I19" i="7"/>
  <c r="J19" i="7"/>
  <c r="L19" i="7"/>
  <c r="M19" i="7"/>
  <c r="N19" i="7"/>
  <c r="O19" i="7"/>
  <c r="P19" i="7"/>
  <c r="F27" i="7"/>
  <c r="G27" i="7"/>
  <c r="H27" i="7"/>
  <c r="I27" i="7"/>
  <c r="J27" i="7"/>
  <c r="L27" i="7"/>
  <c r="M27" i="7"/>
  <c r="N27" i="7"/>
  <c r="O27" i="7"/>
  <c r="P27" i="7"/>
  <c r="F30" i="7"/>
  <c r="G30" i="7"/>
  <c r="H30" i="7"/>
  <c r="I30" i="7"/>
  <c r="J30" i="7"/>
  <c r="L30" i="7"/>
  <c r="M30" i="7"/>
  <c r="N30" i="7"/>
  <c r="O30" i="7"/>
  <c r="P30" i="7"/>
  <c r="F33" i="7"/>
  <c r="G33" i="7"/>
  <c r="H33" i="7"/>
  <c r="I33" i="7"/>
  <c r="J33" i="7"/>
  <c r="L33" i="7"/>
  <c r="M33" i="7"/>
  <c r="N33" i="7"/>
  <c r="O33" i="7"/>
  <c r="P33" i="7"/>
  <c r="F35" i="7"/>
  <c r="G35" i="7"/>
  <c r="H35" i="7"/>
  <c r="I35" i="7"/>
  <c r="J35" i="7"/>
  <c r="L35" i="7"/>
  <c r="M35" i="7"/>
  <c r="N35" i="7"/>
  <c r="O35" i="7"/>
  <c r="P35" i="7"/>
  <c r="F36" i="7"/>
  <c r="G36" i="7"/>
  <c r="H36" i="7"/>
  <c r="I36" i="7"/>
  <c r="J36" i="7"/>
  <c r="L36" i="7"/>
  <c r="M36" i="7"/>
  <c r="N36" i="7"/>
  <c r="O36" i="7"/>
  <c r="P36" i="7"/>
  <c r="F38" i="7"/>
  <c r="G38" i="7"/>
  <c r="H38" i="7"/>
  <c r="I38" i="7"/>
  <c r="J38" i="7"/>
  <c r="L38" i="7"/>
  <c r="M38" i="7"/>
  <c r="N38" i="7"/>
  <c r="O38" i="7"/>
  <c r="P38" i="7"/>
  <c r="F40" i="7"/>
  <c r="G40" i="7"/>
  <c r="H40" i="7"/>
  <c r="I40" i="7"/>
  <c r="J40" i="7"/>
  <c r="L40" i="7"/>
  <c r="M40" i="7"/>
  <c r="N40" i="7"/>
  <c r="O40" i="7"/>
  <c r="P40" i="7"/>
  <c r="F45" i="7"/>
  <c r="G45" i="7"/>
  <c r="H45" i="7"/>
  <c r="I45" i="7"/>
  <c r="J45" i="7"/>
  <c r="L45" i="7"/>
  <c r="M45" i="7"/>
  <c r="N45" i="7"/>
  <c r="O45" i="7"/>
  <c r="P45" i="7"/>
  <c r="F47" i="7"/>
  <c r="G47" i="7"/>
  <c r="H47" i="7"/>
  <c r="I47" i="7"/>
  <c r="J47" i="7"/>
  <c r="L47" i="7"/>
  <c r="M47" i="7"/>
  <c r="N47" i="7"/>
  <c r="O47" i="7"/>
  <c r="P47" i="7"/>
  <c r="F49" i="7"/>
  <c r="G49" i="7"/>
  <c r="H49" i="7"/>
  <c r="I49" i="7"/>
  <c r="J49" i="7"/>
  <c r="L49" i="7"/>
  <c r="M49" i="7"/>
  <c r="N49" i="7"/>
  <c r="O49" i="7"/>
  <c r="P49" i="7"/>
  <c r="F50" i="7"/>
  <c r="G50" i="7"/>
  <c r="H50" i="7"/>
  <c r="I50" i="7"/>
  <c r="J50" i="7"/>
  <c r="F60" i="7"/>
  <c r="G60" i="7"/>
  <c r="H60" i="7"/>
  <c r="I60" i="7"/>
  <c r="J60" i="7"/>
  <c r="L60" i="7"/>
  <c r="M60" i="7"/>
  <c r="N60" i="7"/>
  <c r="O60" i="7"/>
  <c r="P60" i="7"/>
  <c r="F61" i="7"/>
  <c r="G61" i="7"/>
  <c r="H61" i="7"/>
  <c r="I61" i="7"/>
  <c r="J61" i="7"/>
  <c r="L61" i="7"/>
  <c r="M61" i="7"/>
  <c r="N61" i="7"/>
  <c r="O61" i="7"/>
  <c r="P61" i="7"/>
  <c r="F62" i="7"/>
  <c r="G62" i="7"/>
  <c r="H62" i="7"/>
  <c r="I62" i="7"/>
  <c r="J62" i="7"/>
  <c r="L62" i="7"/>
  <c r="M62" i="7"/>
  <c r="N62" i="7"/>
  <c r="O62" i="7"/>
  <c r="P62" i="7"/>
  <c r="F63" i="7"/>
  <c r="G63" i="7"/>
  <c r="H63" i="7"/>
  <c r="I63" i="7"/>
  <c r="J63" i="7"/>
  <c r="L63" i="7"/>
  <c r="M63" i="7"/>
  <c r="N63" i="7"/>
  <c r="O63" i="7"/>
  <c r="P63" i="7"/>
  <c r="F70" i="7"/>
  <c r="G70" i="7"/>
  <c r="H70" i="7"/>
  <c r="I70" i="7"/>
  <c r="J70" i="7"/>
  <c r="F71" i="7"/>
  <c r="G71" i="7"/>
  <c r="H71" i="7"/>
  <c r="I71" i="7"/>
  <c r="J71" i="7"/>
  <c r="F74" i="7"/>
  <c r="G74" i="7"/>
  <c r="H74" i="7"/>
  <c r="I74" i="7"/>
  <c r="J74" i="7"/>
  <c r="F76" i="7"/>
  <c r="G76" i="7"/>
  <c r="H76" i="7"/>
  <c r="I76" i="7"/>
  <c r="J76" i="7"/>
  <c r="F96" i="7"/>
  <c r="G96" i="7"/>
  <c r="H96" i="7"/>
  <c r="I96" i="7"/>
  <c r="J96" i="7"/>
  <c r="F99" i="7"/>
  <c r="G99" i="7"/>
  <c r="H99" i="7"/>
  <c r="I99" i="7"/>
  <c r="J99" i="7"/>
  <c r="F102" i="7"/>
  <c r="G102" i="7"/>
  <c r="H102" i="7"/>
  <c r="I102" i="7"/>
  <c r="J102" i="7"/>
  <c r="F103" i="7"/>
  <c r="G103" i="7"/>
  <c r="H103" i="7"/>
  <c r="I103" i="7"/>
  <c r="J103" i="7"/>
  <c r="F104" i="7"/>
  <c r="G104" i="7"/>
  <c r="H104" i="7"/>
  <c r="I104" i="7"/>
  <c r="J104" i="7"/>
  <c r="F105" i="7"/>
  <c r="G105" i="7"/>
  <c r="H105" i="7"/>
  <c r="I105" i="7"/>
  <c r="J105" i="7"/>
  <c r="F106" i="7"/>
  <c r="G106" i="7"/>
  <c r="H106" i="7"/>
  <c r="I106" i="7"/>
  <c r="J106" i="7"/>
  <c r="F109" i="7"/>
  <c r="G109" i="7"/>
  <c r="H109" i="7"/>
  <c r="I109" i="7"/>
  <c r="J109" i="7"/>
  <c r="F112" i="7"/>
  <c r="G112" i="7"/>
  <c r="H112" i="7"/>
  <c r="I112" i="7"/>
  <c r="J112" i="7"/>
  <c r="F115" i="7"/>
  <c r="G115" i="7"/>
  <c r="H115" i="7"/>
  <c r="I115" i="7"/>
  <c r="J115" i="7"/>
  <c r="F117" i="7"/>
  <c r="G117" i="7"/>
  <c r="H117" i="7"/>
  <c r="I117" i="7"/>
  <c r="J117" i="7"/>
  <c r="F124" i="7"/>
  <c r="G124" i="7"/>
  <c r="H124" i="7"/>
  <c r="I124" i="7"/>
  <c r="J124" i="7"/>
  <c r="F125" i="7"/>
  <c r="G125" i="7"/>
  <c r="H125" i="7"/>
  <c r="I125" i="7"/>
  <c r="J125" i="7"/>
  <c r="F126" i="7"/>
  <c r="G126" i="7"/>
  <c r="H126" i="7"/>
  <c r="I126" i="7"/>
  <c r="J126" i="7"/>
  <c r="F127" i="7"/>
  <c r="G127" i="7"/>
  <c r="H127" i="7"/>
  <c r="I127" i="7"/>
  <c r="J127" i="7"/>
  <c r="F128" i="7"/>
  <c r="G128" i="7"/>
  <c r="H128" i="7"/>
  <c r="I128" i="7"/>
  <c r="J128" i="7"/>
  <c r="F131" i="7"/>
  <c r="G131" i="7"/>
  <c r="H131" i="7"/>
  <c r="I131" i="7"/>
  <c r="J131" i="7"/>
  <c r="F132" i="7"/>
  <c r="G132" i="7"/>
  <c r="H132" i="7"/>
  <c r="I132" i="7"/>
  <c r="J132" i="7"/>
  <c r="F133" i="7"/>
  <c r="G133" i="7"/>
  <c r="H133" i="7"/>
  <c r="I133" i="7"/>
  <c r="J133" i="7"/>
  <c r="F134" i="7"/>
  <c r="G134" i="7"/>
  <c r="H134" i="7"/>
  <c r="I134" i="7"/>
  <c r="J134" i="7"/>
  <c r="F143" i="7"/>
  <c r="G143" i="7"/>
  <c r="H143" i="7"/>
  <c r="I143" i="7"/>
  <c r="J143" i="7"/>
  <c r="F144" i="7"/>
  <c r="G144" i="7"/>
  <c r="H144" i="7"/>
  <c r="I144" i="7"/>
  <c r="J144" i="7"/>
  <c r="F145" i="7"/>
  <c r="G145" i="7"/>
  <c r="H145" i="7"/>
  <c r="I145" i="7"/>
  <c r="J145" i="7"/>
  <c r="F146" i="7"/>
  <c r="G146" i="7"/>
  <c r="H146" i="7"/>
  <c r="I146" i="7"/>
  <c r="J146" i="7"/>
  <c r="G149" i="7"/>
  <c r="H149" i="7"/>
  <c r="I149" i="7"/>
  <c r="J149" i="7"/>
  <c r="F150" i="7"/>
  <c r="G150" i="7"/>
  <c r="H150" i="7"/>
  <c r="I150" i="7"/>
  <c r="J150" i="7"/>
  <c r="F151" i="7"/>
  <c r="G151" i="7"/>
  <c r="H151" i="7"/>
  <c r="I151" i="7"/>
  <c r="J151" i="7"/>
  <c r="F152" i="7"/>
  <c r="G152" i="7"/>
  <c r="H152" i="7"/>
  <c r="I152" i="7"/>
  <c r="J152" i="7"/>
  <c r="F153" i="7"/>
  <c r="G153" i="7"/>
  <c r="H153" i="7"/>
  <c r="I153" i="7"/>
  <c r="J153" i="7"/>
  <c r="F155" i="7"/>
  <c r="G155" i="7"/>
  <c r="H155" i="7"/>
  <c r="I155" i="7"/>
  <c r="J155" i="7"/>
  <c r="F157" i="7"/>
  <c r="G157" i="7"/>
  <c r="H157" i="7"/>
  <c r="I157" i="7"/>
  <c r="J157" i="7"/>
  <c r="G160" i="7"/>
  <c r="H160" i="7"/>
  <c r="I160" i="7"/>
  <c r="J160" i="7"/>
  <c r="F161" i="7"/>
  <c r="G161" i="7"/>
  <c r="H161" i="7"/>
  <c r="I161" i="7"/>
  <c r="J161" i="7"/>
  <c r="F162" i="7"/>
  <c r="G162" i="7"/>
  <c r="H162" i="7"/>
  <c r="I162" i="7"/>
  <c r="J162" i="7"/>
  <c r="F163" i="7"/>
  <c r="G163" i="7"/>
  <c r="H163" i="7"/>
  <c r="I163" i="7"/>
  <c r="J163" i="7"/>
  <c r="F164" i="7"/>
  <c r="G164" i="7"/>
  <c r="H164" i="7"/>
  <c r="I164" i="7"/>
  <c r="J164" i="7"/>
  <c r="F166" i="7"/>
  <c r="G166" i="7"/>
  <c r="H166" i="7"/>
  <c r="I166" i="7"/>
  <c r="J166" i="7"/>
  <c r="F168" i="7"/>
  <c r="G168" i="7"/>
  <c r="H168" i="7"/>
  <c r="I168" i="7"/>
  <c r="J168" i="7"/>
  <c r="G171" i="7"/>
  <c r="H171" i="7"/>
  <c r="I171" i="7"/>
  <c r="J171" i="7"/>
  <c r="F172" i="7"/>
  <c r="G172" i="7"/>
  <c r="H172" i="7"/>
  <c r="I172" i="7"/>
  <c r="J172" i="7"/>
  <c r="F173" i="7"/>
  <c r="G173" i="7"/>
  <c r="H173" i="7"/>
  <c r="I173" i="7"/>
  <c r="J173" i="7"/>
  <c r="F174" i="7"/>
  <c r="G174" i="7"/>
  <c r="H174" i="7"/>
  <c r="I174" i="7"/>
  <c r="J174" i="7"/>
  <c r="F175" i="7"/>
  <c r="G175" i="7"/>
  <c r="H175" i="7"/>
  <c r="I175" i="7"/>
  <c r="J175" i="7"/>
  <c r="F177" i="7"/>
  <c r="G177" i="7"/>
  <c r="H177" i="7"/>
  <c r="I177" i="7"/>
  <c r="J177" i="7"/>
  <c r="F179" i="7"/>
  <c r="G179" i="7"/>
  <c r="H179" i="7"/>
  <c r="I179" i="7"/>
  <c r="J179" i="7"/>
  <c r="G182" i="7"/>
  <c r="H182" i="7"/>
  <c r="I182" i="7"/>
  <c r="J182" i="7"/>
  <c r="F183" i="7"/>
  <c r="G183" i="7"/>
  <c r="H183" i="7"/>
  <c r="I183" i="7"/>
  <c r="J183" i="7"/>
  <c r="F184" i="7"/>
  <c r="G184" i="7"/>
  <c r="H184" i="7"/>
  <c r="I184" i="7"/>
  <c r="J184" i="7"/>
  <c r="F185" i="7"/>
  <c r="G185" i="7"/>
  <c r="H185" i="7"/>
  <c r="I185" i="7"/>
  <c r="J185" i="7"/>
  <c r="F187" i="7"/>
  <c r="G187" i="7"/>
  <c r="H187" i="7"/>
  <c r="I187" i="7"/>
  <c r="J187" i="7"/>
  <c r="F189" i="7"/>
  <c r="G189" i="7"/>
  <c r="H189" i="7"/>
  <c r="I189" i="7"/>
  <c r="J189" i="7"/>
  <c r="F256" i="7"/>
  <c r="G256" i="7"/>
  <c r="H256" i="7"/>
  <c r="I256" i="7"/>
  <c r="J256" i="7"/>
  <c r="F297" i="7"/>
  <c r="G297" i="7"/>
  <c r="H297" i="7"/>
  <c r="I297" i="7"/>
  <c r="J297" i="7"/>
  <c r="F303" i="7"/>
  <c r="G303" i="7"/>
  <c r="H303" i="7"/>
  <c r="I303" i="7"/>
  <c r="J303" i="7"/>
  <c r="F304" i="7"/>
  <c r="G304" i="7"/>
  <c r="H304" i="7"/>
  <c r="I304" i="7"/>
  <c r="J304" i="7"/>
  <c r="E305" i="7"/>
  <c r="E306" i="7"/>
  <c r="E307" i="7"/>
  <c r="E310" i="7"/>
  <c r="E311" i="7"/>
  <c r="E312" i="7"/>
  <c r="E314" i="7"/>
  <c r="E337" i="7"/>
  <c r="E340" i="7"/>
  <c r="E346" i="7"/>
  <c r="E348" i="7"/>
  <c r="E352" i="7"/>
  <c r="I352" i="7"/>
  <c r="E353" i="7"/>
  <c r="I353" i="7"/>
  <c r="E354" i="7"/>
  <c r="E358" i="7"/>
  <c r="K358" i="7"/>
  <c r="G362" i="7"/>
  <c r="M362" i="7"/>
  <c r="F369" i="7"/>
  <c r="G369" i="7"/>
  <c r="H369" i="7"/>
  <c r="I369" i="7"/>
  <c r="J369" i="7"/>
  <c r="F370" i="7"/>
  <c r="G370" i="7"/>
  <c r="H370" i="7"/>
  <c r="I370" i="7"/>
  <c r="J370" i="7"/>
  <c r="F372" i="7"/>
  <c r="G372" i="7"/>
  <c r="H372" i="7"/>
  <c r="I372" i="7"/>
  <c r="J372" i="7"/>
  <c r="F374" i="7"/>
  <c r="G374" i="7"/>
  <c r="H374" i="7"/>
  <c r="I374" i="7"/>
  <c r="J374" i="7"/>
  <c r="F385" i="7"/>
  <c r="G385" i="7"/>
  <c r="H385" i="7"/>
  <c r="I385" i="7"/>
  <c r="J385" i="7"/>
  <c r="F386" i="7"/>
  <c r="G386" i="7"/>
  <c r="H386" i="7"/>
  <c r="I386" i="7"/>
  <c r="J386" i="7"/>
  <c r="J426" i="7"/>
  <c r="R426" i="7"/>
  <c r="J427" i="7"/>
  <c r="R427" i="7"/>
  <c r="J428" i="7"/>
  <c r="R428" i="7"/>
  <c r="J429" i="7"/>
  <c r="R429" i="7"/>
  <c r="G431" i="7"/>
  <c r="J432" i="7"/>
  <c r="R432" i="7"/>
  <c r="J433" i="7"/>
  <c r="R433" i="7"/>
  <c r="J434" i="7"/>
  <c r="R434" i="7"/>
  <c r="J436" i="7"/>
  <c r="L437" i="7"/>
  <c r="E441" i="7"/>
  <c r="K441" i="7"/>
  <c r="E448" i="7"/>
  <c r="K448" i="7"/>
  <c r="F463" i="7"/>
  <c r="K463" i="7"/>
  <c r="L463" i="7"/>
  <c r="M463" i="7"/>
  <c r="F466" i="7"/>
  <c r="K466" i="7"/>
  <c r="L466" i="7"/>
  <c r="M466" i="7"/>
  <c r="F468" i="7"/>
  <c r="K468" i="7"/>
  <c r="L468" i="7"/>
  <c r="M468" i="7"/>
  <c r="F470" i="7"/>
  <c r="K470" i="7"/>
  <c r="L470" i="7"/>
  <c r="M470" i="7"/>
  <c r="F471" i="7"/>
  <c r="K471" i="7"/>
  <c r="L471" i="7"/>
  <c r="M471" i="7"/>
  <c r="F472" i="7"/>
  <c r="K472" i="7"/>
  <c r="L472" i="7"/>
  <c r="M472" i="7"/>
  <c r="F473" i="7"/>
  <c r="K473" i="7"/>
  <c r="L473" i="7"/>
  <c r="M473" i="7"/>
  <c r="F474" i="7"/>
  <c r="K474" i="7"/>
  <c r="L474" i="7"/>
  <c r="M474" i="7"/>
  <c r="F475" i="7"/>
  <c r="K475" i="7"/>
  <c r="L475" i="7"/>
  <c r="M475" i="7"/>
  <c r="F476" i="7"/>
  <c r="K476" i="7"/>
  <c r="L476" i="7"/>
  <c r="M476" i="7"/>
  <c r="F479" i="7"/>
  <c r="K479" i="7"/>
  <c r="L479" i="7"/>
  <c r="M479" i="7"/>
  <c r="F482" i="7"/>
  <c r="K482" i="7"/>
  <c r="L482" i="7"/>
  <c r="M482" i="7"/>
  <c r="F483" i="7"/>
  <c r="K483" i="7"/>
  <c r="L483" i="7"/>
  <c r="M483" i="7"/>
  <c r="F486" i="7"/>
  <c r="K486" i="7"/>
  <c r="L486" i="7"/>
  <c r="M486" i="7"/>
  <c r="F487" i="7"/>
  <c r="K487" i="7"/>
  <c r="L487" i="7"/>
  <c r="M48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Coleman, Will</author>
  </authors>
  <commentList>
    <comment ref="K16" authorId="0" shapeId="0" xr:uid="{5B647661-325F-4173-8612-89BD45FCF76B}">
      <text>
        <r>
          <rPr>
            <b/>
            <sz val="9"/>
            <color indexed="81"/>
            <rFont val="Tahoma"/>
            <family val="2"/>
          </rPr>
          <t>Coleman, Will:</t>
        </r>
        <r>
          <rPr>
            <sz val="9"/>
            <color indexed="81"/>
            <rFont val="Tahoma"/>
            <family val="2"/>
          </rPr>
          <t xml:space="preserve">
</t>
        </r>
        <r>
          <rPr>
            <sz val="16"/>
            <color indexed="81"/>
            <rFont val="Tahoma"/>
            <family val="2"/>
          </rPr>
          <t>AR increased, revenue increased, EBIT increased, operating cash flow increased. You did not receive cash. NWC: adjust cash down.
AR decreased, cash increased, EBIT did not change, operating cash flow did not change. You received cash. NWC: adjust cash upward.</t>
        </r>
      </text>
    </comment>
    <comment ref="K17" authorId="0" shapeId="0" xr:uid="{62FC7E9D-3A36-4032-A285-25CC3AF12181}">
      <text>
        <r>
          <rPr>
            <b/>
            <sz val="9"/>
            <color indexed="81"/>
            <rFont val="Tahoma"/>
            <family val="2"/>
          </rPr>
          <t>Coleman, Will:</t>
        </r>
        <r>
          <rPr>
            <sz val="9"/>
            <color indexed="81"/>
            <rFont val="Tahoma"/>
            <family val="2"/>
          </rPr>
          <t xml:space="preserve">
</t>
        </r>
        <r>
          <rPr>
            <sz val="16"/>
            <color indexed="81"/>
            <rFont val="Tahoma"/>
            <family val="2"/>
          </rPr>
          <t>Inventory increased, cash decreased, EBIT did not change, operating cash did not change. You paid out cash. NWC: adjust cash down.
Inventory decreased, cash increased, EBIT did not change, operating cash did not change. You received cash. NWC: adjust cash upward.</t>
        </r>
      </text>
    </comment>
    <comment ref="K31" authorId="0" shapeId="0" xr:uid="{001A106A-9A9E-496F-A065-DBE91779E606}">
      <text>
        <r>
          <rPr>
            <b/>
            <sz val="9"/>
            <color indexed="81"/>
            <rFont val="Tahoma"/>
            <family val="2"/>
          </rPr>
          <t>Coleman, Will:</t>
        </r>
        <r>
          <rPr>
            <sz val="9"/>
            <color indexed="81"/>
            <rFont val="Tahoma"/>
            <family val="2"/>
          </rPr>
          <t xml:space="preserve">
</t>
        </r>
        <r>
          <rPr>
            <sz val="16"/>
            <color indexed="81"/>
            <rFont val="Tahoma"/>
            <family val="2"/>
          </rPr>
          <t>AP increased, expenses increased, EBIT decreased, operating cash flow decreased. You did not pay cash. NWC: adjust cash upward.
AP decreased, cash decreased, EBIT did not change, operating cash flow did not change. You paid cash. NWC: adjust cash downward.</t>
        </r>
      </text>
    </comment>
    <comment ref="K32" authorId="0" shapeId="0" xr:uid="{C66C2ACE-216E-41B8-90ED-68B71B1B54BF}">
      <text>
        <r>
          <rPr>
            <b/>
            <sz val="9"/>
            <color indexed="81"/>
            <rFont val="Tahoma"/>
            <family val="2"/>
          </rPr>
          <t>Coleman, Will:</t>
        </r>
        <r>
          <rPr>
            <sz val="9"/>
            <color indexed="81"/>
            <rFont val="Tahoma"/>
            <family val="2"/>
          </rPr>
          <t xml:space="preserve">
</t>
        </r>
        <r>
          <rPr>
            <sz val="16"/>
            <color indexed="81"/>
            <rFont val="Tahoma"/>
            <family val="2"/>
          </rPr>
          <t>Deferred Revenue increased, EBIT remains the same, operating cash flow remains the same. You receive cash. NWC: adjust cash upward.
Deferred Revenue decreased, revenue is recognized, EBIT increases, operating cash flow increases. You did not receive cash. NWC: adjust cash downward.</t>
        </r>
      </text>
    </comment>
  </commentList>
</comments>
</file>

<file path=xl/sharedStrings.xml><?xml version="1.0" encoding="utf-8"?>
<sst xmlns="http://schemas.openxmlformats.org/spreadsheetml/2006/main" count="529" uniqueCount="413">
  <si>
    <t>Cash Flow from / (to) Assets (CF(A))</t>
  </si>
  <si>
    <t>Net Change in Cash</t>
  </si>
  <si>
    <t>Net income</t>
  </si>
  <si>
    <t>Cash Flow from / (to) Shareholders (CF(S))</t>
  </si>
  <si>
    <t>Cash Flow from / (to) Creditors (CF(B))</t>
  </si>
  <si>
    <t>Free Cash Flow</t>
  </si>
  <si>
    <t>Investing Cash Flow</t>
  </si>
  <si>
    <t>(Increase) / Decrease in Operating NWC</t>
  </si>
  <si>
    <t>Income tax expense</t>
  </si>
  <si>
    <t>Operating Cash Flow</t>
  </si>
  <si>
    <t>Depreciation and Amortization</t>
  </si>
  <si>
    <t>Other income</t>
  </si>
  <si>
    <t>Revenue</t>
  </si>
  <si>
    <t>Income Statement</t>
  </si>
  <si>
    <t>Common stock</t>
  </si>
  <si>
    <t>Shareholders Equity:</t>
  </si>
  <si>
    <t>Total Liabilities</t>
  </si>
  <si>
    <t>Total Long-term Liabilities</t>
  </si>
  <si>
    <t>Total Current Liabilities</t>
  </si>
  <si>
    <t>Liabilities</t>
  </si>
  <si>
    <t>Total Assets</t>
  </si>
  <si>
    <t>Total Long-term Assets</t>
  </si>
  <si>
    <t>Goodwill</t>
  </si>
  <si>
    <t>Total Current Assets</t>
  </si>
  <si>
    <t>Inventory</t>
  </si>
  <si>
    <t>Assets:</t>
  </si>
  <si>
    <t>YoY Change</t>
  </si>
  <si>
    <t>Balance Sheet</t>
  </si>
  <si>
    <t>Deferred Tax Liabilities</t>
  </si>
  <si>
    <t>Receivables</t>
  </si>
  <si>
    <t>Gross Profit</t>
  </si>
  <si>
    <t>Selling, General, &amp; Administrative</t>
  </si>
  <si>
    <t>Operating Income</t>
  </si>
  <si>
    <t>Earnings before Interest and Taxes</t>
  </si>
  <si>
    <t>Income Tax Expense</t>
  </si>
  <si>
    <t>Net Income</t>
  </si>
  <si>
    <t>Cash</t>
  </si>
  <si>
    <t>Net Property, Plant &amp; Equipment</t>
  </si>
  <si>
    <t>Other Assets</t>
  </si>
  <si>
    <t>Accounts Payable</t>
  </si>
  <si>
    <t>Short-term Debt</t>
  </si>
  <si>
    <t>Long-term Debt</t>
  </si>
  <si>
    <t>Additional Paid-in Capital</t>
  </si>
  <si>
    <t>Retained Earnings</t>
  </si>
  <si>
    <t>Treasury Stock</t>
  </si>
  <si>
    <t>Cash Taxes Paid</t>
  </si>
  <si>
    <t xml:space="preserve">YoY Change in Deferred Tax Liabilities </t>
  </si>
  <si>
    <t>Operating Net Working Capital Adjustment</t>
  </si>
  <si>
    <t>Operating Net Working Capital</t>
  </si>
  <si>
    <t>Changes in Long-term Assets:</t>
  </si>
  <si>
    <t>Total Investments in Long-term Assets</t>
  </si>
  <si>
    <t>Dividends Paid</t>
  </si>
  <si>
    <t xml:space="preserve">Less: Change in Retained Earnings </t>
  </si>
  <si>
    <t>Check: CF(A)+CF(B)+CF(S)=0</t>
  </si>
  <si>
    <t>Long-term Investments</t>
  </si>
  <si>
    <t>Total Current Assets Less Cash</t>
  </si>
  <si>
    <t>Less: Total Current Liabilities Less Short-term Debt</t>
  </si>
  <si>
    <t>Plus: Depreciation and Amortization</t>
  </si>
  <si>
    <t>Leases &amp; Other Long-term Liabilities</t>
  </si>
  <si>
    <t>Forecast</t>
  </si>
  <si>
    <t>Change in Operating Net Working Capital</t>
  </si>
  <si>
    <t>Issued / (Retired) Short-term Debt</t>
  </si>
  <si>
    <t>Issued / (Retired) Long-term Debt</t>
  </si>
  <si>
    <t>Issued / (Retired) Leases &amp; Other Long-term Liabilities</t>
  </si>
  <si>
    <t>Less: Net Change in Cash</t>
  </si>
  <si>
    <t>Financial Cash Flows</t>
  </si>
  <si>
    <t>Projection Assumptions/Drivers</t>
  </si>
  <si>
    <t>x</t>
  </si>
  <si>
    <t>Revenue Growth</t>
  </si>
  <si>
    <t>Balance Sheet Check</t>
  </si>
  <si>
    <t>Historical</t>
  </si>
  <si>
    <t>US$ in millions, unless otherwise stated</t>
  </si>
  <si>
    <t>Cost of Goods Sold (COGS)</t>
  </si>
  <si>
    <t>Receivables (% of Revenue)</t>
  </si>
  <si>
    <t>Inventory (% of Revenue)</t>
  </si>
  <si>
    <t>Other Current Assets (% of Revenue)</t>
  </si>
  <si>
    <t>Net Property, Plant &amp; Equipment (% of Revenue)</t>
  </si>
  <si>
    <t>Long-term Investments (% of Revenue)</t>
  </si>
  <si>
    <t>Goodwill (% of Revenue)</t>
  </si>
  <si>
    <t>Other Assets (% of Revenue)</t>
  </si>
  <si>
    <t>Accounts Payable (% of Revenue)</t>
  </si>
  <si>
    <t>Other Current Liabilities (% of Revenue)</t>
  </si>
  <si>
    <t>Selling, General, &amp; Administrative (% of Revenue)</t>
  </si>
  <si>
    <t>Depreciation and Amortization (% of Revenue)</t>
  </si>
  <si>
    <t>Other income (% of Revenue)</t>
  </si>
  <si>
    <t>Circularity Switch</t>
  </si>
  <si>
    <t>Case Selector</t>
  </si>
  <si>
    <t>Base</t>
  </si>
  <si>
    <t>Upside</t>
  </si>
  <si>
    <t>Downside</t>
  </si>
  <si>
    <t>Active Case</t>
  </si>
  <si>
    <t>Debt Paydown Waterfall</t>
  </si>
  <si>
    <t>Beginning Balance</t>
  </si>
  <si>
    <t>Ending Balance</t>
  </si>
  <si>
    <t>Issuance</t>
  </si>
  <si>
    <t>(Retirement)</t>
  </si>
  <si>
    <t>Average Balance</t>
  </si>
  <si>
    <t>Interest Rate</t>
  </si>
  <si>
    <t>Long-term Debt:</t>
  </si>
  <si>
    <t>Interest Income</t>
  </si>
  <si>
    <t>Net Interest Income / (Expense)</t>
  </si>
  <si>
    <t>Cash Added to Balance Sheet</t>
  </si>
  <si>
    <t>Formulatext</t>
  </si>
  <si>
    <t>Financial Modeling Co. LLC</t>
  </si>
  <si>
    <t>Deferred Tax Liabilities (% of Revenue)</t>
  </si>
  <si>
    <t>Invested $76M in Net PP&amp;E, outflow</t>
  </si>
  <si>
    <t>Sold $2M in Long-term inv, inflow</t>
  </si>
  <si>
    <t>Invested $3M in Goodwill (acquired company for $3M more than book value), outflow</t>
  </si>
  <si>
    <t>Other Assets (Intangibles)</t>
  </si>
  <si>
    <t>Invested $2M in Other Assets, outflow</t>
  </si>
  <si>
    <t>Discretionary cash flow that the firm can either retain and keep the cash or pay out to bondholders and/or stockholders</t>
  </si>
  <si>
    <t>Paid $14M to bondholders, outflow</t>
  </si>
  <si>
    <t>Received $17M from bondholders, inflow</t>
  </si>
  <si>
    <t>Received $221M from bondholders, inflow</t>
  </si>
  <si>
    <t>Received $4M from bondholders, inflow</t>
  </si>
  <si>
    <t>Repurchased Shares (Change in Treasury Stock)</t>
  </si>
  <si>
    <t>Paid $88M to shareholders, outflow</t>
  </si>
  <si>
    <t>Received $36M from shareholders, inflow</t>
  </si>
  <si>
    <t>Paid $447M to shareholders (repurchased shares), outflow</t>
  </si>
  <si>
    <t>Cost of Goods Sold (% of Revenue)</t>
  </si>
  <si>
    <t>Free Cash Flow (FCF)</t>
  </si>
  <si>
    <t>Earnings before Taxes - Taxable Income</t>
  </si>
  <si>
    <t>Unlevered Free Cash Flow</t>
  </si>
  <si>
    <t>Issued Equity (Change Comm Stock + Add PIC)</t>
  </si>
  <si>
    <t>Dividends Paid (NI * Div Payout Ratio in 2021 onward)</t>
  </si>
  <si>
    <t>2021 Formula</t>
  </si>
  <si>
    <t>Other Current Liabilities (Def Rev)</t>
  </si>
  <si>
    <t>Total Equity</t>
  </si>
  <si>
    <t>Other Current Assets (Prepaid Exp)</t>
  </si>
  <si>
    <t>Check: Net Change in Cash = Change in BS Cash</t>
  </si>
  <si>
    <t>LIBOR (London Inter-bank Offered Rate) (L)</t>
  </si>
  <si>
    <t>SOFR (Secured Overnight Financing Rate) (S)</t>
  </si>
  <si>
    <t>FCF for Discretionary Debt Retirement / (Issuance)</t>
  </si>
  <si>
    <t>Interest (Expense)</t>
  </si>
  <si>
    <t>Average Balance (beginning and ending)</t>
  </si>
  <si>
    <t>Comments/Explanation</t>
  </si>
  <si>
    <t>Similar to a revolving credit facility (revolver) - "credit card" for a company</t>
  </si>
  <si>
    <t>Comments/Explanations</t>
  </si>
  <si>
    <t>Leases/LT Liab.</t>
  </si>
  <si>
    <t>Budget</t>
  </si>
  <si>
    <t>COVID</t>
  </si>
  <si>
    <t>High Growth</t>
  </si>
  <si>
    <t>New Functions Used</t>
  </si>
  <si>
    <t>OFFSET</t>
  </si>
  <si>
    <t>Returns a reference to a range that is a given number of ROWS and COLUMNS from a given REFERENCE</t>
  </si>
  <si>
    <t>Reference: select the base cell that you want Excel to start counting a # of rows/columns</t>
  </si>
  <si>
    <t>Rows: select the # of rows down from the base reference cell that you want Excel to count to locate the cell</t>
  </si>
  <si>
    <t>Cols: select the # of columns right from the base reference cell that you want Excel to count to locate the cell</t>
  </si>
  <si>
    <t>CHOOSE</t>
  </si>
  <si>
    <t>Returns a VALUE argument based on a selected INDEX_NUM and a provided list of VALUES</t>
  </si>
  <si>
    <t>Multiple</t>
  </si>
  <si>
    <t>Multiple (of Base Case)</t>
  </si>
  <si>
    <t>Biden Tax Code Change</t>
  </si>
  <si>
    <t>Same as PP&amp;E as % of Sales</t>
  </si>
  <si>
    <t>Discounted Cash Flow (DCF) Analysis</t>
  </si>
  <si>
    <t>Year Fraction (# Years to Discount to Valuation Date)</t>
  </si>
  <si>
    <t>Implied Enterprise Value</t>
  </si>
  <si>
    <t>Implied Market Value of Equity</t>
  </si>
  <si>
    <t>Implied Equity Value per Share</t>
  </si>
  <si>
    <t>Actual Equity Value per Share</t>
  </si>
  <si>
    <t>Should you Buy=1 or Sell=0?</t>
  </si>
  <si>
    <t>Weighted Average Cost of Capital (WACC)</t>
  </si>
  <si>
    <t>Cost of Equity (Capital Asset Pricing Model - CAPM)</t>
  </si>
  <si>
    <t>Expected Return on Market</t>
  </si>
  <si>
    <t>Risk Free Rate</t>
  </si>
  <si>
    <t>Cost of Equity</t>
  </si>
  <si>
    <t>Pre-tax Cost of Debt</t>
  </si>
  <si>
    <t>Illustrative Target Capital Structure</t>
  </si>
  <si>
    <t>% of Equity</t>
  </si>
  <si>
    <t>% of Debt</t>
  </si>
  <si>
    <t>Tax Rate</t>
  </si>
  <si>
    <t>Terminal Value</t>
  </si>
  <si>
    <t>Perpetual Growth Rate</t>
  </si>
  <si>
    <t>Terminal Value (Gordon Growth Method)</t>
  </si>
  <si>
    <t>Discounted Terminal Value</t>
  </si>
  <si>
    <t>Fully-Diluted Shares Outstanding (in millions)</t>
  </si>
  <si>
    <t>Basic Shares Outstanding</t>
  </si>
  <si>
    <t>Ratio Analysis</t>
  </si>
  <si>
    <t>Leverage for Credit Analysis:</t>
  </si>
  <si>
    <t>Cash Coverage (EBITDA/Interest)</t>
  </si>
  <si>
    <t>Did credit risk improve=1 or worsen=0?</t>
  </si>
  <si>
    <t>Assume perspective of credit rating agency</t>
  </si>
  <si>
    <t>Leverage Ratio (Total Debt/EBITDA)</t>
  </si>
  <si>
    <t>Profitability Measures:</t>
  </si>
  <si>
    <t>Profit Margins (EBIT or EBITDA / Revenue)</t>
  </si>
  <si>
    <t>EBIT Margin</t>
  </si>
  <si>
    <t>EBITDA Margin</t>
  </si>
  <si>
    <t>Asset Management and Turnover Measures:</t>
  </si>
  <si>
    <t>Days</t>
  </si>
  <si>
    <t>Days' Revenue in Inventory</t>
  </si>
  <si>
    <t>Days' Revenue in Receivables</t>
  </si>
  <si>
    <t>Days' Revenue in Accounts Payable</t>
  </si>
  <si>
    <t>EBITDA</t>
  </si>
  <si>
    <t>Cumulative Discounted FCFs</t>
  </si>
  <si>
    <t>Less: Total Debt</t>
  </si>
  <si>
    <t>Plus: Cash</t>
  </si>
  <si>
    <t>Divided by: Fully-Diluted Shares Outstanding</t>
  </si>
  <si>
    <t>Implied Premium / (Discount)</t>
  </si>
  <si>
    <t>Market Risk Premium</t>
  </si>
  <si>
    <t>(x) Beta - Correlation between your stock and the market</t>
  </si>
  <si>
    <t>Firm Risk Premium</t>
  </si>
  <si>
    <t>Cost of Equity (x) % of Equity + Cost of Debt (x) % of Debt (x) (1 - tax rate)</t>
  </si>
  <si>
    <t>Terminal Value (Multiple Method)</t>
  </si>
  <si>
    <t>Inventory Turnover</t>
  </si>
  <si>
    <t>COGS</t>
  </si>
  <si>
    <t>Receivables Turnover</t>
  </si>
  <si>
    <t>Accounts Payable Turnover</t>
  </si>
  <si>
    <t xml:space="preserve"> </t>
  </si>
  <si>
    <t>LIBOR and SOFR are the base interest rates for most floating rate debt</t>
  </si>
  <si>
    <t>Floating rate - base yield (L or S) + credit spread (number of basis points)</t>
  </si>
  <si>
    <t>Newer rate, but planning to takeover by 2021</t>
  </si>
  <si>
    <t>Historically for most debt instruments</t>
  </si>
  <si>
    <t>Unlevered FCF available for bondholder, shareholders, everybody</t>
  </si>
  <si>
    <t>Contractual agreement - need to pay this first - 100% of the time before paying down additional debt</t>
  </si>
  <si>
    <t>Assumption - firm pays shareholders before paying down additional debt</t>
  </si>
  <si>
    <t>Agreement with a bank</t>
  </si>
  <si>
    <t>Assumption: No limit to the amount that can be issued; in practice, there would usually be a limit/cap on size of issuance</t>
  </si>
  <si>
    <t>Short-term is assumed to be the most senior debt, they need to be paid back first before other debt</t>
  </si>
  <si>
    <t>BASE (Beg + Add - Sub = End) - Beginning Balance + Issuance - Retirement = Ending Balance</t>
  </si>
  <si>
    <t>If FCF Available&gt;0 (positive), use to retire debt up to the amount of debt that is currently outstanding</t>
  </si>
  <si>
    <t>Debt is typically paid semiannually or quarterly, not just based on beginning or ending balance</t>
  </si>
  <si>
    <t>S+400bps - credit spread is based on credit rating/worthiness of the company</t>
  </si>
  <si>
    <t>Assumption: Never going to issue long-term debt because we assumed short-term debt can issue to infinity</t>
  </si>
  <si>
    <t>Minimum cash balance of $65mm</t>
  </si>
  <si>
    <t>Not going to use this cash to pay down debt or pay shareholders</t>
  </si>
  <si>
    <t>=CHOOSE($D$5,D7,D8,D9,D10)</t>
  </si>
  <si>
    <t>Discounted FCF as of 2020</t>
  </si>
  <si>
    <t>Free Cash Flow (FCF) - Available to All Stakeholders (Debt+Equity)</t>
  </si>
  <si>
    <t>Why do we do a DCF? What are we trying to calculate? We are trying to calculate what the firm is worth based on their future cash flow. Project first 5 years and then make assumption for remaining years, assuming that free cash flows grow at some rate forever and discount all free cash flows back to present value. Enterprise Value of the Firm. Total Value to all stakeholders.</t>
  </si>
  <si>
    <t>Memo: Discounted FCF - Alternative Calculation Methodology</t>
  </si>
  <si>
    <t>Short term and long-term debt from balance sheet</t>
  </si>
  <si>
    <t>from balance sheet</t>
  </si>
  <si>
    <t>All FCF from 2021 onward discounted to 2020. Value of the entire firm - How much would I have to pay to buy firm?</t>
  </si>
  <si>
    <t>Assume Buy if Undervalued vs. Sell if Overvalued. If we truly believe our projections are correct, should we buy or sell/short?</t>
  </si>
  <si>
    <t>Assumed long-term return on S&amp;P 500</t>
  </si>
  <si>
    <t>Assumed return on a riskless asset (Treasury)</t>
  </si>
  <si>
    <t>Return receive by taking the risk of the market (6-8%)</t>
  </si>
  <si>
    <t>Market Return x-axis, Firm Return is y-axis, Beta is slope</t>
  </si>
  <si>
    <t>Intuit Return = Market Return * Beta</t>
  </si>
  <si>
    <t>In practice, typically calculate the weighted average YTM of debt</t>
  </si>
  <si>
    <t>Active</t>
  </si>
  <si>
    <t>Actual $</t>
  </si>
  <si>
    <t>Actual %</t>
  </si>
  <si>
    <t>2020 Total Debt</t>
  </si>
  <si>
    <t>Assume equal to 2020 Tax Rate. In practice, you could use the marginal tax rate = 21% (fed) + 7% (state)</t>
  </si>
  <si>
    <t>Equity is not tax deductible (dividends come from net income)</t>
  </si>
  <si>
    <t>The cost of debt is related to the interest expense, and interest lowers taxable income, which lowers taxes paid (debt is tax deductible)</t>
  </si>
  <si>
    <t>Last Projected FCF from our forecast</t>
  </si>
  <si>
    <t>What growth rate will FCF grow forever? from 2025 onward - practically, should be 1.5-2%, in line with inflation or GDP</t>
  </si>
  <si>
    <t>from Options section of latest 10-K/Q filing</t>
  </si>
  <si>
    <t>Stock Options Outstanding</t>
  </si>
  <si>
    <t>Simplifying and assuming same rate each year, in practice, you could have a bank provide forward curve of monthly rates through 2025 and then take an averageif function to determine the average rate for the year</t>
  </si>
  <si>
    <t>Current Outstanding Shares from latest 10-K/Q filing</t>
  </si>
  <si>
    <t>Fully-Dil.</t>
  </si>
  <si>
    <t>Outstanding</t>
  </si>
  <si>
    <t>Strike Price</t>
  </si>
  <si>
    <t>In practice, you should calculate this using Treasury Stock Method. Assuming in-the-money options are converted to outstanding stock, and proceeds from options are used to partially repurchase shares that are issued. Hence, Treasury Stock Method.</t>
  </si>
  <si>
    <t>Discount Factor - denominator of the PV formula</t>
  </si>
  <si>
    <t>EBITDA (Earnings Before Interest, Taxes, Depreciation, Amortization)</t>
  </si>
  <si>
    <t>Mid-Year</t>
  </si>
  <si>
    <t>Formula</t>
  </si>
  <si>
    <t>Valuation Date</t>
  </si>
  <si>
    <t>Equity</t>
  </si>
  <si>
    <t>Cost</t>
  </si>
  <si>
    <t>of</t>
  </si>
  <si>
    <t>Pay more dividends</t>
  </si>
  <si>
    <t>Pay less dividends</t>
  </si>
  <si>
    <t>Company is able to receive payment on receivables faster than base case</t>
  </si>
  <si>
    <t>Company receives payments on receivables slower than base case</t>
  </si>
  <si>
    <t>Did not seem reasonable to change inventory as % of sales</t>
  </si>
  <si>
    <t>Did not seem reasonable to change as % of sales</t>
  </si>
  <si>
    <t>Company's investment in PP&amp;E is directly correlated with revenue</t>
  </si>
  <si>
    <t>As the company grows, so does investment in PP&amp;E, and vice versa</t>
  </si>
  <si>
    <t>Making similar investments as they did historically</t>
  </si>
  <si>
    <t>Company is able to make payments slower than base case</t>
  </si>
  <si>
    <t>Company makes payments faster than base case</t>
  </si>
  <si>
    <t>For our purposes, we will leave this in line with previous year % of sales because we are not tax experts</t>
  </si>
  <si>
    <t>Issue nothing</t>
  </si>
  <si>
    <t>Issue more</t>
  </si>
  <si>
    <t>Repurchase more</t>
  </si>
  <si>
    <t>Repurchase less</t>
  </si>
  <si>
    <t>Higher growth</t>
  </si>
  <si>
    <t>Lower growth</t>
  </si>
  <si>
    <t>Company has higher gross margin (cost of buying goods decreases as a % of sales)</t>
  </si>
  <si>
    <t>Company has lower gross margin (cost of buying goods increases as a % of sales)</t>
  </si>
  <si>
    <t>Economies of Scale, company's revenue is growing but perhaps the costs of running the business do not grow as fast</t>
  </si>
  <si>
    <t>Diseconomies of Scale, company's revenue is growing but perhaps the costs of running the business grow faster</t>
  </si>
  <si>
    <t>In practice, you typically assume that cash flows are discounted using a mid-year convention, meaning the cash flow for the year is discounted from the middle of that year</t>
  </si>
  <si>
    <t>Expected Return of your Firm - Market Risk Premium (x) Beta (+) Risk Free Rate</t>
  </si>
  <si>
    <t>CTRL+'</t>
  </si>
  <si>
    <t>CTRL+;</t>
  </si>
  <si>
    <t>Short Term</t>
  </si>
  <si>
    <t>Long Term</t>
  </si>
  <si>
    <t>Leases</t>
  </si>
  <si>
    <t>Int Rate</t>
  </si>
  <si>
    <t>2020 Balance</t>
  </si>
  <si>
    <t>Total</t>
  </si>
  <si>
    <t>Leases would sometimes not be included and only short term and long term debt would be included, but I assumed we should include because it is interest bearing debt</t>
  </si>
  <si>
    <t>Market Cap of Firm (NOT Book Value of Equity)</t>
  </si>
  <si>
    <t>All FCF from 2021-2025 discounted to 12/31/2020</t>
  </si>
  <si>
    <t>All FCF from 2026 onward discounted to 12/31/2020</t>
  </si>
  <si>
    <t>All FCF from 2026 onward discounted to 6/30/2025, Calculate using PV of growing perpetuity formula</t>
  </si>
  <si>
    <t>All FCF from 2026 onward discounted to 6/30/2025</t>
  </si>
  <si>
    <t>(x) Terminal EV/EBITDA Multiple</t>
  </si>
  <si>
    <t>Based on comparable company analysis (comps) or historical trading of the company for a long-term average multiple</t>
  </si>
  <si>
    <t>Enterprise Value of the firm at 12/31/2025</t>
  </si>
  <si>
    <t>Enterprise Value = Net Debt + Market Value of Equity</t>
  </si>
  <si>
    <t>Market Value of Equity = Enterprise Value - Debt + Cash</t>
  </si>
  <si>
    <t>Enterprise Value = Debt (ST+LT+Leases) + Market Value of Equity - Cash + Pension Liabilities + Minority Interests (Non-controlling Interests)</t>
  </si>
  <si>
    <t>Leveraged Buyout Transaction Summary</t>
  </si>
  <si>
    <t>Entry</t>
  </si>
  <si>
    <t>Exit</t>
  </si>
  <si>
    <t>x EBITDA</t>
  </si>
  <si>
    <t>Private Equity Firm's Equity</t>
  </si>
  <si>
    <t>Entry Multiple</t>
  </si>
  <si>
    <t>Leverage</t>
  </si>
  <si>
    <t>Implied IRR of Private Equity Firm's Equity</t>
  </si>
  <si>
    <t>What does the IRR of Private Equity Firm's Equity need to be greater than or equal to for them to accept the deal?</t>
  </si>
  <si>
    <t>·         Assume that the deal closes on 12/31/2020, and the private equity firm would sell the Company on 12/31/2025 (exactly five years after the purchase)</t>
  </si>
  <si>
    <t>·         Exit Multiple: assume equal to the Entry Multiple, meaning they would sell the Company for this multiple multiplied by the Company’s 2025 EBITDA</t>
  </si>
  <si>
    <t>·         The Private Equity firm's IRR Threshold is 25% - they will not accept deals that have less than a 25% IRR</t>
  </si>
  <si>
    <t>You work in corporate development at Financial Modeling, and your CFO asks you to analyze a potential sale to a Private Equity firm, providing the following guidance:</t>
  </si>
  <si>
    <t>·         Entry Multiple: see DCF, based on comparable company analysis – use EV/EBITDA multiple, assuming that our purchase price would be this multiple</t>
  </si>
  <si>
    <t>Cash-to-cash cycle time / cash conversion cycle (CCC)</t>
  </si>
  <si>
    <t>Proceeds</t>
  </si>
  <si>
    <t>Exercise</t>
  </si>
  <si>
    <t>Interest Expense Paid (Excl. Interest Income)</t>
  </si>
  <si>
    <t>CTRL+SHIFT+E = Error Wrap</t>
  </si>
  <si>
    <t>Total Debt (ST, LT, Leases)</t>
  </si>
  <si>
    <t>ALT+H+A+R - moves everything to the right</t>
  </si>
  <si>
    <t>Weighted</t>
  </si>
  <si>
    <t>Shares</t>
  </si>
  <si>
    <t>Repurchased</t>
  </si>
  <si>
    <t>EBIT</t>
  </si>
  <si>
    <t>Return on Assets (ROA) - Net Income / Assets</t>
  </si>
  <si>
    <t>Return on Equity (ROE) - Net Income / Equity</t>
  </si>
  <si>
    <t>Total Debt</t>
  </si>
  <si>
    <t>Pre-LBO</t>
  </si>
  <si>
    <t>% Total</t>
  </si>
  <si>
    <t>LBO</t>
  </si>
  <si>
    <t>Leverage Step</t>
  </si>
  <si>
    <t>Multiple Step</t>
  </si>
  <si>
    <t>Amount</t>
  </si>
  <si>
    <t>Incremental Debt Used in LBO:</t>
  </si>
  <si>
    <t>DCF</t>
  </si>
  <si>
    <t>Cash Flow Statement (2021-2025 Cumulative Cash Flows)</t>
  </si>
  <si>
    <t>(x) Multiple</t>
  </si>
  <si>
    <t>Financial Case Comparison</t>
  </si>
  <si>
    <t>How many years of EBITDA do you need to repay all outstanding debt? What % of EBITDA do you need to pay all outstanding debt?</t>
  </si>
  <si>
    <t>Income Statement (2021-2025 Compound Annual Growth Rate)</t>
  </si>
  <si>
    <t>Delta vs. Active Case</t>
  </si>
  <si>
    <t>Output: Financial Case Comparison of Key Metrics</t>
  </si>
  <si>
    <t>Discount</t>
  </si>
  <si>
    <t>Rate</t>
  </si>
  <si>
    <t>Mortgage</t>
  </si>
  <si>
    <t>Sale Price of Home</t>
  </si>
  <si>
    <t>Remaining Mortgage that needs to be paid</t>
  </si>
  <si>
    <t>Cash Left in the Business</t>
  </si>
  <si>
    <t>New Buyer Pays in Equity to Private Equity Firm</t>
  </si>
  <si>
    <t>PE Firm would not buy based on these assumptions</t>
  </si>
  <si>
    <t>Private Equity firms buy/sell companies similar to flipping homes. PE firm raises money from investors, buys companies with substantial amount of debt and equity from LPs (investors)</t>
  </si>
  <si>
    <t xml:space="preserve">          multiplied by the Company’s 2020 EBITDA - PE Firm buys Financial Modelign for approx $3bn (price of the house); PE firm finances purchase price with debt and equity:</t>
  </si>
  <si>
    <t>·         Leverage: assume the private equity firm can finance the purchase price with debt, similar to a mortgage on a home, Assume PE firm can use 3x EBITDA of debt (50% of purchase price)</t>
  </si>
  <si>
    <t>·         Equity: the rest of the purchase price will be funded with equity, buying a home with 20% equity/cash downpayment</t>
  </si>
  <si>
    <t>Price of Home</t>
  </si>
  <si>
    <t>Cash left in Home</t>
  </si>
  <si>
    <t>Downpayment on Home</t>
  </si>
  <si>
    <t>Estimate Fund Size of PE Firm</t>
  </si>
  <si>
    <t>Change</t>
  </si>
  <si>
    <t>IRR of Private Equity Firm's Equity - Internal Rate of Return on Initial Equity Investment - Compounded Annual Growth Rate</t>
  </si>
  <si>
    <t>Projected 2021-2025 Base Case Revenue Growth Rate</t>
  </si>
  <si>
    <t>LBO Adjustment: changed formula to reference debt paydown waterfall instead of balance sheet</t>
  </si>
  <si>
    <t>Added Max Formula to make sure that if net income&lt;0, no dividends are paid</t>
  </si>
  <si>
    <t>LBO Adjustment: Added incremental debt used in LBO to the assets to make sure that the balance sheet balances</t>
  </si>
  <si>
    <t>No longer any issues here</t>
  </si>
  <si>
    <t>LBO Adjustment: LBO'ed private firm would likely not issue equity</t>
  </si>
  <si>
    <t>LBO Adj: LBO'ed firm would not repurchase equity, dividend recapitalizations out of scope of discussions</t>
  </si>
  <si>
    <t>LBO Adj: LBO'ed firm would not pay dividends like public company, and dividend recapitalizations out of scope of discussions</t>
  </si>
  <si>
    <t>LBO Adjustment: Should be referencing pre-LBO debt figures instead of post-LBO debt figures for the DCF because the DCF is of the pre-LBO public company</t>
  </si>
  <si>
    <t>Need to add IF statements to allow for negative numbers for CAGR formula - see formulatext to the right</t>
  </si>
  <si>
    <t>Step 2 - Calculated YoY Changes in the  Balance Sheet. (Row 15 - Row 50)</t>
  </si>
  <si>
    <t>Dividends Paid (must complete row 115-row 117)</t>
  </si>
  <si>
    <t>Less: Cash Taxes Paid (calc. rows 74 - 76 first)</t>
  </si>
  <si>
    <t>(Cannot move to row 86 yet, must calc. YoY change from beg).</t>
  </si>
  <si>
    <r>
      <t xml:space="preserve">Operating Cash Flow </t>
    </r>
    <r>
      <rPr>
        <b/>
        <i/>
        <u/>
        <sz val="14"/>
        <color rgb="FFFF0000"/>
        <rFont val="Times New Roman"/>
        <family val="1"/>
      </rPr>
      <t>(Step 1 Fill in Rows 67 - 83)</t>
    </r>
  </si>
  <si>
    <t>Cash (part of circularity - come back)</t>
  </si>
  <si>
    <r>
      <t>Income Tax Expense (</t>
    </r>
    <r>
      <rPr>
        <sz val="14"/>
        <color rgb="FFFF0000"/>
        <rFont val="Times New Roman"/>
        <family val="1"/>
      </rPr>
      <t>as % of Earnings before Taxes)</t>
    </r>
  </si>
  <si>
    <t>effective tax rate</t>
  </si>
  <si>
    <r>
      <t xml:space="preserve">Investing Cash Flow </t>
    </r>
    <r>
      <rPr>
        <b/>
        <u/>
        <sz val="14"/>
        <color rgb="FFFF0000"/>
        <rFont val="Times New Roman"/>
        <family val="1"/>
      </rPr>
      <t>(</t>
    </r>
    <r>
      <rPr>
        <b/>
        <i/>
        <u/>
        <sz val="14"/>
        <color rgb="FFFF0000"/>
        <rFont val="Times New Roman"/>
        <family val="1"/>
      </rPr>
      <t>Step 3 - Finishing 2020 CF)</t>
    </r>
  </si>
  <si>
    <t>Step 4 - What does company do with its Unlevered Free Cash Flow?</t>
  </si>
  <si>
    <t>This beg. Of Lower Left. Quad - Step 5</t>
  </si>
  <si>
    <t>Shareholders Equity: (These are cell refrerences)</t>
  </si>
  <si>
    <t>This is the beg. Of Lower Right. Quad - Step 6 -work back up and fill in the first projection year</t>
  </si>
  <si>
    <r>
      <t xml:space="preserve">Income Statement </t>
    </r>
    <r>
      <rPr>
        <b/>
        <sz val="14"/>
        <color rgb="FFFF0000"/>
        <rFont val="Times New Roman"/>
        <family val="1"/>
      </rPr>
      <t>(Step 7 - projecting out)</t>
    </r>
  </si>
  <si>
    <t xml:space="preserve">Dividends Payout Ratio (% of Net Income)* discretionary </t>
  </si>
  <si>
    <t xml:space="preserve">Short-term Debt: </t>
  </si>
  <si>
    <t>Methods of Scenario Analysis in Excel</t>
  </si>
  <si>
    <t>=OFFSET(D6,$D$5,0)</t>
  </si>
  <si>
    <t xml:space="preserve">more efficienct, </t>
  </si>
  <si>
    <t>your costs are increasing - less efficient.</t>
  </si>
  <si>
    <t>we take an approach'</t>
  </si>
  <si>
    <t>Pie in the sky</t>
  </si>
  <si>
    <t>WACC (Discount Rate) - I have calc. WACC - below</t>
  </si>
  <si>
    <t>start in this cell</t>
  </si>
  <si>
    <t>* you can use the actuals</t>
  </si>
  <si>
    <t>Fully-Diluted Shares Outstanding (in millions)- BAM SEC website (research)</t>
  </si>
  <si>
    <t>just an assumption - be more conservative and bump up to 28%-35%</t>
  </si>
  <si>
    <t>WACC (the discount rate to discount free cash flows)</t>
  </si>
  <si>
    <t>(+) Discounted Terminal Value ( 2 methods for calc. terminal value)</t>
  </si>
  <si>
    <t>Terminal FCF - simple algebraic method</t>
  </si>
  <si>
    <t>Plus: Cash (year end 2020 cash on balance sheet)</t>
  </si>
  <si>
    <t xml:space="preserve">Restricted Stock Units (RSUs) - employee vesting program - no strike </t>
  </si>
  <si>
    <t>div.EBITDA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</si>
</sst>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7" formatCode="&quot;$&quot;#,##0.00_);\(&quot;$&quot;#,##0.00\)"/>
    <numFmt numFmtId="44" formatCode="_(&quot;$&quot;* #,##0.00_);_(&quot;$&quot;* \(#,##0.00\);_(&quot;$&quot;* &quot;-&quot;??_);_(@_)"/>
    <numFmt numFmtId="164" formatCode="&quot;$&quot;#,##0_);\(&quot;$&quot;#,##0\);\–_);&quot;–&quot;_)"/>
    <numFmt numFmtId="165" formatCode="0.0%_);\(0.0%\);&quot;–&quot;_)"/>
    <numFmt numFmtId="166" formatCode="&quot;$&quot;#,##0.0_);\(&quot;$&quot;#,##0.0\);\–_);&quot;–&quot;_)"/>
    <numFmt numFmtId="167" formatCode="\L\+0.00%"/>
    <numFmt numFmtId="168" formatCode="0.00%_);\(0.00%\);&quot;–&quot;_)"/>
    <numFmt numFmtId="169" formatCode="&quot;S&quot;\+0.00%"/>
    <numFmt numFmtId="170" formatCode="&quot;$&quot;#,##0.00_);\(&quot;$&quot;#,##0.00\);\–_);&quot;–&quot;_)"/>
    <numFmt numFmtId="171" formatCode="0.0\x_);\(0.0\x\);&quot;–&quot;_)"/>
    <numFmt numFmtId="172" formatCode="#,##0_);\(#,##0\);\–_);&quot;–&quot;_)"/>
    <numFmt numFmtId="173" formatCode="#,##0.0_);\(#,##0.0\);\–_);&quot;–&quot;_)"/>
    <numFmt numFmtId="174" formatCode="#,##0.00_);\(#,##0.00\);\–_);&quot;–&quot;_)"/>
    <numFmt numFmtId="175" formatCode="m/d/yy;@"/>
    <numFmt numFmtId="176" formatCode="&quot;$&quot;#,##0.0000_);\(&quot;$&quot;#,##0.0000\)"/>
    <numFmt numFmtId="177" formatCode="0.0%"/>
    <numFmt numFmtId="178" formatCode="0.00\x_);\(0.00\x\);&quot;–&quot;_)"/>
    <numFmt numFmtId="179" formatCode="0.00000000000000_);\(0.00000000000000\)"/>
    <numFmt numFmtId="180" formatCode="#,##0.000_);\(#,##0.000\);\–_);&quot;–&quot;_)"/>
  </numFmts>
  <fonts count="42" x14ac:knownFonts="1">
    <font>
      <sz val="11"/>
      <color theme="1"/>
      <name val="Calibri"/>
      <family val="2"/>
      <scheme val="minor"/>
    </font>
    <font>
      <sz val="11"/>
      <color theme="1"/>
      <name val="Calibri"/>
      <family val="2"/>
      <scheme val="minor"/>
    </font>
    <font>
      <b/>
      <sz val="16"/>
      <color theme="1"/>
      <name val="Times New Roman"/>
      <family val="1"/>
    </font>
    <font>
      <b/>
      <i/>
      <sz val="16"/>
      <color theme="1"/>
      <name val="Times New Roman"/>
      <family val="1"/>
    </font>
    <font>
      <sz val="14"/>
      <color theme="1"/>
      <name val="Times New Roman"/>
      <family val="1"/>
    </font>
    <font>
      <b/>
      <sz val="14"/>
      <color theme="1"/>
      <name val="Times New Roman"/>
      <family val="1"/>
    </font>
    <font>
      <b/>
      <u val="singleAccounting"/>
      <sz val="14"/>
      <color theme="1"/>
      <name val="Times New Roman"/>
      <family val="1"/>
    </font>
    <font>
      <u val="singleAccounting"/>
      <sz val="14"/>
      <color theme="1"/>
      <name val="Times New Roman"/>
      <family val="1"/>
    </font>
    <font>
      <b/>
      <sz val="14"/>
      <color rgb="FF0000FF"/>
      <name val="Times New Roman"/>
      <family val="1"/>
    </font>
    <font>
      <b/>
      <sz val="14"/>
      <color rgb="FF000000"/>
      <name val="Times New Roman"/>
      <family val="1"/>
    </font>
    <font>
      <b/>
      <u/>
      <sz val="14"/>
      <color theme="1"/>
      <name val="Times New Roman"/>
      <family val="1"/>
    </font>
    <font>
      <sz val="14"/>
      <color rgb="FF0000FF"/>
      <name val="Times New Roman"/>
      <family val="1"/>
    </font>
    <font>
      <sz val="14"/>
      <color rgb="FF000000"/>
      <name val="Times New Roman"/>
      <family val="1"/>
    </font>
    <font>
      <sz val="14"/>
      <color rgb="FF800080"/>
      <name val="Times New Roman"/>
      <family val="1"/>
    </font>
    <font>
      <i/>
      <sz val="14"/>
      <color theme="1"/>
      <name val="Times New Roman"/>
      <family val="1"/>
    </font>
    <font>
      <b/>
      <sz val="14"/>
      <color rgb="FF800080"/>
      <name val="Times New Roman"/>
      <family val="1"/>
    </font>
    <font>
      <u/>
      <sz val="14"/>
      <color theme="1"/>
      <name val="Times New Roman"/>
      <family val="1"/>
    </font>
    <font>
      <sz val="14"/>
      <color rgb="FFFF0000"/>
      <name val="Times New Roman"/>
      <family val="1"/>
    </font>
    <font>
      <sz val="9"/>
      <color indexed="81"/>
      <name val="Tahoma"/>
      <family val="2"/>
    </font>
    <font>
      <b/>
      <sz val="9"/>
      <color indexed="81"/>
      <name val="Tahoma"/>
      <family val="2"/>
    </font>
    <font>
      <sz val="16"/>
      <color indexed="81"/>
      <name val="Tahoma"/>
      <family val="2"/>
    </font>
    <font>
      <sz val="11"/>
      <color rgb="FFFF0000"/>
      <name val="Times New Roman"/>
      <family val="1"/>
    </font>
    <font>
      <sz val="16"/>
      <color theme="0"/>
      <name val="Arial"/>
      <family val="2"/>
    </font>
    <font>
      <sz val="16"/>
      <color theme="1"/>
      <name val="Arial"/>
      <family val="2"/>
    </font>
    <font>
      <i/>
      <sz val="14"/>
      <color rgb="FF000000"/>
      <name val="Times New Roman"/>
      <family val="1"/>
    </font>
    <font>
      <b/>
      <sz val="16"/>
      <color theme="0"/>
      <name val="Arial"/>
      <family val="2"/>
    </font>
    <font>
      <sz val="14"/>
      <color rgb="FFFF0000"/>
      <name val="Calibri"/>
      <family val="2"/>
      <scheme val="minor"/>
    </font>
    <font>
      <sz val="14"/>
      <color rgb="FF2D3B45"/>
      <name val="Times New Roman"/>
      <family val="1"/>
    </font>
    <font>
      <sz val="14"/>
      <color theme="0"/>
      <name val="Times New Roman"/>
      <family val="1"/>
    </font>
    <font>
      <b/>
      <i/>
      <sz val="14"/>
      <color rgb="FF008000"/>
      <name val="Times New Roman"/>
      <family val="1"/>
    </font>
    <font>
      <b/>
      <sz val="14"/>
      <color rgb="FF008000"/>
      <name val="Calibri"/>
      <family val="2"/>
      <scheme val="minor"/>
    </font>
    <font>
      <b/>
      <sz val="11"/>
      <color rgb="FF800080"/>
      <name val="Calibri"/>
      <family val="2"/>
      <scheme val="minor"/>
    </font>
    <font>
      <i/>
      <sz val="14"/>
      <color rgb="FFFF0000"/>
      <name val="Times New Roman"/>
      <family val="1"/>
    </font>
    <font>
      <b/>
      <i/>
      <u/>
      <sz val="14"/>
      <color rgb="FFFF0000"/>
      <name val="Times New Roman"/>
      <family val="1"/>
    </font>
    <font>
      <b/>
      <u/>
      <sz val="14"/>
      <color rgb="FFFF0000"/>
      <name val="Times New Roman"/>
      <family val="1"/>
    </font>
    <font>
      <b/>
      <i/>
      <sz val="14"/>
      <color rgb="FFFF0000"/>
      <name val="Times New Roman"/>
      <family val="1"/>
    </font>
    <font>
      <b/>
      <sz val="14"/>
      <color rgb="FFFF0000"/>
      <name val="Times New Roman"/>
      <family val="1"/>
    </font>
    <font>
      <b/>
      <sz val="16"/>
      <color rgb="FFC00000"/>
      <name val="Times New Roman"/>
      <family val="1"/>
    </font>
    <font>
      <b/>
      <u/>
      <sz val="12"/>
      <color rgb="FFFF0000"/>
      <name val="Times New Roman"/>
      <family val="1"/>
    </font>
    <font>
      <sz val="14"/>
      <color rgb="FF0070C0"/>
      <name val="Times New Roman"/>
      <family val="1"/>
    </font>
    <font>
      <sz val="14"/>
      <color rgb="FF7030A0"/>
      <name val="Times New Roman"/>
      <family val="1"/>
    </font>
    <font>
      <sz val="14"/>
      <name val="Times New Roman"/>
      <family val="1"/>
    </font>
  </fonts>
  <fills count="18">
    <fill>
      <patternFill patternType="none"/>
    </fill>
    <fill>
      <patternFill patternType="gray125"/>
    </fill>
    <fill>
      <patternFill patternType="solid">
        <fgColor rgb="FFFFFFCC"/>
        <bgColor indexed="64"/>
      </patternFill>
    </fill>
    <fill>
      <patternFill patternType="solid">
        <fgColor rgb="FFEAEAEA"/>
        <bgColor indexed="64"/>
      </patternFill>
    </fill>
    <fill>
      <patternFill patternType="solid">
        <fgColor rgb="FFFBB161"/>
        <bgColor indexed="64"/>
      </patternFill>
    </fill>
    <fill>
      <patternFill patternType="solid">
        <fgColor rgb="FF000000"/>
        <bgColor indexed="64"/>
      </patternFill>
    </fill>
    <fill>
      <patternFill patternType="solid">
        <fgColor theme="0" tint="-0.34998626667073579"/>
        <bgColor indexed="64"/>
      </patternFill>
    </fill>
    <fill>
      <patternFill patternType="solid">
        <fgColor rgb="FFDDEBF7"/>
        <bgColor indexed="64"/>
      </patternFill>
    </fill>
    <fill>
      <patternFill patternType="solid">
        <fgColor rgb="FF00B050"/>
        <bgColor indexed="64"/>
      </patternFill>
    </fill>
    <fill>
      <patternFill patternType="solid">
        <fgColor theme="2"/>
        <bgColor indexed="64"/>
      </patternFill>
    </fill>
    <fill>
      <patternFill patternType="solid">
        <fgColor rgb="FFFFFFFF"/>
        <bgColor indexed="64"/>
      </patternFill>
    </fill>
    <fill>
      <patternFill patternType="solid">
        <fgColor rgb="FFCCFFCC"/>
        <bgColor indexed="64"/>
      </patternFill>
    </fill>
    <fill>
      <patternFill patternType="solid">
        <fgColor theme="8" tint="0.79998168889431442"/>
        <bgColor indexed="64"/>
      </patternFill>
    </fill>
    <fill>
      <patternFill patternType="solid">
        <fgColor rgb="FFFF66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s>
  <borders count="25">
    <border>
      <left/>
      <right/>
      <top/>
      <bottom/>
      <diagonal/>
    </border>
    <border>
      <left/>
      <right/>
      <top style="medium">
        <color rgb="FF000000"/>
      </top>
      <bottom/>
      <diagonal/>
    </border>
    <border>
      <left/>
      <right/>
      <top style="medium">
        <color rgb="FF000000"/>
      </top>
      <bottom style="medium">
        <color rgb="FF000000"/>
      </bottom>
      <diagonal/>
    </border>
    <border>
      <left/>
      <right/>
      <top/>
      <bottom style="medium">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right style="medium">
        <color rgb="FF000000"/>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diagonal/>
    </border>
  </borders>
  <cellStyleXfs count="2">
    <xf numFmtId="0" fontId="0" fillId="0" borderId="0"/>
    <xf numFmtId="44" fontId="1" fillId="0" borderId="0" applyFont="0" applyFill="0" applyBorder="0" applyAlignment="0" applyProtection="0"/>
  </cellStyleXfs>
  <cellXfs count="378">
    <xf numFmtId="0" fontId="0" fillId="0" borderId="0" xfId="0"/>
    <xf numFmtId="0" fontId="2" fillId="0" borderId="3" xfId="0" applyFont="1" applyBorder="1"/>
    <xf numFmtId="0" fontId="3" fillId="0" borderId="3" xfId="0" applyFont="1" applyBorder="1"/>
    <xf numFmtId="0" fontId="4" fillId="0" borderId="0" xfId="0" applyFont="1"/>
    <xf numFmtId="0" fontId="5" fillId="0" borderId="3" xfId="0" applyFont="1" applyBorder="1"/>
    <xf numFmtId="0" fontId="4" fillId="0" borderId="3" xfId="0" applyFont="1" applyBorder="1"/>
    <xf numFmtId="0" fontId="4" fillId="0" borderId="0" xfId="0" applyFont="1" applyProtection="1"/>
    <xf numFmtId="0" fontId="5" fillId="0" borderId="0" xfId="0" applyFont="1"/>
    <xf numFmtId="0" fontId="6" fillId="0" borderId="0" xfId="0" applyFont="1" applyBorder="1" applyAlignment="1">
      <alignment horizontal="centerContinuous"/>
    </xf>
    <xf numFmtId="0" fontId="7" fillId="0" borderId="0" xfId="0" applyFont="1" applyAlignment="1">
      <alignment horizontal="centerContinuous"/>
    </xf>
    <xf numFmtId="0" fontId="5" fillId="0" borderId="0" xfId="0" applyFont="1" applyBorder="1"/>
    <xf numFmtId="14" fontId="8" fillId="0" borderId="0" xfId="0" applyNumberFormat="1" applyFont="1" applyBorder="1"/>
    <xf numFmtId="0" fontId="4" fillId="0" borderId="0" xfId="0" applyFont="1" applyBorder="1"/>
    <xf numFmtId="0" fontId="10" fillId="0" borderId="0" xfId="0" applyFont="1"/>
    <xf numFmtId="14" fontId="5" fillId="0" borderId="0" xfId="0" applyNumberFormat="1" applyFont="1"/>
    <xf numFmtId="164" fontId="5" fillId="0" borderId="0" xfId="0" applyNumberFormat="1" applyFont="1"/>
    <xf numFmtId="164" fontId="11" fillId="0" borderId="0" xfId="1" applyNumberFormat="1" applyFont="1" applyFill="1" applyBorder="1"/>
    <xf numFmtId="164" fontId="12" fillId="0" borderId="0" xfId="1" applyNumberFormat="1" applyFont="1" applyFill="1" applyBorder="1"/>
    <xf numFmtId="164" fontId="11" fillId="0" borderId="0" xfId="1" applyNumberFormat="1" applyFont="1"/>
    <xf numFmtId="164" fontId="12" fillId="0" borderId="0" xfId="1" applyNumberFormat="1" applyFont="1"/>
    <xf numFmtId="164" fontId="11" fillId="0" borderId="0" xfId="1" applyNumberFormat="1" applyFont="1" applyBorder="1"/>
    <xf numFmtId="0" fontId="4" fillId="2" borderId="1" xfId="0" applyFont="1" applyFill="1" applyBorder="1"/>
    <xf numFmtId="164" fontId="12" fillId="2" borderId="1" xfId="0" applyNumberFormat="1" applyFont="1" applyFill="1" applyBorder="1" applyAlignment="1">
      <alignment horizontal="right"/>
    </xf>
    <xf numFmtId="166" fontId="4" fillId="0" borderId="0" xfId="1" applyNumberFormat="1" applyFont="1"/>
    <xf numFmtId="166" fontId="12" fillId="0" borderId="0" xfId="1" applyNumberFormat="1" applyFont="1"/>
    <xf numFmtId="0" fontId="4" fillId="3" borderId="2" xfId="0" applyFont="1" applyFill="1" applyBorder="1"/>
    <xf numFmtId="164" fontId="12" fillId="3" borderId="2" xfId="0" applyNumberFormat="1" applyFont="1" applyFill="1" applyBorder="1" applyAlignment="1">
      <alignment horizontal="right"/>
    </xf>
    <xf numFmtId="166" fontId="4" fillId="0" borderId="0" xfId="0" applyNumberFormat="1" applyFont="1"/>
    <xf numFmtId="164" fontId="11" fillId="0" borderId="0" xfId="0" applyNumberFormat="1" applyFont="1"/>
    <xf numFmtId="164" fontId="11" fillId="0" borderId="0" xfId="1" applyNumberFormat="1" applyFont="1" applyFill="1"/>
    <xf numFmtId="164" fontId="12" fillId="0" borderId="0" xfId="1" applyNumberFormat="1" applyFont="1" applyFill="1"/>
    <xf numFmtId="0" fontId="4" fillId="3" borderId="1" xfId="0" applyFont="1" applyFill="1" applyBorder="1"/>
    <xf numFmtId="164" fontId="12" fillId="3" borderId="1" xfId="0" applyNumberFormat="1" applyFont="1" applyFill="1" applyBorder="1" applyAlignment="1">
      <alignment horizontal="right"/>
    </xf>
    <xf numFmtId="166" fontId="12" fillId="0" borderId="0" xfId="0" applyNumberFormat="1" applyFont="1"/>
    <xf numFmtId="0" fontId="4" fillId="4" borderId="2" xfId="0" applyFont="1" applyFill="1" applyBorder="1"/>
    <xf numFmtId="164" fontId="12" fillId="4" borderId="2" xfId="0" applyNumberFormat="1" applyFont="1" applyFill="1" applyBorder="1" applyAlignment="1">
      <alignment horizontal="right"/>
    </xf>
    <xf numFmtId="0" fontId="14" fillId="0" borderId="0" xfId="0" applyFont="1"/>
    <xf numFmtId="166" fontId="14" fillId="0" borderId="0" xfId="0" applyNumberFormat="1" applyFont="1"/>
    <xf numFmtId="166" fontId="4" fillId="0" borderId="0" xfId="0" applyNumberFormat="1" applyFont="1" applyBorder="1"/>
    <xf numFmtId="0" fontId="4" fillId="0" borderId="4" xfId="0" applyFont="1" applyFill="1" applyBorder="1"/>
    <xf numFmtId="166" fontId="4" fillId="0" borderId="4" xfId="0" applyNumberFormat="1" applyFont="1" applyFill="1" applyBorder="1"/>
    <xf numFmtId="164" fontId="12" fillId="0" borderId="4" xfId="1" applyNumberFormat="1" applyFont="1" applyFill="1" applyBorder="1"/>
    <xf numFmtId="164" fontId="4" fillId="0" borderId="4" xfId="0" applyNumberFormat="1" applyFont="1" applyFill="1" applyBorder="1"/>
    <xf numFmtId="14" fontId="15" fillId="0" borderId="0" xfId="0" applyNumberFormat="1" applyFont="1" applyBorder="1" applyAlignment="1">
      <alignment horizontal="right" vertical="center"/>
    </xf>
    <xf numFmtId="0" fontId="16" fillId="0" borderId="0" xfId="0" applyFont="1"/>
    <xf numFmtId="164" fontId="4" fillId="0" borderId="0" xfId="0" applyNumberFormat="1" applyFont="1"/>
    <xf numFmtId="0" fontId="4" fillId="0" borderId="1" xfId="0" applyFont="1" applyBorder="1"/>
    <xf numFmtId="0" fontId="4" fillId="0" borderId="0" xfId="0" applyFont="1" applyAlignment="1">
      <alignment horizontal="left"/>
    </xf>
    <xf numFmtId="0" fontId="10" fillId="0" borderId="0" xfId="0" applyFont="1" applyAlignment="1">
      <alignment horizontal="left"/>
    </xf>
    <xf numFmtId="164" fontId="13" fillId="5" borderId="0" xfId="0" applyNumberFormat="1" applyFont="1" applyFill="1"/>
    <xf numFmtId="165" fontId="4" fillId="0" borderId="0" xfId="0" applyNumberFormat="1" applyFont="1"/>
    <xf numFmtId="0" fontId="4" fillId="0" borderId="0" xfId="0" applyFont="1" applyAlignment="1">
      <alignment wrapText="1"/>
    </xf>
    <xf numFmtId="165" fontId="12" fillId="0" borderId="0" xfId="1" applyNumberFormat="1" applyFont="1"/>
    <xf numFmtId="165" fontId="13" fillId="0" borderId="0" xfId="1" applyNumberFormat="1" applyFont="1"/>
    <xf numFmtId="164" fontId="11" fillId="0" borderId="0" xfId="0" applyNumberFormat="1" applyFont="1" applyFill="1"/>
    <xf numFmtId="0" fontId="0" fillId="0" borderId="0" xfId="0" applyFill="1"/>
    <xf numFmtId="0" fontId="4" fillId="0" borderId="0" xfId="0" applyFont="1" applyFill="1"/>
    <xf numFmtId="0" fontId="4" fillId="6" borderId="0" xfId="0" applyFont="1" applyFill="1"/>
    <xf numFmtId="0" fontId="0" fillId="6" borderId="0" xfId="0" applyFill="1"/>
    <xf numFmtId="0" fontId="6" fillId="0" borderId="0" xfId="0" applyFont="1" applyAlignment="1">
      <alignment horizontal="centerContinuous"/>
    </xf>
    <xf numFmtId="0" fontId="4" fillId="6" borderId="0" xfId="0" applyFont="1" applyFill="1" applyBorder="1"/>
    <xf numFmtId="0" fontId="4" fillId="0" borderId="0" xfId="0" applyFont="1" applyFill="1" applyBorder="1"/>
    <xf numFmtId="166" fontId="4" fillId="0" borderId="0" xfId="0" applyNumberFormat="1" applyFont="1" applyFill="1" applyBorder="1"/>
    <xf numFmtId="164" fontId="13" fillId="0" borderId="0" xfId="1" applyNumberFormat="1" applyFont="1"/>
    <xf numFmtId="164" fontId="13" fillId="0" borderId="0" xfId="0" applyNumberFormat="1" applyFont="1" applyFill="1"/>
    <xf numFmtId="0" fontId="4" fillId="3" borderId="4" xfId="0" applyFont="1" applyFill="1" applyBorder="1"/>
    <xf numFmtId="165" fontId="4" fillId="0" borderId="0" xfId="0" applyNumberFormat="1" applyFont="1" applyFill="1" applyBorder="1"/>
    <xf numFmtId="165" fontId="13" fillId="0" borderId="0" xfId="0" applyNumberFormat="1" applyFont="1" applyFill="1" applyBorder="1"/>
    <xf numFmtId="165" fontId="12" fillId="0" borderId="0" xfId="1" applyNumberFormat="1" applyFont="1" applyFill="1"/>
    <xf numFmtId="165" fontId="13" fillId="0" borderId="0" xfId="1" applyNumberFormat="1" applyFont="1" applyFill="1"/>
    <xf numFmtId="164" fontId="13" fillId="0" borderId="0" xfId="1" applyNumberFormat="1" applyFont="1" applyFill="1"/>
    <xf numFmtId="0" fontId="8" fillId="0" borderId="3" xfId="0" applyNumberFormat="1" applyFont="1" applyBorder="1"/>
    <xf numFmtId="0" fontId="15" fillId="0" borderId="3" xfId="0" applyNumberFormat="1" applyFont="1" applyBorder="1"/>
    <xf numFmtId="0" fontId="9" fillId="0" borderId="3" xfId="0" applyNumberFormat="1" applyFont="1" applyBorder="1"/>
    <xf numFmtId="164" fontId="13" fillId="0" borderId="0" xfId="0" applyNumberFormat="1" applyFont="1" applyFill="1" applyBorder="1"/>
    <xf numFmtId="0" fontId="15" fillId="0" borderId="3" xfId="0" applyFont="1" applyBorder="1"/>
    <xf numFmtId="166" fontId="4" fillId="0" borderId="0" xfId="1" applyNumberFormat="1" applyFont="1" applyProtection="1"/>
    <xf numFmtId="166" fontId="4" fillId="0" borderId="4" xfId="0" applyNumberFormat="1" applyFont="1" applyBorder="1"/>
    <xf numFmtId="164" fontId="4" fillId="0" borderId="4" xfId="0" applyNumberFormat="1" applyFont="1" applyBorder="1"/>
    <xf numFmtId="0" fontId="13" fillId="0" borderId="0" xfId="0" applyFont="1"/>
    <xf numFmtId="0" fontId="0" fillId="0" borderId="0" xfId="0"/>
    <xf numFmtId="0" fontId="11" fillId="0" borderId="0" xfId="0" applyFont="1"/>
    <xf numFmtId="165" fontId="12" fillId="0" borderId="0" xfId="1" applyNumberFormat="1" applyFont="1" applyBorder="1"/>
    <xf numFmtId="164" fontId="13" fillId="0" borderId="0" xfId="1" applyNumberFormat="1" applyFont="1" applyBorder="1"/>
    <xf numFmtId="164" fontId="13" fillId="0" borderId="0" xfId="1" applyNumberFormat="1" applyFont="1" applyFill="1" applyBorder="1"/>
    <xf numFmtId="164" fontId="13" fillId="0" borderId="4" xfId="1" applyNumberFormat="1" applyFont="1" applyFill="1" applyBorder="1"/>
    <xf numFmtId="167" fontId="11" fillId="0" borderId="0" xfId="1" applyNumberFormat="1" applyFont="1"/>
    <xf numFmtId="168" fontId="11" fillId="0" borderId="0" xfId="1" applyNumberFormat="1" applyFont="1" applyFill="1" applyBorder="1"/>
    <xf numFmtId="168" fontId="13" fillId="0" borderId="0" xfId="1" applyNumberFormat="1" applyFont="1" applyFill="1" applyBorder="1"/>
    <xf numFmtId="164" fontId="12" fillId="7" borderId="4" xfId="1" applyNumberFormat="1" applyFont="1" applyFill="1" applyBorder="1"/>
    <xf numFmtId="164" fontId="13" fillId="7" borderId="0" xfId="1" applyNumberFormat="1" applyFont="1" applyFill="1" applyBorder="1"/>
    <xf numFmtId="164" fontId="12" fillId="7" borderId="0" xfId="1" applyNumberFormat="1" applyFont="1" applyFill="1" applyBorder="1"/>
    <xf numFmtId="169" fontId="11" fillId="0" borderId="0" xfId="1" applyNumberFormat="1" applyFont="1"/>
    <xf numFmtId="164" fontId="12" fillId="7" borderId="0" xfId="1" applyNumberFormat="1" applyFont="1" applyFill="1"/>
    <xf numFmtId="164" fontId="13" fillId="7" borderId="0" xfId="0" applyNumberFormat="1" applyFont="1" applyFill="1"/>
    <xf numFmtId="166" fontId="14" fillId="7" borderId="0" xfId="0" applyNumberFormat="1" applyFont="1" applyFill="1"/>
    <xf numFmtId="164" fontId="4" fillId="7" borderId="4" xfId="0" applyNumberFormat="1" applyFont="1" applyFill="1" applyBorder="1"/>
    <xf numFmtId="164" fontId="12" fillId="7" borderId="0" xfId="0" applyNumberFormat="1" applyFont="1" applyFill="1"/>
    <xf numFmtId="164" fontId="13" fillId="7" borderId="0" xfId="0" applyNumberFormat="1" applyFont="1" applyFill="1" applyBorder="1"/>
    <xf numFmtId="164" fontId="4" fillId="7" borderId="1" xfId="0" applyNumberFormat="1" applyFont="1" applyFill="1" applyBorder="1"/>
    <xf numFmtId="164" fontId="4" fillId="7" borderId="0" xfId="0" applyNumberFormat="1" applyFont="1" applyFill="1"/>
    <xf numFmtId="164" fontId="13" fillId="7" borderId="0" xfId="0" applyNumberFormat="1" applyFont="1" applyFill="1" applyAlignment="1">
      <alignment horizontal="right"/>
    </xf>
    <xf numFmtId="164" fontId="12" fillId="7" borderId="0" xfId="0" applyNumberFormat="1" applyFont="1" applyFill="1" applyAlignment="1">
      <alignment horizontal="right"/>
    </xf>
    <xf numFmtId="165" fontId="4" fillId="7" borderId="6" xfId="0" applyNumberFormat="1" applyFont="1" applyFill="1" applyBorder="1"/>
    <xf numFmtId="165" fontId="13" fillId="7" borderId="6" xfId="0" applyNumberFormat="1" applyFont="1" applyFill="1" applyBorder="1"/>
    <xf numFmtId="165" fontId="13" fillId="7" borderId="0" xfId="0" applyNumberFormat="1" applyFont="1" applyFill="1" applyBorder="1"/>
    <xf numFmtId="164" fontId="13" fillId="7" borderId="0" xfId="1" applyNumberFormat="1" applyFont="1" applyFill="1"/>
    <xf numFmtId="168" fontId="12" fillId="7" borderId="0" xfId="1" applyNumberFormat="1" applyFont="1" applyFill="1"/>
    <xf numFmtId="165" fontId="12" fillId="7" borderId="6" xfId="1" applyNumberFormat="1" applyFont="1" applyFill="1" applyBorder="1"/>
    <xf numFmtId="164" fontId="13" fillId="7" borderId="4" xfId="0" applyNumberFormat="1" applyFont="1" applyFill="1" applyBorder="1"/>
    <xf numFmtId="0" fontId="13" fillId="7" borderId="5" xfId="0" applyFont="1" applyFill="1" applyBorder="1"/>
    <xf numFmtId="0" fontId="17" fillId="0" borderId="0" xfId="0" applyFont="1"/>
    <xf numFmtId="0" fontId="15" fillId="0" borderId="3" xfId="0" applyNumberFormat="1" applyFont="1" applyBorder="1" applyAlignment="1">
      <alignment horizontal="centerContinuous"/>
    </xf>
    <xf numFmtId="0" fontId="17" fillId="0" borderId="0" xfId="0" applyFont="1" applyAlignment="1">
      <alignment horizontal="left"/>
    </xf>
    <xf numFmtId="170" fontId="14" fillId="7" borderId="0" xfId="0" applyNumberFormat="1" applyFont="1" applyFill="1"/>
    <xf numFmtId="166" fontId="4" fillId="7" borderId="0" xfId="0" applyNumberFormat="1" applyFont="1" applyFill="1"/>
    <xf numFmtId="166" fontId="12" fillId="7" borderId="1" xfId="0" applyNumberFormat="1" applyFont="1" applyFill="1" applyBorder="1"/>
    <xf numFmtId="166" fontId="4" fillId="7" borderId="4" xfId="0" applyNumberFormat="1" applyFont="1" applyFill="1" applyBorder="1"/>
    <xf numFmtId="166" fontId="13" fillId="7" borderId="0" xfId="0" applyNumberFormat="1" applyFont="1" applyFill="1"/>
    <xf numFmtId="0" fontId="21" fillId="0" borderId="0" xfId="0" applyFont="1"/>
    <xf numFmtId="0" fontId="17" fillId="0" borderId="0" xfId="0" applyFont="1" applyBorder="1"/>
    <xf numFmtId="0" fontId="4" fillId="0" borderId="6" xfId="0" applyFont="1" applyFill="1" applyBorder="1" applyAlignment="1">
      <alignment horizontal="centerContinuous"/>
    </xf>
    <xf numFmtId="0" fontId="7" fillId="0" borderId="0" xfId="0" applyFont="1" applyBorder="1" applyAlignment="1">
      <alignment horizontal="centerContinuous"/>
    </xf>
    <xf numFmtId="0" fontId="4" fillId="0" borderId="6" xfId="0" applyFont="1" applyFill="1" applyBorder="1" applyAlignment="1">
      <alignment horizontal="left"/>
    </xf>
    <xf numFmtId="0" fontId="12" fillId="0" borderId="0" xfId="0" applyFont="1"/>
    <xf numFmtId="0" fontId="22" fillId="8" borderId="0" xfId="0" applyFont="1" applyFill="1" applyAlignment="1">
      <alignment horizontal="centerContinuous"/>
    </xf>
    <xf numFmtId="0" fontId="23" fillId="0" borderId="0" xfId="0" applyFont="1"/>
    <xf numFmtId="0" fontId="10" fillId="0" borderId="0" xfId="0" applyFont="1" applyAlignment="1">
      <alignment horizontal="centerContinuous"/>
    </xf>
    <xf numFmtId="171" fontId="4" fillId="0" borderId="0" xfId="0" applyNumberFormat="1" applyFont="1"/>
    <xf numFmtId="171" fontId="11" fillId="0" borderId="0" xfId="0" applyNumberFormat="1" applyFont="1"/>
    <xf numFmtId="165" fontId="12" fillId="7" borderId="0" xfId="0" applyNumberFormat="1" applyFont="1" applyFill="1" applyBorder="1"/>
    <xf numFmtId="164" fontId="12" fillId="7" borderId="0" xfId="0" applyNumberFormat="1" applyFont="1" applyFill="1" applyBorder="1"/>
    <xf numFmtId="165" fontId="11" fillId="7" borderId="0" xfId="0" applyNumberFormat="1" applyFont="1" applyFill="1" applyBorder="1"/>
    <xf numFmtId="14" fontId="12" fillId="0" borderId="0" xfId="0" applyNumberFormat="1" applyFont="1" applyAlignment="1">
      <alignment vertical="center"/>
    </xf>
    <xf numFmtId="164" fontId="13" fillId="0" borderId="0" xfId="0" applyNumberFormat="1" applyFont="1" applyAlignment="1">
      <alignment vertical="center"/>
    </xf>
    <xf numFmtId="165" fontId="13" fillId="0" borderId="0" xfId="0" applyNumberFormat="1" applyFont="1"/>
    <xf numFmtId="165" fontId="12" fillId="0" borderId="0" xfId="0" applyNumberFormat="1" applyFont="1"/>
    <xf numFmtId="164" fontId="13" fillId="0" borderId="0" xfId="0" applyNumberFormat="1" applyFont="1"/>
    <xf numFmtId="7" fontId="11" fillId="0" borderId="0" xfId="0" applyNumberFormat="1" applyFont="1"/>
    <xf numFmtId="173" fontId="4" fillId="0" borderId="0" xfId="0" applyNumberFormat="1" applyFont="1"/>
    <xf numFmtId="165" fontId="11" fillId="0" borderId="0" xfId="0" applyNumberFormat="1" applyFont="1"/>
    <xf numFmtId="174" fontId="11" fillId="0" borderId="0" xfId="0" applyNumberFormat="1" applyFont="1"/>
    <xf numFmtId="164" fontId="12" fillId="0" borderId="0" xfId="0" applyNumberFormat="1" applyFont="1"/>
    <xf numFmtId="173" fontId="11" fillId="0" borderId="0" xfId="0" applyNumberFormat="1" applyFont="1"/>
    <xf numFmtId="0" fontId="14" fillId="0" borderId="0" xfId="0" applyFont="1" applyAlignment="1">
      <alignment horizontal="left" indent="1"/>
    </xf>
    <xf numFmtId="165" fontId="24" fillId="0" borderId="0" xfId="0" applyNumberFormat="1" applyFont="1"/>
    <xf numFmtId="165" fontId="14" fillId="0" borderId="0" xfId="0" applyNumberFormat="1" applyFont="1"/>
    <xf numFmtId="0" fontId="9" fillId="0" borderId="3" xfId="0" applyFont="1" applyBorder="1" applyAlignment="1">
      <alignment horizontal="centerContinuous"/>
    </xf>
    <xf numFmtId="173" fontId="4" fillId="0" borderId="0" xfId="0" applyNumberFormat="1" applyFont="1" applyAlignment="1">
      <alignment horizontal="right"/>
    </xf>
    <xf numFmtId="172" fontId="11" fillId="0" borderId="0" xfId="0" applyNumberFormat="1" applyFont="1"/>
    <xf numFmtId="172" fontId="4" fillId="0" borderId="0" xfId="0" applyNumberFormat="1" applyFont="1" applyAlignment="1">
      <alignment horizontal="right"/>
    </xf>
    <xf numFmtId="0" fontId="11" fillId="7" borderId="5" xfId="0" applyFont="1" applyFill="1" applyBorder="1"/>
    <xf numFmtId="164" fontId="13" fillId="7" borderId="0" xfId="0" applyNumberFormat="1" applyFont="1" applyFill="1" applyAlignment="1">
      <alignment vertical="center"/>
    </xf>
    <xf numFmtId="165" fontId="24" fillId="7" borderId="0" xfId="0" applyNumberFormat="1" applyFont="1" applyFill="1"/>
    <xf numFmtId="0" fontId="4" fillId="7" borderId="0" xfId="0" applyFont="1" applyFill="1"/>
    <xf numFmtId="165" fontId="4" fillId="7" borderId="0" xfId="0" applyNumberFormat="1" applyFont="1" applyFill="1"/>
    <xf numFmtId="165" fontId="13" fillId="7" borderId="0" xfId="0" applyNumberFormat="1" applyFont="1" applyFill="1"/>
    <xf numFmtId="165" fontId="12" fillId="7" borderId="0" xfId="0" applyNumberFormat="1" applyFont="1" applyFill="1"/>
    <xf numFmtId="171" fontId="4" fillId="7" borderId="0" xfId="0" applyNumberFormat="1" applyFont="1" applyFill="1"/>
    <xf numFmtId="173" fontId="4" fillId="7" borderId="0" xfId="0" applyNumberFormat="1" applyFont="1" applyFill="1" applyAlignment="1">
      <alignment horizontal="right"/>
    </xf>
    <xf numFmtId="171" fontId="12" fillId="7" borderId="0" xfId="0" applyNumberFormat="1" applyFont="1" applyFill="1"/>
    <xf numFmtId="0" fontId="23" fillId="0" borderId="0" xfId="0" applyFont="1" applyFill="1"/>
    <xf numFmtId="0" fontId="4" fillId="0" borderId="4" xfId="0" applyFont="1" applyBorder="1"/>
    <xf numFmtId="165" fontId="12" fillId="7" borderId="4" xfId="0" applyNumberFormat="1" applyFont="1" applyFill="1" applyBorder="1"/>
    <xf numFmtId="164" fontId="12" fillId="7" borderId="4" xfId="0" applyNumberFormat="1" applyFont="1" applyFill="1" applyBorder="1"/>
    <xf numFmtId="173" fontId="11" fillId="0" borderId="0" xfId="0" applyNumberFormat="1" applyFont="1" applyBorder="1"/>
    <xf numFmtId="173" fontId="4" fillId="7" borderId="4" xfId="0" applyNumberFormat="1" applyFont="1" applyFill="1" applyBorder="1"/>
    <xf numFmtId="165" fontId="13" fillId="7" borderId="5" xfId="0" applyNumberFormat="1" applyFont="1" applyFill="1" applyBorder="1"/>
    <xf numFmtId="171" fontId="4" fillId="0" borderId="4" xfId="0" applyNumberFormat="1" applyFont="1" applyFill="1" applyBorder="1" applyAlignment="1">
      <alignment horizontal="right"/>
    </xf>
    <xf numFmtId="171" fontId="4" fillId="7" borderId="4" xfId="0" applyNumberFormat="1" applyFont="1" applyFill="1" applyBorder="1" applyAlignment="1">
      <alignment horizontal="right"/>
    </xf>
    <xf numFmtId="0" fontId="25" fillId="8" borderId="0" xfId="0" applyFont="1" applyFill="1" applyAlignment="1">
      <alignment horizontal="centerContinuous"/>
    </xf>
    <xf numFmtId="0" fontId="5" fillId="0" borderId="6" xfId="0" applyFont="1" applyFill="1" applyBorder="1" applyAlignment="1">
      <alignment horizontal="centerContinuous"/>
    </xf>
    <xf numFmtId="0" fontId="15" fillId="0" borderId="6" xfId="0" applyFont="1" applyFill="1" applyBorder="1" applyAlignment="1">
      <alignment horizontal="centerContinuous"/>
    </xf>
    <xf numFmtId="0" fontId="4" fillId="0" borderId="0" xfId="0" applyFont="1" applyFill="1" applyBorder="1" applyAlignment="1">
      <alignment horizontal="left"/>
    </xf>
    <xf numFmtId="0" fontId="4" fillId="0" borderId="6" xfId="0" applyFont="1" applyFill="1" applyBorder="1"/>
    <xf numFmtId="0" fontId="5" fillId="0" borderId="6" xfId="0" applyFont="1" applyFill="1" applyBorder="1" applyAlignment="1">
      <alignment horizontal="left"/>
    </xf>
    <xf numFmtId="164" fontId="14" fillId="0" borderId="0" xfId="0" applyNumberFormat="1" applyFont="1"/>
    <xf numFmtId="165" fontId="12" fillId="0" borderId="6" xfId="0" applyNumberFormat="1" applyFont="1" applyBorder="1" applyAlignment="1">
      <alignment horizontal="centerContinuous"/>
    </xf>
    <xf numFmtId="165" fontId="11" fillId="7" borderId="0" xfId="0" applyNumberFormat="1" applyFont="1" applyFill="1"/>
    <xf numFmtId="0" fontId="17" fillId="9" borderId="0" xfId="0" applyFont="1" applyFill="1"/>
    <xf numFmtId="0" fontId="4" fillId="9" borderId="0" xfId="0" applyFont="1" applyFill="1"/>
    <xf numFmtId="173" fontId="12" fillId="7" borderId="0" xfId="0" applyNumberFormat="1" applyFont="1" applyFill="1" applyAlignment="1">
      <alignment horizontal="right"/>
    </xf>
    <xf numFmtId="173" fontId="11" fillId="7" borderId="0" xfId="0" applyNumberFormat="1" applyFont="1" applyFill="1" applyBorder="1"/>
    <xf numFmtId="0" fontId="17" fillId="0" borderId="0" xfId="0" applyFont="1" applyAlignment="1">
      <alignment horizontal="right"/>
    </xf>
    <xf numFmtId="175" fontId="11" fillId="0" borderId="0" xfId="0" applyNumberFormat="1" applyFont="1" applyAlignment="1">
      <alignment horizontal="right"/>
    </xf>
    <xf numFmtId="168" fontId="11" fillId="7" borderId="0" xfId="0" applyNumberFormat="1" applyFont="1" applyFill="1" applyAlignment="1">
      <alignment vertical="center"/>
    </xf>
    <xf numFmtId="168" fontId="11" fillId="7" borderId="0" xfId="0" applyNumberFormat="1" applyFont="1" applyFill="1" applyBorder="1" applyAlignment="1">
      <alignment vertical="center"/>
    </xf>
    <xf numFmtId="0" fontId="4" fillId="0" borderId="13" xfId="0" applyFont="1" applyBorder="1"/>
    <xf numFmtId="0" fontId="4" fillId="0" borderId="15" xfId="0" applyFont="1" applyBorder="1"/>
    <xf numFmtId="0" fontId="4" fillId="0" borderId="14" xfId="0" applyFont="1" applyBorder="1" applyAlignment="1">
      <alignment horizontal="centerContinuous"/>
    </xf>
    <xf numFmtId="170" fontId="4" fillId="7" borderId="7" xfId="0" applyNumberFormat="1" applyFont="1" applyFill="1" applyBorder="1" applyAlignment="1">
      <alignment vertical="center"/>
    </xf>
    <xf numFmtId="170" fontId="4" fillId="7" borderId="4" xfId="0" applyNumberFormat="1" applyFont="1" applyFill="1" applyBorder="1" applyAlignment="1">
      <alignment vertical="center"/>
    </xf>
    <xf numFmtId="170" fontId="4" fillId="7" borderId="8" xfId="0" applyNumberFormat="1" applyFont="1" applyFill="1" applyBorder="1" applyAlignment="1">
      <alignment vertical="center"/>
    </xf>
    <xf numFmtId="170" fontId="4" fillId="7" borderId="9" xfId="0" applyNumberFormat="1" applyFont="1" applyFill="1" applyBorder="1" applyAlignment="1">
      <alignment vertical="center"/>
    </xf>
    <xf numFmtId="170" fontId="4" fillId="7" borderId="10" xfId="0" applyNumberFormat="1" applyFont="1" applyFill="1" applyBorder="1" applyAlignment="1">
      <alignment vertical="center"/>
    </xf>
    <xf numFmtId="170" fontId="4" fillId="7" borderId="11" xfId="0" applyNumberFormat="1" applyFont="1" applyFill="1" applyBorder="1" applyAlignment="1">
      <alignment vertical="center"/>
    </xf>
    <xf numFmtId="170" fontId="4" fillId="7" borderId="6" xfId="0" applyNumberFormat="1" applyFont="1" applyFill="1" applyBorder="1" applyAlignment="1">
      <alignment vertical="center"/>
    </xf>
    <xf numFmtId="170" fontId="4" fillId="7" borderId="12" xfId="0" applyNumberFormat="1" applyFont="1" applyFill="1" applyBorder="1" applyAlignment="1">
      <alignment vertical="center"/>
    </xf>
    <xf numFmtId="0" fontId="4" fillId="0" borderId="13" xfId="0" applyFont="1" applyBorder="1" applyAlignment="1">
      <alignment horizontal="centerContinuous"/>
    </xf>
    <xf numFmtId="0" fontId="4" fillId="0" borderId="15" xfId="0" applyFont="1" applyBorder="1" applyAlignment="1">
      <alignment horizontal="centerContinuous"/>
    </xf>
    <xf numFmtId="0" fontId="12" fillId="0" borderId="0" xfId="0" applyFont="1" applyAlignment="1">
      <alignment horizontal="left"/>
    </xf>
    <xf numFmtId="0" fontId="11" fillId="0" borderId="0" xfId="0" applyFont="1" applyFill="1"/>
    <xf numFmtId="175" fontId="12" fillId="0" borderId="0" xfId="0" applyNumberFormat="1" applyFont="1" applyAlignment="1">
      <alignment horizontal="right"/>
    </xf>
    <xf numFmtId="0" fontId="4" fillId="0" borderId="0" xfId="0" applyFont="1" applyAlignment="1">
      <alignment horizontal="right"/>
    </xf>
    <xf numFmtId="168" fontId="13" fillId="0" borderId="0" xfId="0" applyNumberFormat="1" applyFont="1"/>
    <xf numFmtId="0" fontId="4" fillId="0" borderId="6" xfId="0" applyFont="1" applyBorder="1" applyAlignment="1">
      <alignment horizontal="centerContinuous"/>
    </xf>
    <xf numFmtId="0" fontId="5" fillId="0" borderId="3" xfId="0" applyFont="1" applyFill="1" applyBorder="1"/>
    <xf numFmtId="0" fontId="4" fillId="0" borderId="3" xfId="0" applyFont="1" applyFill="1" applyBorder="1"/>
    <xf numFmtId="0" fontId="5" fillId="0" borderId="0" xfId="0" applyFont="1" applyFill="1" applyBorder="1"/>
    <xf numFmtId="171" fontId="13" fillId="7" borderId="0" xfId="0" applyNumberFormat="1" applyFont="1" applyFill="1"/>
    <xf numFmtId="164" fontId="4" fillId="0" borderId="0" xfId="0" applyNumberFormat="1" applyFont="1" applyBorder="1"/>
    <xf numFmtId="165" fontId="4" fillId="7" borderId="0" xfId="0" applyNumberFormat="1" applyFont="1" applyFill="1" applyBorder="1"/>
    <xf numFmtId="171" fontId="13" fillId="7" borderId="0" xfId="0" applyNumberFormat="1" applyFont="1" applyFill="1" applyBorder="1"/>
    <xf numFmtId="164" fontId="4" fillId="7" borderId="0" xfId="0" applyNumberFormat="1" applyFont="1" applyFill="1" applyBorder="1"/>
    <xf numFmtId="0" fontId="9" fillId="0" borderId="0" xfId="0" applyFont="1" applyBorder="1"/>
    <xf numFmtId="0" fontId="0" fillId="0" borderId="0" xfId="0" applyFill="1" applyBorder="1"/>
    <xf numFmtId="0" fontId="5" fillId="0" borderId="4" xfId="0" applyFont="1" applyFill="1" applyBorder="1"/>
    <xf numFmtId="165" fontId="4" fillId="0" borderId="6" xfId="0" applyNumberFormat="1" applyFont="1" applyBorder="1" applyAlignment="1">
      <alignment horizontal="centerContinuous"/>
    </xf>
    <xf numFmtId="0" fontId="5" fillId="0" borderId="14" xfId="0" applyFont="1" applyBorder="1"/>
    <xf numFmtId="0" fontId="5" fillId="0" borderId="15" xfId="0" applyFont="1" applyBorder="1"/>
    <xf numFmtId="165" fontId="12" fillId="7" borderId="7" xfId="0" applyNumberFormat="1" applyFont="1" applyFill="1" applyBorder="1"/>
    <xf numFmtId="165" fontId="12" fillId="7" borderId="8" xfId="0" applyNumberFormat="1" applyFont="1" applyFill="1" applyBorder="1"/>
    <xf numFmtId="165" fontId="12" fillId="7" borderId="9" xfId="0" applyNumberFormat="1" applyFont="1" applyFill="1" applyBorder="1"/>
    <xf numFmtId="165" fontId="12" fillId="7" borderId="10" xfId="0" applyNumberFormat="1" applyFont="1" applyFill="1" applyBorder="1"/>
    <xf numFmtId="165" fontId="12" fillId="7" borderId="11" xfId="0" applyNumberFormat="1" applyFont="1" applyFill="1" applyBorder="1"/>
    <xf numFmtId="165" fontId="12" fillId="7" borderId="6" xfId="0" applyNumberFormat="1" applyFont="1" applyFill="1" applyBorder="1"/>
    <xf numFmtId="165" fontId="12" fillId="7" borderId="12" xfId="0" applyNumberFormat="1" applyFont="1" applyFill="1" applyBorder="1"/>
    <xf numFmtId="171" fontId="11" fillId="7" borderId="0" xfId="0" applyNumberFormat="1" applyFont="1" applyFill="1"/>
    <xf numFmtId="0" fontId="5" fillId="0" borderId="6" xfId="0" applyFont="1" applyBorder="1" applyAlignment="1">
      <alignment horizontal="centerContinuous"/>
    </xf>
    <xf numFmtId="0" fontId="27" fillId="0" borderId="0" xfId="0" applyFont="1" applyAlignment="1">
      <alignment vertical="center"/>
    </xf>
    <xf numFmtId="0" fontId="4" fillId="0" borderId="0" xfId="0" applyFont="1" applyAlignment="1">
      <alignment horizontal="left" vertical="center" indent="2"/>
    </xf>
    <xf numFmtId="0" fontId="4" fillId="0" borderId="0" xfId="0" applyFont="1" applyAlignment="1">
      <alignment horizontal="left" vertical="center" indent="5"/>
    </xf>
    <xf numFmtId="0" fontId="9" fillId="0" borderId="0" xfId="0" applyFont="1" applyBorder="1" applyAlignment="1">
      <alignment horizontal="centerContinuous"/>
    </xf>
    <xf numFmtId="172" fontId="11" fillId="0" borderId="0" xfId="0" applyNumberFormat="1" applyFont="1" applyBorder="1"/>
    <xf numFmtId="0" fontId="10" fillId="0" borderId="4" xfId="0" applyFont="1" applyFill="1" applyBorder="1"/>
    <xf numFmtId="170" fontId="11" fillId="0" borderId="0" xfId="0" applyNumberFormat="1" applyFont="1"/>
    <xf numFmtId="170" fontId="13" fillId="7" borderId="0" xfId="0" applyNumberFormat="1" applyFont="1" applyFill="1" applyAlignment="1">
      <alignment vertical="center"/>
    </xf>
    <xf numFmtId="176" fontId="4" fillId="0" borderId="0" xfId="0" applyNumberFormat="1" applyFont="1"/>
    <xf numFmtId="171" fontId="4" fillId="7" borderId="0" xfId="0" applyNumberFormat="1" applyFont="1" applyFill="1" applyAlignment="1">
      <alignment horizontal="right"/>
    </xf>
    <xf numFmtId="165" fontId="4" fillId="7" borderId="0" xfId="0" applyNumberFormat="1" applyFont="1" applyFill="1" applyAlignment="1">
      <alignment horizontal="right"/>
    </xf>
    <xf numFmtId="0" fontId="4" fillId="0" borderId="16" xfId="0" applyFont="1" applyFill="1" applyBorder="1" applyAlignment="1">
      <alignment horizontal="centerContinuous"/>
    </xf>
    <xf numFmtId="0" fontId="4" fillId="0" borderId="17" xfId="0" applyFont="1" applyFill="1" applyBorder="1" applyAlignment="1">
      <alignment horizontal="centerContinuous"/>
    </xf>
    <xf numFmtId="0" fontId="6" fillId="0" borderId="13" xfId="0" applyFont="1" applyBorder="1" applyAlignment="1">
      <alignment horizontal="centerContinuous"/>
    </xf>
    <xf numFmtId="0" fontId="5" fillId="0" borderId="3" xfId="0" applyFont="1" applyFill="1" applyBorder="1" applyAlignment="1"/>
    <xf numFmtId="171" fontId="4" fillId="0" borderId="16" xfId="0" applyNumberFormat="1" applyFont="1" applyFill="1" applyBorder="1" applyAlignment="1">
      <alignment horizontal="centerContinuous"/>
    </xf>
    <xf numFmtId="171" fontId="4" fillId="0" borderId="11" xfId="0" applyNumberFormat="1" applyFont="1" applyBorder="1" applyAlignment="1">
      <alignment horizontal="centerContinuous"/>
    </xf>
    <xf numFmtId="0" fontId="4" fillId="0" borderId="19" xfId="0" applyFont="1" applyFill="1" applyBorder="1" applyAlignment="1">
      <alignment horizontal="centerContinuous"/>
    </xf>
    <xf numFmtId="0" fontId="4" fillId="0" borderId="20" xfId="0" applyFont="1" applyFill="1" applyBorder="1" applyAlignment="1">
      <alignment horizontal="centerContinuous"/>
    </xf>
    <xf numFmtId="164" fontId="4" fillId="7" borderId="21" xfId="0" applyNumberFormat="1" applyFont="1" applyFill="1" applyBorder="1"/>
    <xf numFmtId="0" fontId="4" fillId="0" borderId="22" xfId="0" applyFont="1" applyFill="1" applyBorder="1" applyAlignment="1">
      <alignment horizontal="centerContinuous"/>
    </xf>
    <xf numFmtId="0" fontId="4" fillId="0" borderId="23" xfId="0" applyFont="1" applyFill="1" applyBorder="1" applyAlignment="1">
      <alignment horizontal="centerContinuous"/>
    </xf>
    <xf numFmtId="165" fontId="12" fillId="7" borderId="18" xfId="0" applyNumberFormat="1" applyFont="1" applyFill="1" applyBorder="1"/>
    <xf numFmtId="165" fontId="12" fillId="7" borderId="24" xfId="0" applyNumberFormat="1" applyFont="1" applyFill="1" applyBorder="1"/>
    <xf numFmtId="0" fontId="17" fillId="0" borderId="6" xfId="0" applyFont="1" applyFill="1" applyBorder="1" applyAlignment="1">
      <alignment horizontal="right"/>
    </xf>
    <xf numFmtId="0" fontId="17" fillId="0" borderId="6" xfId="0" applyFont="1" applyFill="1" applyBorder="1" applyAlignment="1"/>
    <xf numFmtId="0" fontId="0" fillId="0" borderId="6" xfId="0" applyFill="1" applyBorder="1"/>
    <xf numFmtId="0" fontId="17" fillId="0" borderId="4" xfId="0" applyFont="1" applyFill="1" applyBorder="1"/>
    <xf numFmtId="170" fontId="4" fillId="7" borderId="5" xfId="0" applyNumberFormat="1" applyFont="1" applyFill="1" applyBorder="1"/>
    <xf numFmtId="171" fontId="4" fillId="0" borderId="5" xfId="0" applyNumberFormat="1" applyFont="1" applyBorder="1" applyAlignment="1">
      <alignment horizontal="centerContinuous"/>
    </xf>
    <xf numFmtId="171" fontId="4" fillId="0" borderId="6" xfId="0" applyNumberFormat="1" applyFont="1" applyFill="1" applyBorder="1" applyAlignment="1">
      <alignment horizontal="centerContinuous"/>
    </xf>
    <xf numFmtId="0" fontId="17" fillId="0" borderId="0" xfId="0" applyFont="1" applyBorder="1" applyAlignment="1">
      <alignment horizontal="right"/>
    </xf>
    <xf numFmtId="0" fontId="4" fillId="0" borderId="11" xfId="0" applyFont="1" applyFill="1" applyBorder="1" applyAlignment="1">
      <alignment horizontal="centerContinuous"/>
    </xf>
    <xf numFmtId="0" fontId="17" fillId="0" borderId="9" xfId="0" applyFont="1" applyFill="1" applyBorder="1"/>
    <xf numFmtId="0" fontId="10" fillId="0" borderId="0" xfId="0" applyFont="1" applyFill="1" applyBorder="1"/>
    <xf numFmtId="0" fontId="15" fillId="0" borderId="0" xfId="0" applyFont="1" applyBorder="1"/>
    <xf numFmtId="0" fontId="4" fillId="0" borderId="0" xfId="0" applyFont="1" applyFill="1" applyBorder="1" applyAlignment="1">
      <alignment horizontal="centerContinuous"/>
    </xf>
    <xf numFmtId="0" fontId="11" fillId="6" borderId="0" xfId="0" applyFont="1" applyFill="1"/>
    <xf numFmtId="0" fontId="11" fillId="0" borderId="0" xfId="0" applyFont="1" applyFill="1" applyBorder="1" applyAlignment="1">
      <alignment horizontal="centerContinuous"/>
    </xf>
    <xf numFmtId="0" fontId="13" fillId="0" borderId="0" xfId="0" applyFont="1" applyFill="1" applyBorder="1"/>
    <xf numFmtId="0" fontId="13" fillId="0" borderId="4" xfId="0" applyFont="1" applyFill="1" applyBorder="1"/>
    <xf numFmtId="0" fontId="17" fillId="0" borderId="0" xfId="0" applyFont="1" applyAlignment="1"/>
    <xf numFmtId="0" fontId="17" fillId="0" borderId="0" xfId="0" applyFont="1" applyFill="1" applyBorder="1" applyAlignment="1"/>
    <xf numFmtId="0" fontId="17" fillId="0" borderId="4" xfId="0" applyFont="1" applyFill="1" applyBorder="1" applyAlignment="1"/>
    <xf numFmtId="0" fontId="17" fillId="0" borderId="0" xfId="0" applyFont="1" applyFill="1" applyBorder="1" applyAlignment="1">
      <alignment horizontal="right"/>
    </xf>
    <xf numFmtId="0" fontId="17" fillId="0" borderId="4" xfId="0" applyFont="1" applyFill="1" applyBorder="1" applyAlignment="1">
      <alignment horizontal="right"/>
    </xf>
    <xf numFmtId="165" fontId="4" fillId="7" borderId="14" xfId="0" applyNumberFormat="1" applyFont="1" applyFill="1" applyBorder="1"/>
    <xf numFmtId="164" fontId="4" fillId="7" borderId="14" xfId="0" applyNumberFormat="1" applyFont="1" applyFill="1" applyBorder="1"/>
    <xf numFmtId="164" fontId="4" fillId="7" borderId="13" xfId="0" applyNumberFormat="1" applyFont="1" applyFill="1" applyBorder="1"/>
    <xf numFmtId="170" fontId="4" fillId="7" borderId="0" xfId="0" applyNumberFormat="1" applyFont="1" applyFill="1" applyBorder="1"/>
    <xf numFmtId="171" fontId="4" fillId="7" borderId="14" xfId="0" applyNumberFormat="1" applyFont="1" applyFill="1" applyBorder="1"/>
    <xf numFmtId="171" fontId="4" fillId="7" borderId="0" xfId="0" applyNumberFormat="1" applyFont="1" applyFill="1" applyBorder="1"/>
    <xf numFmtId="0" fontId="0" fillId="10" borderId="0" xfId="0" applyFill="1"/>
    <xf numFmtId="0" fontId="17" fillId="10" borderId="0" xfId="0" applyFont="1" applyFill="1" applyAlignment="1"/>
    <xf numFmtId="0" fontId="17" fillId="10" borderId="0" xfId="0" applyFont="1" applyFill="1" applyAlignment="1">
      <alignment horizontal="right"/>
    </xf>
    <xf numFmtId="0" fontId="17" fillId="10" borderId="0" xfId="0" applyFont="1" applyFill="1" applyBorder="1" applyAlignment="1">
      <alignment horizontal="right"/>
    </xf>
    <xf numFmtId="0" fontId="17" fillId="10" borderId="4" xfId="0" applyFont="1" applyFill="1" applyBorder="1" applyAlignment="1">
      <alignment horizontal="right"/>
    </xf>
    <xf numFmtId="0" fontId="4" fillId="10" borderId="0" xfId="0" applyFont="1" applyFill="1" applyBorder="1"/>
    <xf numFmtId="0" fontId="4" fillId="10" borderId="0" xfId="0" applyFont="1" applyFill="1"/>
    <xf numFmtId="0" fontId="28" fillId="10" borderId="14" xfId="0" applyFont="1" applyFill="1" applyBorder="1"/>
    <xf numFmtId="0" fontId="28" fillId="10" borderId="0" xfId="0" applyFont="1" applyFill="1" applyBorder="1"/>
    <xf numFmtId="177" fontId="28" fillId="10" borderId="0" xfId="0" applyNumberFormat="1" applyFont="1" applyFill="1" applyBorder="1"/>
    <xf numFmtId="0" fontId="4" fillId="10" borderId="14" xfId="0" applyFont="1" applyFill="1" applyBorder="1"/>
    <xf numFmtId="177" fontId="4" fillId="10" borderId="0" xfId="0" applyNumberFormat="1" applyFont="1" applyFill="1" applyBorder="1"/>
    <xf numFmtId="0" fontId="17" fillId="10" borderId="0" xfId="0" applyFont="1" applyFill="1" applyBorder="1" applyAlignment="1"/>
    <xf numFmtId="0" fontId="15" fillId="7" borderId="3" xfId="0" applyFont="1" applyFill="1" applyBorder="1" applyAlignment="1">
      <alignment horizontal="centerContinuous"/>
    </xf>
    <xf numFmtId="0" fontId="11" fillId="7" borderId="0" xfId="0" applyFont="1" applyFill="1" applyBorder="1" applyAlignment="1">
      <alignment horizontal="centerContinuous"/>
    </xf>
    <xf numFmtId="0" fontId="4" fillId="7" borderId="0" xfId="0" applyFont="1" applyFill="1" applyBorder="1" applyAlignment="1">
      <alignment horizontal="centerContinuous"/>
    </xf>
    <xf numFmtId="0" fontId="17" fillId="0" borderId="14" xfId="0" applyFont="1" applyFill="1" applyBorder="1" applyAlignment="1">
      <alignment horizontal="right"/>
    </xf>
    <xf numFmtId="0" fontId="9" fillId="0" borderId="3" xfId="0" applyFont="1" applyBorder="1"/>
    <xf numFmtId="14" fontId="8" fillId="0" borderId="0" xfId="0" applyNumberFormat="1" applyFont="1"/>
    <xf numFmtId="178" fontId="12" fillId="7" borderId="0" xfId="0" applyNumberFormat="1" applyFont="1" applyFill="1"/>
    <xf numFmtId="178" fontId="12" fillId="7" borderId="4" xfId="0" applyNumberFormat="1" applyFont="1" applyFill="1" applyBorder="1"/>
    <xf numFmtId="176" fontId="17" fillId="0" borderId="0" xfId="0" applyNumberFormat="1" applyFont="1"/>
    <xf numFmtId="170" fontId="4" fillId="2" borderId="0" xfId="0" applyNumberFormat="1" applyFont="1" applyFill="1" applyBorder="1" applyAlignment="1">
      <alignment vertical="center"/>
    </xf>
    <xf numFmtId="178" fontId="12" fillId="7" borderId="0" xfId="0" applyNumberFormat="1" applyFont="1" applyFill="1" applyBorder="1"/>
    <xf numFmtId="164" fontId="13" fillId="7" borderId="9" xfId="0" applyNumberFormat="1" applyFont="1" applyFill="1" applyBorder="1"/>
    <xf numFmtId="179" fontId="4" fillId="0" borderId="0" xfId="0" applyNumberFormat="1" applyFont="1"/>
    <xf numFmtId="165" fontId="12" fillId="2" borderId="0" xfId="0" applyNumberFormat="1" applyFont="1" applyFill="1"/>
    <xf numFmtId="0" fontId="17" fillId="0" borderId="3" xfId="0" applyFont="1" applyFill="1" applyBorder="1"/>
    <xf numFmtId="0" fontId="17" fillId="0" borderId="0" xfId="0" applyFont="1" applyFill="1" applyBorder="1"/>
    <xf numFmtId="164" fontId="13" fillId="7" borderId="14" xfId="0" applyNumberFormat="1" applyFont="1" applyFill="1" applyBorder="1"/>
    <xf numFmtId="170" fontId="13" fillId="7" borderId="14" xfId="0" applyNumberFormat="1" applyFont="1" applyFill="1" applyBorder="1"/>
    <xf numFmtId="165" fontId="13" fillId="7" borderId="15" xfId="0" applyNumberFormat="1" applyFont="1" applyFill="1" applyBorder="1"/>
    <xf numFmtId="0" fontId="28" fillId="0" borderId="0" xfId="0" applyFont="1" applyFill="1" applyBorder="1"/>
    <xf numFmtId="177" fontId="28" fillId="0" borderId="0" xfId="0" applyNumberFormat="1" applyFont="1" applyFill="1" applyBorder="1"/>
    <xf numFmtId="0" fontId="4" fillId="11" borderId="0" xfId="0" applyFont="1" applyFill="1"/>
    <xf numFmtId="166" fontId="4" fillId="11" borderId="0" xfId="1" applyNumberFormat="1" applyFont="1" applyFill="1"/>
    <xf numFmtId="164" fontId="13" fillId="11" borderId="0" xfId="0" applyNumberFormat="1" applyFont="1" applyFill="1"/>
    <xf numFmtId="164" fontId="12" fillId="11" borderId="0" xfId="0" applyNumberFormat="1" applyFont="1" applyFill="1"/>
    <xf numFmtId="0" fontId="29" fillId="0" borderId="0" xfId="0" applyFont="1"/>
    <xf numFmtId="0" fontId="30" fillId="0" borderId="0" xfId="0" applyFont="1"/>
    <xf numFmtId="164" fontId="12" fillId="11" borderId="0" xfId="0" applyNumberFormat="1" applyFont="1" applyFill="1" applyBorder="1"/>
    <xf numFmtId="0" fontId="29" fillId="0" borderId="0" xfId="0" applyFont="1" applyAlignment="1">
      <alignment horizontal="right"/>
    </xf>
    <xf numFmtId="0" fontId="29" fillId="0" borderId="0" xfId="0" applyFont="1" applyAlignment="1">
      <alignment horizontal="left"/>
    </xf>
    <xf numFmtId="165" fontId="12" fillId="11" borderId="0" xfId="0" applyNumberFormat="1" applyFont="1" applyFill="1" applyBorder="1"/>
    <xf numFmtId="164" fontId="13" fillId="11" borderId="0" xfId="0" applyNumberFormat="1" applyFont="1" applyFill="1" applyBorder="1"/>
    <xf numFmtId="0" fontId="13" fillId="0" borderId="6" xfId="0" applyFont="1" applyFill="1" applyBorder="1"/>
    <xf numFmtId="0" fontId="17" fillId="0" borderId="6" xfId="0" applyFont="1" applyFill="1" applyBorder="1"/>
    <xf numFmtId="164" fontId="4" fillId="7" borderId="15" xfId="0" applyNumberFormat="1" applyFont="1" applyFill="1" applyBorder="1"/>
    <xf numFmtId="164" fontId="4" fillId="7" borderId="6" xfId="0" applyNumberFormat="1" applyFont="1" applyFill="1" applyBorder="1"/>
    <xf numFmtId="0" fontId="17" fillId="10" borderId="6" xfId="0" applyFont="1" applyFill="1" applyBorder="1" applyAlignment="1">
      <alignment horizontal="right"/>
    </xf>
    <xf numFmtId="0" fontId="31" fillId="0" borderId="13" xfId="0" applyFont="1" applyBorder="1" applyAlignment="1">
      <alignment horizontal="centerContinuous"/>
    </xf>
    <xf numFmtId="0" fontId="31" fillId="0" borderId="15" xfId="0" applyFont="1" applyBorder="1" applyAlignment="1">
      <alignment horizontal="centerContinuous"/>
    </xf>
    <xf numFmtId="165" fontId="4" fillId="11" borderId="0" xfId="0" applyNumberFormat="1" applyFont="1" applyFill="1" applyBorder="1"/>
    <xf numFmtId="178" fontId="11" fillId="0" borderId="4" xfId="0" applyNumberFormat="1" applyFont="1" applyFill="1" applyBorder="1"/>
    <xf numFmtId="0" fontId="32" fillId="0" borderId="0" xfId="0" applyFont="1"/>
    <xf numFmtId="0" fontId="35" fillId="0" borderId="0" xfId="0" applyFont="1"/>
    <xf numFmtId="0" fontId="35" fillId="0" borderId="0" xfId="0" applyFont="1" applyAlignment="1">
      <alignment wrapText="1"/>
    </xf>
    <xf numFmtId="0" fontId="36" fillId="0" borderId="0" xfId="0" applyFont="1"/>
    <xf numFmtId="0" fontId="5" fillId="11" borderId="0" xfId="0" applyFont="1" applyFill="1"/>
    <xf numFmtId="0" fontId="36" fillId="0" borderId="0" xfId="0" applyFont="1" applyBorder="1"/>
    <xf numFmtId="166" fontId="12" fillId="7" borderId="0" xfId="1" applyNumberFormat="1" applyFont="1" applyFill="1" applyBorder="1"/>
    <xf numFmtId="0" fontId="37" fillId="0" borderId="0" xfId="0" applyFont="1"/>
    <xf numFmtId="164" fontId="13" fillId="12" borderId="0" xfId="1" applyNumberFormat="1" applyFont="1" applyFill="1"/>
    <xf numFmtId="164" fontId="13" fillId="13" borderId="5" xfId="1" applyNumberFormat="1" applyFont="1" applyFill="1" applyBorder="1"/>
    <xf numFmtId="164" fontId="4" fillId="13" borderId="5" xfId="1" applyNumberFormat="1" applyFont="1" applyFill="1" applyBorder="1"/>
    <xf numFmtId="0" fontId="38" fillId="0" borderId="0" xfId="0" applyFont="1" applyAlignment="1">
      <alignment horizontal="centerContinuous"/>
    </xf>
    <xf numFmtId="0" fontId="36" fillId="14" borderId="0" xfId="0" applyFont="1" applyFill="1"/>
    <xf numFmtId="0" fontId="17" fillId="0" borderId="0" xfId="0" quotePrefix="1" applyFont="1"/>
    <xf numFmtId="171" fontId="11" fillId="15" borderId="0" xfId="0" applyNumberFormat="1" applyFont="1" applyFill="1"/>
    <xf numFmtId="165" fontId="12" fillId="11" borderId="0" xfId="0" applyNumberFormat="1" applyFont="1" applyFill="1"/>
    <xf numFmtId="165" fontId="39" fillId="7" borderId="0" xfId="0" applyNumberFormat="1" applyFont="1" applyFill="1" applyBorder="1"/>
    <xf numFmtId="0" fontId="4" fillId="15" borderId="0" xfId="0" applyFont="1" applyFill="1"/>
    <xf numFmtId="165" fontId="11" fillId="11" borderId="0" xfId="0" applyNumberFormat="1" applyFont="1" applyFill="1"/>
    <xf numFmtId="0" fontId="26" fillId="0" borderId="0" xfId="0" applyFont="1" applyAlignment="1">
      <alignment horizontal="right"/>
    </xf>
    <xf numFmtId="165" fontId="13" fillId="15" borderId="5" xfId="0" applyNumberFormat="1" applyFont="1" applyFill="1" applyBorder="1"/>
    <xf numFmtId="0" fontId="16" fillId="15" borderId="0" xfId="0" applyFont="1" applyFill="1"/>
    <xf numFmtId="0" fontId="4" fillId="16" borderId="0" xfId="0" applyFont="1" applyFill="1"/>
    <xf numFmtId="164" fontId="12" fillId="16" borderId="0" xfId="0" applyNumberFormat="1" applyFont="1" applyFill="1"/>
    <xf numFmtId="168" fontId="4" fillId="7" borderId="4" xfId="0" applyNumberFormat="1" applyFont="1" applyFill="1" applyBorder="1"/>
    <xf numFmtId="180" fontId="13" fillId="7" borderId="5" xfId="0" applyNumberFormat="1" applyFont="1" applyFill="1" applyBorder="1"/>
    <xf numFmtId="0" fontId="4" fillId="0" borderId="14" xfId="0" applyFont="1" applyBorder="1" applyAlignment="1">
      <alignment horizontal="right"/>
    </xf>
    <xf numFmtId="173" fontId="13" fillId="12" borderId="0" xfId="0" applyNumberFormat="1" applyFont="1" applyFill="1" applyBorder="1"/>
    <xf numFmtId="44" fontId="4" fillId="12" borderId="4" xfId="1" applyFont="1" applyFill="1" applyBorder="1"/>
    <xf numFmtId="164" fontId="13" fillId="12" borderId="0" xfId="0" applyNumberFormat="1" applyFont="1" applyFill="1" applyBorder="1"/>
    <xf numFmtId="0" fontId="4" fillId="17" borderId="4" xfId="0" applyFont="1" applyFill="1" applyBorder="1"/>
    <xf numFmtId="0" fontId="17" fillId="17" borderId="0" xfId="0" applyFont="1" applyFill="1"/>
    <xf numFmtId="0" fontId="4" fillId="17" borderId="0" xfId="0" applyFont="1" applyFill="1"/>
    <xf numFmtId="164" fontId="4" fillId="12" borderId="4" xfId="0" applyNumberFormat="1" applyFont="1" applyFill="1" applyBorder="1"/>
    <xf numFmtId="173" fontId="12" fillId="17" borderId="0" xfId="0" applyNumberFormat="1" applyFont="1" applyFill="1"/>
    <xf numFmtId="44" fontId="17" fillId="0" borderId="0" xfId="1" applyFont="1"/>
    <xf numFmtId="171" fontId="40" fillId="7" borderId="0" xfId="0" applyNumberFormat="1" applyFont="1" applyFill="1"/>
    <xf numFmtId="165" fontId="12" fillId="14" borderId="9" xfId="0" applyNumberFormat="1" applyFont="1" applyFill="1" applyBorder="1"/>
    <xf numFmtId="165" fontId="12" fillId="14" borderId="11" xfId="0" applyNumberFormat="1" applyFont="1" applyFill="1" applyBorder="1"/>
    <xf numFmtId="164" fontId="4" fillId="10" borderId="14" xfId="0" applyNumberFormat="1" applyFont="1" applyFill="1" applyBorder="1"/>
    <xf numFmtId="164" fontId="41" fillId="7" borderId="0" xfId="0" applyNumberFormat="1" applyFont="1" applyFill="1" applyBorder="1"/>
    <xf numFmtId="7" fontId="4" fillId="0" borderId="0" xfId="0" applyNumberFormat="1" applyFont="1" applyBorder="1"/>
    <xf numFmtId="180" fontId="4" fillId="0" borderId="0" xfId="0" applyNumberFormat="1" applyFont="1"/>
  </cellXfs>
  <cellStyles count="2">
    <cellStyle name="Currency" xfId="1" builtinId="4"/>
    <cellStyle name="Normal" xfId="0" builtinId="0"/>
  </cellStyles>
  <dxfs count="9">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s>
  <tableStyles count="0" defaultTableStyle="TableStyleMedium2" defaultPivotStyle="PivotStyleLight16"/>
  <colors>
    <mruColors>
      <color rgb="FFFF5050"/>
      <color rgb="FFFF6600"/>
      <color rgb="FFDDEBF7"/>
      <color rgb="FFFFFF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523875</xdr:colOff>
      <xdr:row>147</xdr:row>
      <xdr:rowOff>171450</xdr:rowOff>
    </xdr:from>
    <xdr:to>
      <xdr:col>4</xdr:col>
      <xdr:colOff>152400</xdr:colOff>
      <xdr:row>151</xdr:row>
      <xdr:rowOff>9525</xdr:rowOff>
    </xdr:to>
    <xdr:cxnSp macro="">
      <xdr:nvCxnSpPr>
        <xdr:cNvPr id="3" name="Straight Arrow Connector 2">
          <a:extLst>
            <a:ext uri="{FF2B5EF4-FFF2-40B4-BE49-F238E27FC236}">
              <a16:creationId xmlns:a16="http://schemas.microsoft.com/office/drawing/2014/main" id="{C181E3FE-E269-46FD-8816-1B662E12219E}"/>
            </a:ext>
          </a:extLst>
        </xdr:cNvPr>
        <xdr:cNvCxnSpPr/>
      </xdr:nvCxnSpPr>
      <xdr:spPr>
        <a:xfrm>
          <a:off x="4810125" y="38757225"/>
          <a:ext cx="255270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657225</xdr:colOff>
      <xdr:row>158</xdr:row>
      <xdr:rowOff>180975</xdr:rowOff>
    </xdr:from>
    <xdr:to>
      <xdr:col>4</xdr:col>
      <xdr:colOff>285750</xdr:colOff>
      <xdr:row>162</xdr:row>
      <xdr:rowOff>19050</xdr:rowOff>
    </xdr:to>
    <xdr:cxnSp macro="">
      <xdr:nvCxnSpPr>
        <xdr:cNvPr id="5" name="Straight Arrow Connector 4">
          <a:extLst>
            <a:ext uri="{FF2B5EF4-FFF2-40B4-BE49-F238E27FC236}">
              <a16:creationId xmlns:a16="http://schemas.microsoft.com/office/drawing/2014/main" id="{3F2438F8-F7A1-4864-A925-DA1261011435}"/>
            </a:ext>
          </a:extLst>
        </xdr:cNvPr>
        <xdr:cNvCxnSpPr/>
      </xdr:nvCxnSpPr>
      <xdr:spPr>
        <a:xfrm>
          <a:off x="4943475" y="41652825"/>
          <a:ext cx="255270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657225</xdr:colOff>
      <xdr:row>169</xdr:row>
      <xdr:rowOff>200025</xdr:rowOff>
    </xdr:from>
    <xdr:to>
      <xdr:col>4</xdr:col>
      <xdr:colOff>285750</xdr:colOff>
      <xdr:row>173</xdr:row>
      <xdr:rowOff>38100</xdr:rowOff>
    </xdr:to>
    <xdr:cxnSp macro="">
      <xdr:nvCxnSpPr>
        <xdr:cNvPr id="6" name="Straight Arrow Connector 5">
          <a:extLst>
            <a:ext uri="{FF2B5EF4-FFF2-40B4-BE49-F238E27FC236}">
              <a16:creationId xmlns:a16="http://schemas.microsoft.com/office/drawing/2014/main" id="{16CC1661-C07D-4564-AC3A-B92FA0076EDB}"/>
            </a:ext>
          </a:extLst>
        </xdr:cNvPr>
        <xdr:cNvCxnSpPr/>
      </xdr:nvCxnSpPr>
      <xdr:spPr>
        <a:xfrm>
          <a:off x="4943475" y="44557950"/>
          <a:ext cx="255270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C186D-6291-45F3-81D8-7B3177BCC1C0}">
  <sheetPr>
    <pageSetUpPr fitToPage="1"/>
  </sheetPr>
  <dimension ref="A1:AD491"/>
  <sheetViews>
    <sheetView showGridLines="0" tabSelected="1" topLeftCell="B417" zoomScale="80" zoomScaleNormal="80" workbookViewId="0">
      <selection activeCell="E16" sqref="E16"/>
    </sheetView>
  </sheetViews>
  <sheetFormatPr defaultColWidth="9.1796875" defaultRowHeight="18" x14ac:dyDescent="0.4"/>
  <cols>
    <col min="1" max="1" width="2.54296875" style="56" customWidth="1"/>
    <col min="2" max="2" width="61.7265625" style="3" customWidth="1"/>
    <col min="3" max="3" width="32.26953125" style="3" customWidth="1"/>
    <col min="4" max="4" width="15.81640625" style="3" customWidth="1"/>
    <col min="5" max="5" width="11.54296875" style="3" customWidth="1"/>
    <col min="6" max="6" width="14.54296875" style="3" bestFit="1" customWidth="1"/>
    <col min="7" max="7" width="15.26953125" style="3" customWidth="1"/>
    <col min="8" max="8" width="14.26953125" style="3" customWidth="1"/>
    <col min="9" max="9" width="14" style="3" bestFit="1" customWidth="1"/>
    <col min="10" max="10" width="11.54296875" style="3" customWidth="1"/>
    <col min="11" max="11" width="16.1796875" style="3" customWidth="1"/>
    <col min="12" max="12" width="14.1796875" style="3" customWidth="1"/>
    <col min="13" max="13" width="16.1796875" style="3" bestFit="1" customWidth="1"/>
    <col min="14" max="14" width="11.54296875" style="3" customWidth="1"/>
    <col min="15" max="16" width="10.54296875" style="3" customWidth="1"/>
    <col min="17" max="17" width="2.54296875" style="3" customWidth="1"/>
    <col min="18" max="18" width="32.453125" style="3" bestFit="1" customWidth="1"/>
    <col min="19" max="19" width="20.453125" style="56" bestFit="1" customWidth="1"/>
    <col min="20" max="20" width="27.453125" style="55" bestFit="1" customWidth="1"/>
    <col min="21" max="21" width="17.54296875" style="55" bestFit="1" customWidth="1"/>
    <col min="22" max="27" width="9.1796875" style="56"/>
    <col min="28" max="16384" width="9.1796875" style="3"/>
  </cols>
  <sheetData>
    <row r="1" spans="1:30" s="56" customFormat="1" x14ac:dyDescent="0.4">
      <c r="A1" s="57"/>
      <c r="B1" s="57"/>
      <c r="C1" s="57"/>
      <c r="D1" s="57"/>
      <c r="E1" s="57"/>
      <c r="F1" s="57"/>
      <c r="G1" s="57"/>
      <c r="H1" s="57"/>
      <c r="I1" s="57"/>
      <c r="J1" s="57"/>
      <c r="K1" s="57"/>
      <c r="L1" s="57"/>
      <c r="M1" s="57"/>
      <c r="N1" s="57"/>
      <c r="O1" s="57"/>
      <c r="P1" s="57"/>
      <c r="Q1" s="57"/>
      <c r="R1" s="57"/>
      <c r="S1" s="57"/>
      <c r="T1" s="58"/>
      <c r="U1" s="58"/>
      <c r="V1" s="57"/>
      <c r="W1" s="57"/>
      <c r="X1" s="57"/>
      <c r="Y1" s="57"/>
      <c r="Z1" s="57"/>
      <c r="AA1" s="57"/>
      <c r="AB1" s="57"/>
      <c r="AC1" s="57"/>
      <c r="AD1" s="57"/>
    </row>
    <row r="2" spans="1:30" ht="20.5" thickBot="1" x14ac:dyDescent="0.45">
      <c r="A2" s="57"/>
      <c r="B2" s="1" t="s">
        <v>103</v>
      </c>
      <c r="C2" s="1"/>
      <c r="D2" s="2" t="s">
        <v>71</v>
      </c>
      <c r="E2" s="5"/>
      <c r="F2" s="5"/>
      <c r="G2" s="5"/>
      <c r="H2" s="5"/>
      <c r="I2" s="5"/>
      <c r="J2" s="5"/>
      <c r="K2" s="5"/>
      <c r="L2" s="5"/>
      <c r="M2" s="5"/>
      <c r="N2" s="5"/>
      <c r="O2" s="5"/>
      <c r="P2" s="5"/>
      <c r="Q2" s="5"/>
      <c r="R2" s="170" t="s">
        <v>142</v>
      </c>
      <c r="S2" s="125"/>
      <c r="T2" s="125"/>
      <c r="U2" s="125"/>
      <c r="V2" s="125"/>
      <c r="W2" s="125"/>
      <c r="X2" s="125"/>
      <c r="Y2" s="125"/>
      <c r="Z2" s="125"/>
      <c r="AA2" s="125"/>
      <c r="AB2" s="125"/>
      <c r="AC2" s="125"/>
      <c r="AD2" s="57"/>
    </row>
    <row r="3" spans="1:30" ht="20" x14ac:dyDescent="0.4">
      <c r="A3" s="57"/>
      <c r="R3" s="3" t="s">
        <v>143</v>
      </c>
      <c r="S3" s="3" t="s">
        <v>144</v>
      </c>
      <c r="T3" s="3"/>
      <c r="U3" s="126"/>
      <c r="V3" s="126"/>
      <c r="W3" s="126"/>
      <c r="X3" s="126"/>
      <c r="Y3" s="126"/>
      <c r="Z3" s="126"/>
      <c r="AA3" s="126"/>
      <c r="AD3" s="57"/>
    </row>
    <row r="4" spans="1:30" ht="20" x14ac:dyDescent="0.4">
      <c r="A4" s="57"/>
      <c r="B4" s="3" t="s">
        <v>85</v>
      </c>
      <c r="D4" s="81">
        <v>1</v>
      </c>
      <c r="S4" s="3" t="s">
        <v>145</v>
      </c>
      <c r="T4" s="3"/>
      <c r="U4" s="126"/>
      <c r="V4" s="126"/>
      <c r="W4" s="126"/>
      <c r="X4" s="126"/>
      <c r="Y4" s="126"/>
      <c r="Z4" s="126"/>
      <c r="AA4" s="126"/>
      <c r="AD4" s="57"/>
    </row>
    <row r="5" spans="1:30" ht="20" x14ac:dyDescent="0.4">
      <c r="A5" s="57"/>
      <c r="B5" s="3" t="s">
        <v>86</v>
      </c>
      <c r="D5" s="151">
        <v>1</v>
      </c>
      <c r="I5" s="3" t="s">
        <v>396</v>
      </c>
      <c r="S5" s="3" t="s">
        <v>146</v>
      </c>
      <c r="T5" s="3"/>
      <c r="U5" s="126"/>
      <c r="V5" s="126"/>
      <c r="W5" s="126"/>
      <c r="X5" s="126"/>
      <c r="Y5" s="126"/>
      <c r="Z5" s="126"/>
      <c r="AA5" s="126"/>
      <c r="AD5" s="57"/>
    </row>
    <row r="6" spans="1:30" ht="20" x14ac:dyDescent="0.4">
      <c r="A6" s="57"/>
      <c r="B6" s="3" t="s">
        <v>90</v>
      </c>
      <c r="D6" s="110" t="str">
        <f ca="1">OFFSET(D6,$D$5,0)</f>
        <v>Base</v>
      </c>
      <c r="E6" s="111" t="str">
        <f ca="1">_xlfn.FORMULATEXT(D6)</f>
        <v>=OFFSET(D6,$D$5,0)</v>
      </c>
      <c r="I6" s="111" t="s">
        <v>225</v>
      </c>
      <c r="S6" s="3" t="s">
        <v>147</v>
      </c>
      <c r="T6" s="3"/>
      <c r="U6" s="126"/>
      <c r="V6" s="126"/>
      <c r="W6" s="126"/>
      <c r="X6" s="126"/>
      <c r="Y6" s="126"/>
      <c r="Z6" s="126"/>
      <c r="AA6" s="3"/>
      <c r="AD6" s="57"/>
    </row>
    <row r="7" spans="1:30" ht="20" x14ac:dyDescent="0.4">
      <c r="A7" s="57"/>
      <c r="C7" s="3">
        <v>1</v>
      </c>
      <c r="D7" s="201" t="s">
        <v>87</v>
      </c>
      <c r="E7" s="124" t="s">
        <v>139</v>
      </c>
      <c r="F7" s="3" t="s">
        <v>289</v>
      </c>
      <c r="G7" s="3" t="s">
        <v>290</v>
      </c>
      <c r="I7" s="348" t="s">
        <v>397</v>
      </c>
      <c r="R7" s="3" t="s">
        <v>148</v>
      </c>
      <c r="S7" s="3" t="s">
        <v>149</v>
      </c>
      <c r="T7" s="3"/>
      <c r="U7" s="126"/>
      <c r="V7" s="126"/>
      <c r="W7" s="126"/>
      <c r="X7" s="126"/>
      <c r="Y7" s="126"/>
      <c r="Z7" s="126"/>
      <c r="AA7" s="3"/>
      <c r="AD7" s="57"/>
    </row>
    <row r="8" spans="1:30" ht="20" x14ac:dyDescent="0.4">
      <c r="A8" s="57"/>
      <c r="C8" s="3">
        <f>C7+1</f>
        <v>2</v>
      </c>
      <c r="D8" s="81" t="s">
        <v>88</v>
      </c>
      <c r="E8" s="124" t="s">
        <v>141</v>
      </c>
      <c r="S8" s="3"/>
      <c r="T8" s="3"/>
      <c r="U8" s="126"/>
      <c r="V8" s="126"/>
      <c r="W8" s="126"/>
      <c r="X8" s="126"/>
      <c r="Y8" s="126"/>
      <c r="Z8" s="126"/>
      <c r="AA8" s="3"/>
      <c r="AD8" s="57"/>
    </row>
    <row r="9" spans="1:30" ht="20" x14ac:dyDescent="0.4">
      <c r="A9" s="57"/>
      <c r="C9" s="3">
        <f>C8+1</f>
        <v>3</v>
      </c>
      <c r="D9" s="81" t="s">
        <v>89</v>
      </c>
      <c r="E9" s="124" t="s">
        <v>140</v>
      </c>
      <c r="S9" s="3"/>
      <c r="T9" s="3"/>
      <c r="U9" s="126"/>
      <c r="V9" s="126"/>
      <c r="W9" s="126"/>
      <c r="X9" s="126"/>
      <c r="Y9" s="126"/>
      <c r="Z9" s="126"/>
      <c r="AA9" s="3"/>
      <c r="AD9" s="57"/>
    </row>
    <row r="10" spans="1:30" ht="22" x14ac:dyDescent="0.8">
      <c r="A10" s="57"/>
      <c r="C10" s="3">
        <v>4</v>
      </c>
      <c r="D10" s="81" t="s">
        <v>401</v>
      </c>
      <c r="E10" s="124"/>
      <c r="R10" s="8" t="s">
        <v>102</v>
      </c>
      <c r="S10" s="8"/>
      <c r="T10" s="9"/>
      <c r="U10" s="9"/>
      <c r="V10" s="57"/>
      <c r="W10" s="57"/>
      <c r="X10" s="57"/>
      <c r="Y10" s="57"/>
      <c r="Z10" s="57"/>
      <c r="AA10" s="57"/>
      <c r="AB10" s="57"/>
      <c r="AC10" s="57"/>
      <c r="AD10" s="57"/>
    </row>
    <row r="11" spans="1:30" ht="24" x14ac:dyDescent="0.8">
      <c r="A11" s="57"/>
      <c r="B11" s="6"/>
      <c r="C11" s="6"/>
      <c r="D11" s="8" t="s">
        <v>70</v>
      </c>
      <c r="E11" s="8"/>
      <c r="F11" s="8" t="s">
        <v>59</v>
      </c>
      <c r="G11" s="8"/>
      <c r="H11" s="8"/>
      <c r="I11" s="8"/>
      <c r="J11" s="8"/>
      <c r="K11" s="8" t="s">
        <v>26</v>
      </c>
      <c r="L11" s="9"/>
      <c r="M11" s="9"/>
      <c r="N11" s="9"/>
      <c r="O11" s="9"/>
      <c r="P11" s="9"/>
      <c r="R11" s="8" t="s">
        <v>59</v>
      </c>
      <c r="S11" s="8" t="s">
        <v>26</v>
      </c>
      <c r="T11" s="9"/>
      <c r="U11" s="9"/>
      <c r="V11" s="57"/>
      <c r="W11" s="126"/>
      <c r="X11" s="126"/>
      <c r="Y11" s="126"/>
      <c r="Z11" s="126"/>
      <c r="AA11" s="3"/>
    </row>
    <row r="12" spans="1:30" ht="20.5" thickBot="1" x14ac:dyDescent="0.45">
      <c r="A12" s="57" t="s">
        <v>67</v>
      </c>
      <c r="B12" s="4" t="s">
        <v>27</v>
      </c>
      <c r="C12" s="4"/>
      <c r="D12" s="71">
        <v>2019</v>
      </c>
      <c r="E12" s="298">
        <f t="shared" ref="E12" si="0">D12+1</f>
        <v>2020</v>
      </c>
      <c r="F12" s="73">
        <f t="shared" ref="F12:J12" si="1">E12+1</f>
        <v>2021</v>
      </c>
      <c r="G12" s="73">
        <f t="shared" si="1"/>
        <v>2022</v>
      </c>
      <c r="H12" s="73">
        <f t="shared" si="1"/>
        <v>2023</v>
      </c>
      <c r="I12" s="73">
        <f t="shared" si="1"/>
        <v>2024</v>
      </c>
      <c r="J12" s="73">
        <f t="shared" si="1"/>
        <v>2025</v>
      </c>
      <c r="K12" s="72">
        <f t="shared" ref="K12:P12" si="2">E12</f>
        <v>2020</v>
      </c>
      <c r="L12" s="72">
        <f t="shared" si="2"/>
        <v>2021</v>
      </c>
      <c r="M12" s="72">
        <f t="shared" si="2"/>
        <v>2022</v>
      </c>
      <c r="N12" s="72">
        <f t="shared" si="2"/>
        <v>2023</v>
      </c>
      <c r="O12" s="72">
        <f t="shared" si="2"/>
        <v>2024</v>
      </c>
      <c r="P12" s="72">
        <f t="shared" si="2"/>
        <v>2025</v>
      </c>
      <c r="R12" s="112">
        <f>F12</f>
        <v>2021</v>
      </c>
      <c r="S12" s="112">
        <f>K12</f>
        <v>2020</v>
      </c>
      <c r="T12" s="112">
        <f>L12</f>
        <v>2021</v>
      </c>
      <c r="U12" s="112">
        <f>M12</f>
        <v>2022</v>
      </c>
      <c r="V12" s="57"/>
      <c r="W12" s="126"/>
      <c r="X12" s="126"/>
      <c r="Y12" s="126"/>
      <c r="Z12" s="126"/>
      <c r="AA12" s="3"/>
    </row>
    <row r="13" spans="1:30" ht="20" x14ac:dyDescent="0.4">
      <c r="A13" s="57"/>
      <c r="B13" s="10" t="s">
        <v>380</v>
      </c>
      <c r="C13" s="10"/>
      <c r="D13" s="11"/>
      <c r="E13" s="299"/>
      <c r="F13" s="11"/>
      <c r="G13" s="11"/>
      <c r="H13" s="11"/>
      <c r="I13" s="11"/>
      <c r="J13" s="11"/>
      <c r="K13" s="10"/>
      <c r="L13" s="12"/>
      <c r="M13" s="12"/>
      <c r="N13" s="12"/>
      <c r="O13" s="12"/>
      <c r="P13" s="12"/>
      <c r="S13" s="3"/>
      <c r="T13" s="3"/>
      <c r="U13" s="3"/>
      <c r="V13" s="57"/>
      <c r="W13" s="126"/>
      <c r="X13" s="126"/>
      <c r="Y13" s="126"/>
      <c r="Z13" s="126"/>
      <c r="AA13" s="3"/>
    </row>
    <row r="14" spans="1:30" ht="20" x14ac:dyDescent="0.4">
      <c r="A14" s="57"/>
      <c r="B14" s="13" t="s">
        <v>25</v>
      </c>
      <c r="C14" s="346" t="s">
        <v>125</v>
      </c>
      <c r="D14" s="15"/>
      <c r="E14" s="15"/>
      <c r="F14" s="15"/>
      <c r="G14" s="15"/>
      <c r="H14" s="15"/>
      <c r="I14" s="15"/>
      <c r="J14" s="15"/>
      <c r="K14" s="7"/>
      <c r="S14" s="3"/>
      <c r="T14" s="3"/>
      <c r="U14" s="3"/>
      <c r="V14" s="57"/>
      <c r="W14" s="126"/>
      <c r="X14" s="126"/>
      <c r="Y14" s="126"/>
      <c r="Z14" s="126"/>
      <c r="AA14" s="3"/>
    </row>
    <row r="15" spans="1:30" ht="20" x14ac:dyDescent="0.4">
      <c r="A15" s="57"/>
      <c r="B15" s="3" t="s">
        <v>385</v>
      </c>
      <c r="C15" s="347" t="str">
        <f ca="1">_xlfn.FORMULATEXT(F15)</f>
        <v>=F184</v>
      </c>
      <c r="D15" s="16">
        <v>91.064395968189473</v>
      </c>
      <c r="E15" s="16">
        <v>64.555154902886215</v>
      </c>
      <c r="F15" s="94">
        <f ca="1">F184</f>
        <v>64.555154902886215</v>
      </c>
      <c r="G15" s="94">
        <f t="shared" ref="G15:J15" ca="1" si="3">G184</f>
        <v>64.555154902886215</v>
      </c>
      <c r="H15" s="94">
        <f t="shared" ca="1" si="3"/>
        <v>64.555154902886215</v>
      </c>
      <c r="I15" s="94">
        <f t="shared" ca="1" si="3"/>
        <v>64.555154902886215</v>
      </c>
      <c r="J15" s="94">
        <f t="shared" ca="1" si="3"/>
        <v>64.555154902886215</v>
      </c>
      <c r="K15" s="93">
        <f>E15-D15</f>
        <v>-26.509241065303257</v>
      </c>
      <c r="L15" s="93">
        <f t="shared" ref="L15:P16" ca="1" si="4">F15-E15</f>
        <v>0</v>
      </c>
      <c r="M15" s="93">
        <f t="shared" ca="1" si="4"/>
        <v>0</v>
      </c>
      <c r="N15" s="93">
        <f t="shared" ca="1" si="4"/>
        <v>0</v>
      </c>
      <c r="O15" s="93">
        <f t="shared" ca="1" si="4"/>
        <v>0</v>
      </c>
      <c r="P15" s="93">
        <f t="shared" ca="1" si="4"/>
        <v>0</v>
      </c>
      <c r="R15" s="111" t="str">
        <f ca="1">_xlfn.FORMULATEXT(F15)</f>
        <v>=F184</v>
      </c>
      <c r="S15" s="111" t="str">
        <f ca="1">_xlfn.FORMULATEXT(K15)</f>
        <v>=E15-D15</v>
      </c>
      <c r="T15" s="111"/>
      <c r="U15" s="111"/>
      <c r="V15" s="57"/>
      <c r="W15" s="126"/>
      <c r="X15" s="126"/>
      <c r="Y15" s="126"/>
      <c r="Z15" s="126"/>
      <c r="AA15" s="3"/>
    </row>
    <row r="16" spans="1:30" ht="20" x14ac:dyDescent="0.4">
      <c r="A16" s="57"/>
      <c r="B16" s="3" t="s">
        <v>29</v>
      </c>
      <c r="C16" s="338" t="str">
        <f ca="1">_xlfn.FORMULATEXT(F16)</f>
        <v>=F198*F$52</v>
      </c>
      <c r="D16" s="18">
        <v>32.430494417595696</v>
      </c>
      <c r="E16" s="18">
        <v>38.148202547386084</v>
      </c>
      <c r="F16" s="93">
        <f ca="1">F198*F$52</f>
        <v>39.365767355259131</v>
      </c>
      <c r="G16" s="93">
        <f t="shared" ref="G16:J16" ca="1" si="5">G198*G$52</f>
        <v>40.622192816121782</v>
      </c>
      <c r="H16" s="93">
        <f t="shared" ca="1" si="5"/>
        <v>41.918719233850268</v>
      </c>
      <c r="I16" s="93">
        <f t="shared" ca="1" si="5"/>
        <v>43.256626498729887</v>
      </c>
      <c r="J16" s="93">
        <f t="shared" ca="1" si="5"/>
        <v>44.637235350922609</v>
      </c>
      <c r="K16" s="93">
        <f>E16-D16</f>
        <v>5.7177081297903882</v>
      </c>
      <c r="L16" s="93">
        <f t="shared" ca="1" si="4"/>
        <v>1.2175648078730461</v>
      </c>
      <c r="M16" s="93">
        <f t="shared" ca="1" si="4"/>
        <v>1.2564254608626513</v>
      </c>
      <c r="N16" s="93">
        <f t="shared" ca="1" si="4"/>
        <v>1.2965264177284865</v>
      </c>
      <c r="O16" s="93">
        <f t="shared" ca="1" si="4"/>
        <v>1.3379072648796182</v>
      </c>
      <c r="P16" s="93">
        <f t="shared" ca="1" si="4"/>
        <v>1.3806088521927222</v>
      </c>
      <c r="R16" s="111" t="str">
        <f t="shared" ref="R16:R63" ca="1" si="6">_xlfn.FORMULATEXT(F16)</f>
        <v>=F198*F$52</v>
      </c>
      <c r="S16" s="111" t="str">
        <f ca="1">_xlfn.FORMULATEXT(K16)</f>
        <v>=E16-D16</v>
      </c>
      <c r="T16" s="111"/>
      <c r="U16" s="111"/>
      <c r="V16" s="57"/>
      <c r="W16" s="126"/>
      <c r="X16" s="126"/>
      <c r="Y16" s="126"/>
      <c r="Z16" s="126"/>
      <c r="AA16" s="3"/>
    </row>
    <row r="17" spans="1:26" s="3" customFormat="1" ht="20" x14ac:dyDescent="0.4">
      <c r="A17" s="57"/>
      <c r="B17" s="3" t="s">
        <v>24</v>
      </c>
      <c r="C17" s="338" t="str">
        <f t="shared" ref="C17:C50" ca="1" si="7">_xlfn.FORMULATEXT(F17)</f>
        <v>=F203*F$52</v>
      </c>
      <c r="D17" s="18">
        <v>20.409687886410307</v>
      </c>
      <c r="E17" s="18">
        <v>21.189197278338828</v>
      </c>
      <c r="F17" s="93">
        <f ca="1">F203*F$52</f>
        <v>21.865486570898234</v>
      </c>
      <c r="G17" s="93">
        <f t="shared" ref="G17:J17" ca="1" si="8">G203*G$52</f>
        <v>22.563360787191307</v>
      </c>
      <c r="H17" s="93">
        <f t="shared" ca="1" si="8"/>
        <v>23.2835088467939</v>
      </c>
      <c r="I17" s="93">
        <f t="shared" ca="1" si="8"/>
        <v>24.026641657322596</v>
      </c>
      <c r="J17" s="93">
        <f t="shared" ca="1" si="8"/>
        <v>24.793492816220436</v>
      </c>
      <c r="K17" s="93">
        <f t="shared" ref="K17:K18" si="9">E17-D17</f>
        <v>0.77950939192852076</v>
      </c>
      <c r="L17" s="93">
        <f t="shared" ref="L17:L18" ca="1" si="10">F17-E17</f>
        <v>0.67628929255940662</v>
      </c>
      <c r="M17" s="93">
        <f t="shared" ref="M17:M18" ca="1" si="11">G17-F17</f>
        <v>0.69787421629307289</v>
      </c>
      <c r="N17" s="93">
        <f t="shared" ref="N17:N18" ca="1" si="12">H17-G17</f>
        <v>0.72014805960259309</v>
      </c>
      <c r="O17" s="93">
        <f t="shared" ref="O17:O18" ca="1" si="13">I17-H17</f>
        <v>0.74313281052869584</v>
      </c>
      <c r="P17" s="93">
        <f t="shared" ref="P17:P18" ca="1" si="14">J17-I17</f>
        <v>0.76685115889783972</v>
      </c>
      <c r="R17" s="111" t="str">
        <f t="shared" ca="1" si="6"/>
        <v>=F203*F$52</v>
      </c>
      <c r="S17" s="111" t="str">
        <f ca="1">_xlfn.FORMULATEXT(K17)</f>
        <v>=E17-D17</v>
      </c>
      <c r="T17" s="111"/>
      <c r="U17" s="111"/>
      <c r="V17" s="57"/>
      <c r="W17" s="126"/>
      <c r="X17" s="126"/>
      <c r="Y17" s="126"/>
      <c r="Z17" s="126"/>
    </row>
    <row r="18" spans="1:26" s="3" customFormat="1" ht="20.5" thickBot="1" x14ac:dyDescent="0.45">
      <c r="A18" s="57"/>
      <c r="B18" s="3" t="s">
        <v>128</v>
      </c>
      <c r="C18" s="338" t="str">
        <f t="shared" ca="1" si="7"/>
        <v>=F208*F$52</v>
      </c>
      <c r="D18" s="20">
        <v>25.682415978675781</v>
      </c>
      <c r="E18" s="20">
        <v>16.173936243529308</v>
      </c>
      <c r="F18" s="93">
        <f ca="1">F208*F$52</f>
        <v>16.690154944802117</v>
      </c>
      <c r="G18" s="93">
        <f t="shared" ref="G18:J18" ca="1" si="15">G208*G$52</f>
        <v>17.222849644467114</v>
      </c>
      <c r="H18" s="93">
        <f t="shared" ca="1" si="15"/>
        <v>17.772546202053125</v>
      </c>
      <c r="I18" s="93">
        <f t="shared" ca="1" si="15"/>
        <v>18.339787260790775</v>
      </c>
      <c r="J18" s="93">
        <f t="shared" ca="1" si="15"/>
        <v>18.92513278329292</v>
      </c>
      <c r="K18" s="93">
        <f t="shared" si="9"/>
        <v>-9.5084797351464729</v>
      </c>
      <c r="L18" s="93">
        <f t="shared" ca="1" si="10"/>
        <v>0.516218701272809</v>
      </c>
      <c r="M18" s="93">
        <f t="shared" ca="1" si="11"/>
        <v>0.53269469966499727</v>
      </c>
      <c r="N18" s="93">
        <f t="shared" ca="1" si="12"/>
        <v>0.54969655758601021</v>
      </c>
      <c r="O18" s="93">
        <f t="shared" ca="1" si="13"/>
        <v>0.56724105873765041</v>
      </c>
      <c r="P18" s="93">
        <f t="shared" ca="1" si="14"/>
        <v>0.58534552250214489</v>
      </c>
      <c r="R18" s="111" t="str">
        <f t="shared" ca="1" si="6"/>
        <v>=F208*F$52</v>
      </c>
      <c r="S18" s="111" t="str">
        <f ca="1">_xlfn.FORMULATEXT(K18)</f>
        <v>=E18-D18</v>
      </c>
      <c r="T18" s="111"/>
      <c r="U18" s="111"/>
      <c r="V18" s="57"/>
      <c r="W18" s="126"/>
      <c r="X18" s="126"/>
      <c r="Y18" s="126"/>
      <c r="Z18" s="126"/>
    </row>
    <row r="19" spans="1:26" s="3" customFormat="1" ht="20" x14ac:dyDescent="0.4">
      <c r="A19" s="57"/>
      <c r="B19" s="21" t="s">
        <v>23</v>
      </c>
      <c r="C19" s="338" t="str">
        <f t="shared" ca="1" si="7"/>
        <v>=SUM(F15:F18)</v>
      </c>
      <c r="D19" s="22">
        <f>SUM(D15:D18)</f>
        <v>169.58699425087124</v>
      </c>
      <c r="E19" s="22">
        <f>SUM(E15:E18)</f>
        <v>140.06649097214043</v>
      </c>
      <c r="F19" s="22">
        <f t="shared" ref="F19:P19" ca="1" si="16">SUM(F15:F18)</f>
        <v>142.4765637738457</v>
      </c>
      <c r="G19" s="22">
        <f t="shared" ref="G19:J19" ca="1" si="17">SUM(G15:G18)</f>
        <v>144.96355815066642</v>
      </c>
      <c r="H19" s="22">
        <f t="shared" ca="1" si="17"/>
        <v>147.52992918558351</v>
      </c>
      <c r="I19" s="22">
        <f t="shared" ca="1" si="17"/>
        <v>150.17821031972949</v>
      </c>
      <c r="J19" s="22">
        <f t="shared" ca="1" si="17"/>
        <v>152.9110158533222</v>
      </c>
      <c r="K19" s="22">
        <f t="shared" si="16"/>
        <v>-29.520503278730821</v>
      </c>
      <c r="L19" s="22">
        <f t="shared" ca="1" si="16"/>
        <v>2.4100728017052617</v>
      </c>
      <c r="M19" s="22">
        <f t="shared" ca="1" si="16"/>
        <v>2.4869943768207214</v>
      </c>
      <c r="N19" s="22">
        <f t="shared" ca="1" si="16"/>
        <v>2.5663710349170898</v>
      </c>
      <c r="O19" s="22">
        <f t="shared" ca="1" si="16"/>
        <v>2.6482811341459644</v>
      </c>
      <c r="P19" s="22">
        <f t="shared" ca="1" si="16"/>
        <v>2.7328055335927068</v>
      </c>
      <c r="R19" s="111" t="str">
        <f t="shared" ca="1" si="6"/>
        <v>=SUM(F15:F18)</v>
      </c>
      <c r="S19" s="111" t="str">
        <f ca="1">_xlfn.FORMULATEXT(K19)</f>
        <v>=SUM(K15:K18)</v>
      </c>
      <c r="T19" s="111"/>
      <c r="U19" s="111"/>
      <c r="V19" s="57"/>
      <c r="W19" s="126"/>
      <c r="X19" s="126"/>
      <c r="Y19" s="126"/>
      <c r="Z19" s="126"/>
    </row>
    <row r="20" spans="1:26" s="3" customFormat="1" ht="20" x14ac:dyDescent="0.4">
      <c r="A20" s="57"/>
      <c r="C20" s="338"/>
      <c r="D20" s="23"/>
      <c r="E20" s="23"/>
      <c r="F20" s="23"/>
      <c r="G20" s="23"/>
      <c r="H20" s="23"/>
      <c r="I20" s="23"/>
      <c r="J20" s="23"/>
      <c r="K20" s="24"/>
      <c r="L20" s="24"/>
      <c r="M20" s="24"/>
      <c r="N20" s="24"/>
      <c r="O20" s="24"/>
      <c r="P20" s="24"/>
      <c r="R20" s="111"/>
      <c r="S20" s="111"/>
      <c r="T20" s="111"/>
      <c r="U20" s="111"/>
      <c r="V20" s="57"/>
      <c r="W20" s="126"/>
      <c r="X20" s="126"/>
      <c r="Y20" s="126"/>
      <c r="Z20" s="126"/>
    </row>
    <row r="21" spans="1:26" s="3" customFormat="1" ht="20" x14ac:dyDescent="0.4">
      <c r="A21" s="57"/>
      <c r="B21" s="3" t="s">
        <v>37</v>
      </c>
      <c r="C21" s="338" t="str">
        <f t="shared" ca="1" si="7"/>
        <v>=F213*F$52</v>
      </c>
      <c r="D21" s="18">
        <v>110.827441482944</v>
      </c>
      <c r="E21" s="18">
        <v>186.463451005563</v>
      </c>
      <c r="F21" s="93">
        <f ca="1">F213*F$52</f>
        <v>192.41474938238497</v>
      </c>
      <c r="G21" s="93">
        <f t="shared" ref="G21:J21" ca="1" si="18">G213*G$52</f>
        <v>198.55599357528487</v>
      </c>
      <c r="H21" s="93">
        <f t="shared" ca="1" si="18"/>
        <v>204.89324602824738</v>
      </c>
      <c r="I21" s="93">
        <f t="shared" ca="1" si="18"/>
        <v>211.43276267847449</v>
      </c>
      <c r="J21" s="93">
        <f t="shared" ca="1" si="18"/>
        <v>218.18099913205083</v>
      </c>
      <c r="K21" s="93">
        <f>E21-D21</f>
        <v>75.636009522619005</v>
      </c>
      <c r="L21" s="93">
        <f t="shared" ref="L21:L24" ca="1" si="19">F21-E21</f>
        <v>5.9512983768219669</v>
      </c>
      <c r="M21" s="93">
        <f t="shared" ref="M21:M24" ca="1" si="20">G21-F21</f>
        <v>6.1412441928999044</v>
      </c>
      <c r="N21" s="93">
        <f t="shared" ref="N21:N24" ca="1" si="21">H21-G21</f>
        <v>6.3372524529625025</v>
      </c>
      <c r="O21" s="93">
        <f t="shared" ref="O21:O24" ca="1" si="22">I21-H21</f>
        <v>6.5395166502271138</v>
      </c>
      <c r="P21" s="93">
        <f t="shared" ref="P21:P24" ca="1" si="23">J21-I21</f>
        <v>6.7482364535763395</v>
      </c>
      <c r="R21" s="111" t="str">
        <f t="shared" ca="1" si="6"/>
        <v>=F213*F$52</v>
      </c>
      <c r="S21" s="111" t="str">
        <f ca="1">_xlfn.FORMULATEXT(K21)</f>
        <v>=E21-D21</v>
      </c>
      <c r="T21" s="111"/>
      <c r="U21" s="111"/>
      <c r="V21" s="57"/>
      <c r="W21" s="126"/>
      <c r="X21" s="126"/>
      <c r="Y21" s="126"/>
      <c r="Z21" s="126"/>
    </row>
    <row r="22" spans="1:26" s="3" customFormat="1" ht="20" x14ac:dyDescent="0.4">
      <c r="A22" s="57"/>
      <c r="B22" s="3" t="s">
        <v>54</v>
      </c>
      <c r="C22" s="338" t="str">
        <f t="shared" ca="1" si="7"/>
        <v>=F218*F$52</v>
      </c>
      <c r="D22" s="18">
        <v>9.6980261628874178</v>
      </c>
      <c r="E22" s="18">
        <v>7.2219196720859342</v>
      </c>
      <c r="F22" s="93">
        <f ca="1">F218*F$52</f>
        <v>7.4524195292442217</v>
      </c>
      <c r="G22" s="93">
        <f t="shared" ref="G22:J22" ca="1" si="24">G218*G$52</f>
        <v>7.6902761816262704</v>
      </c>
      <c r="H22" s="93">
        <f t="shared" ca="1" si="24"/>
        <v>7.9357244338720117</v>
      </c>
      <c r="I22" s="93">
        <f t="shared" ca="1" si="24"/>
        <v>8.1890065848110698</v>
      </c>
      <c r="J22" s="93">
        <f t="shared" ca="1" si="24"/>
        <v>8.45037266665258</v>
      </c>
      <c r="K22" s="93">
        <f t="shared" ref="K22:K24" si="25">E22-D22</f>
        <v>-2.4761064908014836</v>
      </c>
      <c r="L22" s="93">
        <f t="shared" ca="1" si="19"/>
        <v>0.23049985715828747</v>
      </c>
      <c r="M22" s="93">
        <f t="shared" ca="1" si="20"/>
        <v>0.23785665238204867</v>
      </c>
      <c r="N22" s="93">
        <f t="shared" ca="1" si="21"/>
        <v>0.24544825224574129</v>
      </c>
      <c r="O22" s="93">
        <f t="shared" ca="1" si="22"/>
        <v>0.25328215093905815</v>
      </c>
      <c r="P22" s="93">
        <f t="shared" ca="1" si="23"/>
        <v>0.26136608184151022</v>
      </c>
      <c r="R22" s="111" t="str">
        <f t="shared" ca="1" si="6"/>
        <v>=F218*F$52</v>
      </c>
      <c r="S22" s="111" t="str">
        <f ca="1">_xlfn.FORMULATEXT(K22)</f>
        <v>=E22-D22</v>
      </c>
      <c r="T22" s="111"/>
      <c r="U22" s="111"/>
      <c r="V22" s="57"/>
      <c r="W22" s="126"/>
      <c r="X22" s="126"/>
      <c r="Y22" s="126"/>
      <c r="Z22" s="126"/>
    </row>
    <row r="23" spans="1:26" s="3" customFormat="1" ht="20" x14ac:dyDescent="0.4">
      <c r="A23" s="57"/>
      <c r="B23" s="3" t="s">
        <v>22</v>
      </c>
      <c r="C23" s="338" t="str">
        <f t="shared" ca="1" si="7"/>
        <v>=F223*F$52</v>
      </c>
      <c r="D23" s="18">
        <v>55.585402985594087</v>
      </c>
      <c r="E23" s="18">
        <v>58.984957330007724</v>
      </c>
      <c r="F23" s="93">
        <f ca="1">F223*F$52</f>
        <v>60.86756262837536</v>
      </c>
      <c r="G23" s="93">
        <f t="shared" ref="G23:J23" ca="1" si="26">G223*G$52</f>
        <v>62.810254478804275</v>
      </c>
      <c r="H23" s="93">
        <f t="shared" ca="1" si="26"/>
        <v>64.814950645863462</v>
      </c>
      <c r="I23" s="93">
        <f t="shared" ca="1" si="26"/>
        <v>66.883630102841948</v>
      </c>
      <c r="J23" s="93">
        <f t="shared" ca="1" si="26"/>
        <v>69.018334985329219</v>
      </c>
      <c r="K23" s="93">
        <f t="shared" si="25"/>
        <v>3.3995543444136374</v>
      </c>
      <c r="L23" s="93">
        <f t="shared" ca="1" si="19"/>
        <v>1.8826052983676362</v>
      </c>
      <c r="M23" s="93">
        <f t="shared" ca="1" si="20"/>
        <v>1.9426918504289148</v>
      </c>
      <c r="N23" s="93">
        <f t="shared" ca="1" si="21"/>
        <v>2.004696167059187</v>
      </c>
      <c r="O23" s="93">
        <f t="shared" ca="1" si="22"/>
        <v>2.0686794569784865</v>
      </c>
      <c r="P23" s="93">
        <f t="shared" ca="1" si="23"/>
        <v>2.1347048824872701</v>
      </c>
      <c r="R23" s="111" t="str">
        <f t="shared" ca="1" si="6"/>
        <v>=F223*F$52</v>
      </c>
      <c r="S23" s="111" t="str">
        <f ca="1">_xlfn.FORMULATEXT(K23)</f>
        <v>=E23-D23</v>
      </c>
      <c r="T23" s="111"/>
      <c r="U23" s="111"/>
      <c r="V23" s="57"/>
      <c r="W23" s="126"/>
      <c r="X23" s="126"/>
      <c r="Y23" s="126"/>
      <c r="Z23" s="126"/>
    </row>
    <row r="24" spans="1:26" s="3" customFormat="1" ht="20.5" thickBot="1" x14ac:dyDescent="0.45">
      <c r="A24" s="57"/>
      <c r="B24" s="3" t="s">
        <v>38</v>
      </c>
      <c r="C24" s="338" t="str">
        <f t="shared" ca="1" si="7"/>
        <v>=F225*F$52</v>
      </c>
      <c r="D24" s="18">
        <v>5.2190261726102252</v>
      </c>
      <c r="E24" s="18">
        <v>7.4680409246804116</v>
      </c>
      <c r="F24" s="93">
        <f ca="1">F225*F$52</f>
        <v>7.7063961604835098</v>
      </c>
      <c r="G24" s="93">
        <f t="shared" ref="G24:J24" ca="1" si="27">G225*G$52</f>
        <v>7.9523589092887121</v>
      </c>
      <c r="H24" s="93">
        <f t="shared" ca="1" si="27"/>
        <v>8.2061719778205369</v>
      </c>
      <c r="I24" s="93">
        <f t="shared" ca="1" si="27"/>
        <v>8.4680859223933425</v>
      </c>
      <c r="J24" s="93">
        <f t="shared" ca="1" si="27"/>
        <v>8.7383592962526766</v>
      </c>
      <c r="K24" s="93">
        <f t="shared" si="25"/>
        <v>2.2490147520701864</v>
      </c>
      <c r="L24" s="93">
        <f t="shared" ca="1" si="19"/>
        <v>0.23835523580309825</v>
      </c>
      <c r="M24" s="93">
        <f t="shared" ca="1" si="20"/>
        <v>0.2459627488052023</v>
      </c>
      <c r="N24" s="93">
        <f t="shared" ca="1" si="21"/>
        <v>0.25381306853182473</v>
      </c>
      <c r="O24" s="93">
        <f t="shared" ca="1" si="22"/>
        <v>0.26191394457280559</v>
      </c>
      <c r="P24" s="93">
        <f t="shared" ca="1" si="23"/>
        <v>0.27027337385933414</v>
      </c>
      <c r="R24" s="111" t="str">
        <f t="shared" ca="1" si="6"/>
        <v>=F225*F$52</v>
      </c>
      <c r="S24" s="111" t="str">
        <f ca="1">_xlfn.FORMULATEXT(K24)</f>
        <v>=E24-D24</v>
      </c>
      <c r="T24" s="111"/>
      <c r="U24" s="111"/>
      <c r="V24" s="57"/>
      <c r="W24" s="126"/>
      <c r="X24" s="126"/>
      <c r="Y24" s="126"/>
      <c r="Z24" s="126"/>
    </row>
    <row r="25" spans="1:26" s="3" customFormat="1" ht="20" x14ac:dyDescent="0.4">
      <c r="A25" s="57"/>
      <c r="B25" s="21" t="s">
        <v>21</v>
      </c>
      <c r="C25" s="338" t="str">
        <f t="shared" ca="1" si="7"/>
        <v>=SUM(F21:F24)</v>
      </c>
      <c r="D25" s="22">
        <f t="shared" ref="D25:P25" si="28">SUM(D21:D24)</f>
        <v>181.32989680403571</v>
      </c>
      <c r="E25" s="22">
        <f t="shared" si="28"/>
        <v>260.13836893233707</v>
      </c>
      <c r="F25" s="22">
        <f t="shared" ca="1" si="28"/>
        <v>268.44112770048804</v>
      </c>
      <c r="G25" s="22">
        <f t="shared" ref="G25:J25" ca="1" si="29">SUM(G21:G24)</f>
        <v>277.00888314500412</v>
      </c>
      <c r="H25" s="22">
        <f t="shared" ca="1" si="29"/>
        <v>285.85009308580339</v>
      </c>
      <c r="I25" s="22">
        <f t="shared" ca="1" si="29"/>
        <v>294.97348528852086</v>
      </c>
      <c r="J25" s="22">
        <f t="shared" ca="1" si="29"/>
        <v>304.38806608028528</v>
      </c>
      <c r="K25" s="22">
        <f t="shared" si="28"/>
        <v>78.808472128301347</v>
      </c>
      <c r="L25" s="22">
        <f t="shared" ca="1" si="28"/>
        <v>8.3027587681509889</v>
      </c>
      <c r="M25" s="22">
        <f t="shared" ca="1" si="28"/>
        <v>8.5677554445160702</v>
      </c>
      <c r="N25" s="22">
        <f t="shared" ca="1" si="28"/>
        <v>8.8412099407992546</v>
      </c>
      <c r="O25" s="22">
        <f t="shared" ca="1" si="28"/>
        <v>9.1233922027174632</v>
      </c>
      <c r="P25" s="22">
        <f t="shared" ca="1" si="28"/>
        <v>9.4145807917644539</v>
      </c>
      <c r="R25" s="111" t="str">
        <f t="shared" ca="1" si="6"/>
        <v>=SUM(F21:F24)</v>
      </c>
      <c r="S25" s="111" t="str">
        <f ca="1">_xlfn.FORMULATEXT(K25)</f>
        <v>=SUM(K21:K24)</v>
      </c>
      <c r="T25" s="111"/>
      <c r="U25" s="111"/>
      <c r="V25" s="57"/>
      <c r="W25" s="126"/>
      <c r="X25" s="126"/>
      <c r="Y25" s="126"/>
      <c r="Z25" s="126"/>
    </row>
    <row r="26" spans="1:26" s="3" customFormat="1" ht="21" thickBot="1" x14ac:dyDescent="0.5">
      <c r="A26" s="57"/>
      <c r="B26" s="315" t="str">
        <f>F430</f>
        <v>Incremental Debt Used in LBO:</v>
      </c>
      <c r="C26" s="339"/>
      <c r="D26" s="316"/>
      <c r="E26" s="315"/>
      <c r="F26" s="317"/>
      <c r="G26" s="317"/>
      <c r="H26" s="317"/>
      <c r="I26" s="317"/>
      <c r="J26" s="317"/>
      <c r="K26" s="320" t="s">
        <v>373</v>
      </c>
      <c r="L26" s="24"/>
      <c r="M26" s="24"/>
      <c r="N26" s="24"/>
      <c r="O26" s="24"/>
      <c r="P26" s="24"/>
      <c r="R26" s="111"/>
      <c r="S26" s="111"/>
      <c r="T26" s="111"/>
      <c r="U26" s="111"/>
      <c r="V26" s="57"/>
      <c r="W26" s="126"/>
      <c r="X26" s="126"/>
      <c r="Y26" s="126"/>
      <c r="Z26" s="126"/>
    </row>
    <row r="27" spans="1:26" s="3" customFormat="1" ht="20.5" thickBot="1" x14ac:dyDescent="0.45">
      <c r="A27" s="57"/>
      <c r="B27" s="25" t="s">
        <v>20</v>
      </c>
      <c r="C27" s="338" t="str">
        <f t="shared" ca="1" si="7"/>
        <v>=F25+F19</v>
      </c>
      <c r="D27" s="26">
        <f>D25+D19</f>
        <v>350.91689105490696</v>
      </c>
      <c r="E27" s="26">
        <f>E25+E19</f>
        <v>400.20485990447753</v>
      </c>
      <c r="F27" s="26">
        <f t="shared" ref="F27:K27" ca="1" si="30">F25+F19</f>
        <v>410.91769147433376</v>
      </c>
      <c r="G27" s="26">
        <f t="shared" ref="G27:J27" ca="1" si="31">G25+G19</f>
        <v>421.97244129567054</v>
      </c>
      <c r="H27" s="26">
        <f t="shared" ca="1" si="31"/>
        <v>433.38002227138691</v>
      </c>
      <c r="I27" s="26">
        <f t="shared" ca="1" si="31"/>
        <v>445.15169560825035</v>
      </c>
      <c r="J27" s="26">
        <f t="shared" ca="1" si="31"/>
        <v>457.29908193360745</v>
      </c>
      <c r="K27" s="26">
        <f t="shared" si="30"/>
        <v>49.287968849570525</v>
      </c>
      <c r="L27" s="26">
        <f t="shared" ref="L27:P27" ca="1" si="32">L25+L19</f>
        <v>10.712831569856251</v>
      </c>
      <c r="M27" s="26">
        <f t="shared" ca="1" si="32"/>
        <v>11.054749821336792</v>
      </c>
      <c r="N27" s="26">
        <f t="shared" ca="1" si="32"/>
        <v>11.407580975716344</v>
      </c>
      <c r="O27" s="26">
        <f t="shared" ca="1" si="32"/>
        <v>11.771673336863428</v>
      </c>
      <c r="P27" s="26">
        <f t="shared" ca="1" si="32"/>
        <v>12.147386325357161</v>
      </c>
      <c r="R27" s="111" t="str">
        <f t="shared" ca="1" si="6"/>
        <v>=F25+F19</v>
      </c>
      <c r="S27" s="111" t="str">
        <f ca="1">_xlfn.FORMULATEXT(K27)</f>
        <v>=K25+K19</v>
      </c>
      <c r="T27" s="111"/>
      <c r="U27" s="111"/>
      <c r="V27" s="57"/>
      <c r="W27" s="126"/>
      <c r="X27" s="126"/>
      <c r="Y27" s="126"/>
      <c r="Z27" s="126"/>
    </row>
    <row r="28" spans="1:26" s="3" customFormat="1" ht="24" x14ac:dyDescent="0.8">
      <c r="A28" s="57"/>
      <c r="C28" s="338" t="str">
        <f t="shared" ca="1" si="7"/>
        <v>=F$11</v>
      </c>
      <c r="D28" s="59" t="str">
        <f>D$11</f>
        <v>Historical</v>
      </c>
      <c r="E28" s="59"/>
      <c r="F28" s="8" t="str">
        <f>F$11</f>
        <v>Forecast</v>
      </c>
      <c r="G28" s="8"/>
      <c r="H28" s="8"/>
      <c r="I28" s="8"/>
      <c r="J28" s="8"/>
      <c r="K28" s="59" t="str">
        <f>K$11</f>
        <v>YoY Change</v>
      </c>
      <c r="L28" s="9"/>
      <c r="M28" s="9"/>
      <c r="N28" s="9"/>
      <c r="O28" s="9"/>
      <c r="P28" s="9"/>
      <c r="R28" s="8" t="s">
        <v>59</v>
      </c>
      <c r="S28" s="8" t="s">
        <v>26</v>
      </c>
      <c r="T28" s="9"/>
      <c r="U28" s="9"/>
      <c r="V28" s="57"/>
      <c r="W28" s="126"/>
      <c r="X28" s="126"/>
      <c r="Y28" s="126"/>
      <c r="Z28" s="126"/>
    </row>
    <row r="29" spans="1:26" s="3" customFormat="1" ht="20.5" thickBot="1" x14ac:dyDescent="0.45">
      <c r="A29" s="57"/>
      <c r="B29" s="13" t="s">
        <v>19</v>
      </c>
      <c r="C29" s="338" t="str">
        <f t="shared" ca="1" si="7"/>
        <v>=F$12</v>
      </c>
      <c r="D29" s="75">
        <f>D$12</f>
        <v>2019</v>
      </c>
      <c r="E29" s="75">
        <f>E$12</f>
        <v>2020</v>
      </c>
      <c r="F29" s="72">
        <f t="shared" ref="F29:P29" si="33">F$12</f>
        <v>2021</v>
      </c>
      <c r="G29" s="72">
        <f t="shared" si="33"/>
        <v>2022</v>
      </c>
      <c r="H29" s="72">
        <f t="shared" si="33"/>
        <v>2023</v>
      </c>
      <c r="I29" s="72">
        <f t="shared" si="33"/>
        <v>2024</v>
      </c>
      <c r="J29" s="72">
        <f t="shared" si="33"/>
        <v>2025</v>
      </c>
      <c r="K29" s="72">
        <f t="shared" si="33"/>
        <v>2020</v>
      </c>
      <c r="L29" s="72">
        <f t="shared" si="33"/>
        <v>2021</v>
      </c>
      <c r="M29" s="72">
        <f t="shared" si="33"/>
        <v>2022</v>
      </c>
      <c r="N29" s="72">
        <f t="shared" si="33"/>
        <v>2023</v>
      </c>
      <c r="O29" s="72">
        <f t="shared" si="33"/>
        <v>2024</v>
      </c>
      <c r="P29" s="72">
        <f t="shared" si="33"/>
        <v>2025</v>
      </c>
      <c r="R29" s="112">
        <f>F29</f>
        <v>2021</v>
      </c>
      <c r="S29" s="112">
        <f>K29</f>
        <v>2020</v>
      </c>
      <c r="T29" s="112">
        <f>L29</f>
        <v>2021</v>
      </c>
      <c r="U29" s="112">
        <f>M29</f>
        <v>2022</v>
      </c>
      <c r="V29" s="57"/>
      <c r="W29" s="126"/>
      <c r="X29" s="126"/>
      <c r="Y29" s="126"/>
      <c r="Z29" s="126"/>
    </row>
    <row r="30" spans="1:26" s="3" customFormat="1" ht="20" x14ac:dyDescent="0.4">
      <c r="A30" s="57"/>
      <c r="B30" s="3" t="s">
        <v>40</v>
      </c>
      <c r="C30" s="347" t="str">
        <f t="shared" ca="1" si="7"/>
        <v>=F152</v>
      </c>
      <c r="D30" s="18">
        <v>126.81151548448899</v>
      </c>
      <c r="E30" s="16">
        <v>143.42556404204501</v>
      </c>
      <c r="F30" s="94">
        <f ca="1">F152</f>
        <v>226.98707806213264</v>
      </c>
      <c r="G30" s="94">
        <f t="shared" ref="G30:J30" ca="1" si="34">G152</f>
        <v>35.826105988440872</v>
      </c>
      <c r="H30" s="94">
        <f t="shared" ca="1" si="34"/>
        <v>0</v>
      </c>
      <c r="I30" s="94">
        <f t="shared" ca="1" si="34"/>
        <v>0</v>
      </c>
      <c r="J30" s="94">
        <f t="shared" ca="1" si="34"/>
        <v>0</v>
      </c>
      <c r="K30" s="93">
        <f>E30-D30</f>
        <v>16.614048557556018</v>
      </c>
      <c r="L30" s="93">
        <f t="shared" ref="L30:P30" ca="1" si="35">F30-E30</f>
        <v>83.561514020087628</v>
      </c>
      <c r="M30" s="93">
        <f t="shared" ca="1" si="35"/>
        <v>-191.16097207369177</v>
      </c>
      <c r="N30" s="93">
        <f t="shared" ca="1" si="35"/>
        <v>-35.826105988440872</v>
      </c>
      <c r="O30" s="93">
        <f t="shared" ca="1" si="35"/>
        <v>0</v>
      </c>
      <c r="P30" s="93">
        <f t="shared" ca="1" si="35"/>
        <v>0</v>
      </c>
      <c r="R30" s="111" t="str">
        <f t="shared" ca="1" si="6"/>
        <v>=F152</v>
      </c>
      <c r="S30" s="111" t="str">
        <f ca="1">_xlfn.FORMULATEXT(K30)</f>
        <v>=E30-D30</v>
      </c>
      <c r="T30" s="111"/>
      <c r="U30" s="111"/>
      <c r="V30" s="57"/>
      <c r="W30" s="126"/>
      <c r="X30" s="126"/>
      <c r="Y30" s="126"/>
      <c r="Z30" s="126"/>
    </row>
    <row r="31" spans="1:26" s="3" customFormat="1" ht="20" x14ac:dyDescent="0.4">
      <c r="A31" s="57"/>
      <c r="B31" s="3" t="s">
        <v>39</v>
      </c>
      <c r="C31" s="338" t="str">
        <f t="shared" ca="1" si="7"/>
        <v>=F232*F$52</v>
      </c>
      <c r="D31" s="18">
        <v>74.388104230405943</v>
      </c>
      <c r="E31" s="28">
        <v>75.809721058314324</v>
      </c>
      <c r="F31" s="93">
        <f ca="1">F232*F$52</f>
        <v>78.229317324760189</v>
      </c>
      <c r="G31" s="93">
        <f t="shared" ref="G31:J31" ca="1" si="36">G232*G$52</f>
        <v>80.726139123906464</v>
      </c>
      <c r="H31" s="93">
        <f t="shared" ca="1" si="36"/>
        <v>83.302651240057713</v>
      </c>
      <c r="I31" s="93">
        <f t="shared" ca="1" si="36"/>
        <v>85.961397125304302</v>
      </c>
      <c r="J31" s="93">
        <f t="shared" ca="1" si="36"/>
        <v>88.705001410338724</v>
      </c>
      <c r="K31" s="93">
        <f>E31-D31</f>
        <v>1.4216168279083803</v>
      </c>
      <c r="L31" s="93">
        <f t="shared" ref="L31:P31" ca="1" si="37">F31-E31</f>
        <v>2.4195962664458648</v>
      </c>
      <c r="M31" s="93">
        <f t="shared" ca="1" si="37"/>
        <v>2.4968217991462751</v>
      </c>
      <c r="N31" s="93">
        <f t="shared" ca="1" si="37"/>
        <v>2.5765121161512496</v>
      </c>
      <c r="O31" s="93">
        <f t="shared" ca="1" si="37"/>
        <v>2.6587458852465886</v>
      </c>
      <c r="P31" s="93">
        <f t="shared" ca="1" si="37"/>
        <v>2.7436042850344222</v>
      </c>
      <c r="R31" s="111" t="str">
        <f t="shared" ca="1" si="6"/>
        <v>=F232*F$52</v>
      </c>
      <c r="S31" s="111" t="str">
        <f ca="1">_xlfn.FORMULATEXT(K31)</f>
        <v>=E31-D31</v>
      </c>
      <c r="T31" s="111"/>
      <c r="U31" s="111"/>
      <c r="V31" s="57"/>
      <c r="W31" s="126"/>
      <c r="X31" s="126"/>
      <c r="Y31" s="126"/>
      <c r="Z31" s="126"/>
    </row>
    <row r="32" spans="1:26" s="3" customFormat="1" ht="20.5" thickBot="1" x14ac:dyDescent="0.45">
      <c r="A32" s="57"/>
      <c r="B32" s="3" t="s">
        <v>126</v>
      </c>
      <c r="C32" s="338" t="str">
        <f t="shared" ca="1" si="7"/>
        <v>=F237*F$52</v>
      </c>
      <c r="D32" s="18">
        <v>6.3548296713418218</v>
      </c>
      <c r="E32" s="28">
        <v>6.642375780100874</v>
      </c>
      <c r="F32" s="93">
        <f ca="1">F237*F$52</f>
        <v>6.8543785076336627</v>
      </c>
      <c r="G32" s="93">
        <f t="shared" ref="G32:J32" ca="1" si="38">G237*G$52</f>
        <v>7.0731476630183634</v>
      </c>
      <c r="H32" s="93">
        <f t="shared" ca="1" si="38"/>
        <v>7.2988992083155013</v>
      </c>
      <c r="I32" s="93">
        <f t="shared" ca="1" si="38"/>
        <v>7.5318559983823068</v>
      </c>
      <c r="J32" s="93">
        <f t="shared" ca="1" si="38"/>
        <v>7.772248000868049</v>
      </c>
      <c r="K32" s="93">
        <f t="shared" ref="K32" si="39">E32-D32</f>
        <v>0.28754610875905229</v>
      </c>
      <c r="L32" s="93">
        <f t="shared" ref="L32:P32" ca="1" si="40">F32-E32</f>
        <v>0.2120027275327887</v>
      </c>
      <c r="M32" s="93">
        <f t="shared" ca="1" si="40"/>
        <v>0.21876915538470065</v>
      </c>
      <c r="N32" s="93">
        <f t="shared" ca="1" si="40"/>
        <v>0.22575154529713792</v>
      </c>
      <c r="O32" s="93">
        <f t="shared" ca="1" si="40"/>
        <v>0.23295679006680547</v>
      </c>
      <c r="P32" s="93">
        <f t="shared" ca="1" si="40"/>
        <v>0.24039200248574222</v>
      </c>
      <c r="R32" s="111" t="str">
        <f t="shared" ca="1" si="6"/>
        <v>=F237*F$52</v>
      </c>
      <c r="S32" s="111" t="str">
        <f ca="1">_xlfn.FORMULATEXT(K32)</f>
        <v>=E32-D32</v>
      </c>
      <c r="T32" s="111"/>
      <c r="U32" s="111"/>
      <c r="V32" s="57"/>
      <c r="W32" s="126"/>
      <c r="X32" s="126"/>
      <c r="Y32" s="126"/>
      <c r="Z32" s="126"/>
    </row>
    <row r="33" spans="1:26" s="3" customFormat="1" ht="20" x14ac:dyDescent="0.4">
      <c r="A33" s="57"/>
      <c r="B33" s="21" t="s">
        <v>18</v>
      </c>
      <c r="C33" s="338" t="str">
        <f t="shared" ca="1" si="7"/>
        <v>=SUM(F30:F32)</v>
      </c>
      <c r="D33" s="22">
        <f>SUM(D30:D32)</f>
        <v>207.55444938623677</v>
      </c>
      <c r="E33" s="22">
        <f>SUM(E30:E32)</f>
        <v>225.87766088046021</v>
      </c>
      <c r="F33" s="22">
        <f t="shared" ref="F33:P33" ca="1" si="41">SUM(F30:F32)</f>
        <v>312.0707738945265</v>
      </c>
      <c r="G33" s="22">
        <f t="shared" ref="G33:J33" ca="1" si="42">SUM(G30:G32)</f>
        <v>123.6253927753657</v>
      </c>
      <c r="H33" s="22">
        <f t="shared" ca="1" si="42"/>
        <v>90.601550448373217</v>
      </c>
      <c r="I33" s="22">
        <f t="shared" ca="1" si="42"/>
        <v>93.493253123686614</v>
      </c>
      <c r="J33" s="22">
        <f t="shared" ca="1" si="42"/>
        <v>96.47724941120677</v>
      </c>
      <c r="K33" s="22">
        <f t="shared" si="41"/>
        <v>18.32321149422345</v>
      </c>
      <c r="L33" s="22">
        <f t="shared" ca="1" si="41"/>
        <v>86.193113014066284</v>
      </c>
      <c r="M33" s="22">
        <f t="shared" ca="1" si="41"/>
        <v>-188.44538111916077</v>
      </c>
      <c r="N33" s="22">
        <f t="shared" ca="1" si="41"/>
        <v>-33.023842326992487</v>
      </c>
      <c r="O33" s="22">
        <f t="shared" ca="1" si="41"/>
        <v>2.8917026753133941</v>
      </c>
      <c r="P33" s="22">
        <f t="shared" ca="1" si="41"/>
        <v>2.9839962875201644</v>
      </c>
      <c r="R33" s="111" t="str">
        <f t="shared" ca="1" si="6"/>
        <v>=SUM(F30:F32)</v>
      </c>
      <c r="S33" s="111" t="str">
        <f ca="1">_xlfn.FORMULATEXT(K33)</f>
        <v>=SUM(K30:K32)</v>
      </c>
      <c r="T33" s="111"/>
      <c r="U33" s="111"/>
      <c r="V33" s="57"/>
      <c r="W33" s="126"/>
      <c r="X33" s="126"/>
      <c r="Y33" s="126"/>
      <c r="Z33" s="126"/>
    </row>
    <row r="34" spans="1:26" s="3" customFormat="1" ht="20" x14ac:dyDescent="0.4">
      <c r="A34" s="57"/>
      <c r="C34" s="338"/>
      <c r="D34" s="23"/>
      <c r="E34" s="76"/>
      <c r="F34" s="27"/>
      <c r="G34" s="27"/>
      <c r="H34" s="27"/>
      <c r="I34" s="27"/>
      <c r="J34" s="27"/>
      <c r="K34" s="24"/>
      <c r="L34" s="24"/>
      <c r="M34" s="24"/>
      <c r="N34" s="24"/>
      <c r="O34" s="24"/>
      <c r="P34" s="24"/>
      <c r="R34" s="111"/>
      <c r="S34" s="111"/>
      <c r="T34" s="111"/>
      <c r="U34" s="111"/>
      <c r="V34" s="57"/>
      <c r="W34" s="126"/>
      <c r="X34" s="126"/>
      <c r="Y34" s="126"/>
      <c r="Z34" s="126"/>
    </row>
    <row r="35" spans="1:26" s="3" customFormat="1" ht="20" x14ac:dyDescent="0.4">
      <c r="A35" s="57"/>
      <c r="B35" s="3" t="s">
        <v>41</v>
      </c>
      <c r="C35" s="347" t="str">
        <f t="shared" ca="1" si="7"/>
        <v>=F163</v>
      </c>
      <c r="D35" s="18">
        <v>115.919834301116</v>
      </c>
      <c r="E35" s="16">
        <v>326.57900123323105</v>
      </c>
      <c r="F35" s="94">
        <f ca="1">F163</f>
        <v>960.70211918596351</v>
      </c>
      <c r="G35" s="94">
        <f t="shared" ref="G35:J35" ca="1" si="43">G163</f>
        <v>960.70211918596351</v>
      </c>
      <c r="H35" s="94">
        <f t="shared" ca="1" si="43"/>
        <v>809.04987620973122</v>
      </c>
      <c r="I35" s="94">
        <f t="shared" ca="1" si="43"/>
        <v>625.00001195061236</v>
      </c>
      <c r="J35" s="94">
        <f t="shared" ca="1" si="43"/>
        <v>445.16094550511559</v>
      </c>
      <c r="K35" s="93">
        <f>E35-D35</f>
        <v>210.65916693211506</v>
      </c>
      <c r="L35" s="93">
        <f t="shared" ref="L35:L37" ca="1" si="44">F35-E35</f>
        <v>634.1231179527324</v>
      </c>
      <c r="M35" s="93">
        <f t="shared" ref="M35:M37" ca="1" si="45">G35-F35</f>
        <v>0</v>
      </c>
      <c r="N35" s="93">
        <f t="shared" ref="N35:N37" ca="1" si="46">H35-G35</f>
        <v>-151.65224297623229</v>
      </c>
      <c r="O35" s="93">
        <f t="shared" ref="O35:O37" ca="1" si="47">I35-H35</f>
        <v>-184.04986425911886</v>
      </c>
      <c r="P35" s="93">
        <f t="shared" ref="P35:P37" ca="1" si="48">J35-I35</f>
        <v>-179.83906644549677</v>
      </c>
      <c r="R35" s="111" t="str">
        <f t="shared" ca="1" si="6"/>
        <v>=F163</v>
      </c>
      <c r="S35" s="111" t="str">
        <f ca="1">_xlfn.FORMULATEXT(K35)</f>
        <v>=E35-D35</v>
      </c>
      <c r="T35" s="111"/>
      <c r="U35" s="111"/>
      <c r="V35" s="57"/>
      <c r="W35" s="126"/>
      <c r="X35" s="126"/>
      <c r="Y35" s="126"/>
      <c r="Z35" s="126"/>
    </row>
    <row r="36" spans="1:26" s="3" customFormat="1" ht="20" x14ac:dyDescent="0.4">
      <c r="A36" s="57"/>
      <c r="B36" s="3" t="s">
        <v>58</v>
      </c>
      <c r="C36" s="347" t="str">
        <f t="shared" ca="1" si="7"/>
        <v>=F174</v>
      </c>
      <c r="D36" s="18">
        <v>27.600445486033578</v>
      </c>
      <c r="E36" s="16">
        <v>31.8501053140306</v>
      </c>
      <c r="F36" s="94">
        <f ca="1">F174</f>
        <v>93.693910373719916</v>
      </c>
      <c r="G36" s="94">
        <f t="shared" ref="G36:J36" ca="1" si="49">G174</f>
        <v>93.693910373719916</v>
      </c>
      <c r="H36" s="94">
        <f t="shared" ca="1" si="49"/>
        <v>93.693910373719916</v>
      </c>
      <c r="I36" s="94">
        <f t="shared" ca="1" si="49"/>
        <v>93.693910373719916</v>
      </c>
      <c r="J36" s="94">
        <f t="shared" ca="1" si="49"/>
        <v>93.693910373719916</v>
      </c>
      <c r="K36" s="93">
        <f>E36-D36</f>
        <v>4.2496598279970215</v>
      </c>
      <c r="L36" s="93">
        <f t="shared" ca="1" si="44"/>
        <v>61.843805059689316</v>
      </c>
      <c r="M36" s="93">
        <f t="shared" ca="1" si="45"/>
        <v>0</v>
      </c>
      <c r="N36" s="93">
        <f t="shared" ca="1" si="46"/>
        <v>0</v>
      </c>
      <c r="O36" s="93">
        <f t="shared" ca="1" si="47"/>
        <v>0</v>
      </c>
      <c r="P36" s="93">
        <f t="shared" ca="1" si="48"/>
        <v>0</v>
      </c>
      <c r="R36" s="111" t="str">
        <f t="shared" ca="1" si="6"/>
        <v>=F174</v>
      </c>
      <c r="S36" s="111" t="str">
        <f ca="1">_xlfn.FORMULATEXT(K36)</f>
        <v>=E36-D36</v>
      </c>
      <c r="T36" s="111"/>
      <c r="U36" s="111"/>
      <c r="V36" s="57"/>
      <c r="W36" s="126"/>
      <c r="X36" s="126"/>
      <c r="Y36" s="126"/>
      <c r="Z36" s="126"/>
    </row>
    <row r="37" spans="1:26" s="3" customFormat="1" ht="20.5" thickBot="1" x14ac:dyDescent="0.45">
      <c r="A37" s="57"/>
      <c r="B37" s="3" t="s">
        <v>28</v>
      </c>
      <c r="C37" s="338" t="str">
        <f t="shared" ca="1" si="7"/>
        <v>=F242*F$52</v>
      </c>
      <c r="D37" s="18">
        <v>51.087198779726883</v>
      </c>
      <c r="E37" s="18">
        <v>30.564115847900499</v>
      </c>
      <c r="F37" s="93">
        <f ca="1">F242*F$52</f>
        <v>31.539621621571833</v>
      </c>
      <c r="G37" s="93">
        <f t="shared" ref="G37:J37" ca="1" si="50">G242*G$52</f>
        <v>32.546262322201358</v>
      </c>
      <c r="H37" s="93">
        <f t="shared" ca="1" si="50"/>
        <v>33.585031673970782</v>
      </c>
      <c r="I37" s="93">
        <f t="shared" ca="1" si="50"/>
        <v>34.656955117460264</v>
      </c>
      <c r="J37" s="93">
        <f t="shared" ca="1" si="50"/>
        <v>35.763090821931264</v>
      </c>
      <c r="K37" s="93">
        <f t="shared" ref="K37" si="51">E37-D37</f>
        <v>-20.523082931826384</v>
      </c>
      <c r="L37" s="93">
        <f t="shared" ca="1" si="44"/>
        <v>0.97550577367133329</v>
      </c>
      <c r="M37" s="93">
        <f t="shared" ca="1" si="45"/>
        <v>1.006640700629525</v>
      </c>
      <c r="N37" s="93">
        <f t="shared" ca="1" si="46"/>
        <v>1.0387693517694245</v>
      </c>
      <c r="O37" s="93">
        <f t="shared" ca="1" si="47"/>
        <v>1.0719234434894815</v>
      </c>
      <c r="P37" s="93">
        <f t="shared" ca="1" si="48"/>
        <v>1.1061357044710007</v>
      </c>
      <c r="R37" s="111" t="str">
        <f t="shared" ca="1" si="6"/>
        <v>=F242*F$52</v>
      </c>
      <c r="S37" s="111" t="str">
        <f ca="1">_xlfn.FORMULATEXT(K37)</f>
        <v>=E37-D37</v>
      </c>
      <c r="T37" s="111"/>
      <c r="U37" s="111"/>
      <c r="V37" s="57"/>
      <c r="W37" s="126"/>
      <c r="X37" s="126"/>
      <c r="Y37" s="126"/>
      <c r="Z37" s="126"/>
    </row>
    <row r="38" spans="1:26" s="3" customFormat="1" ht="20" x14ac:dyDescent="0.4">
      <c r="A38" s="57"/>
      <c r="B38" s="21" t="s">
        <v>17</v>
      </c>
      <c r="C38" s="338" t="str">
        <f t="shared" ca="1" si="7"/>
        <v>=SUM(F35:F37)</v>
      </c>
      <c r="D38" s="22">
        <f>SUM(D35:D37)</f>
        <v>194.60747856687647</v>
      </c>
      <c r="E38" s="22">
        <f>SUM(E35:E37)</f>
        <v>388.99322239516215</v>
      </c>
      <c r="F38" s="22">
        <f t="shared" ref="F38:P38" ca="1" si="52">SUM(F35:F37)</f>
        <v>1085.9356511812553</v>
      </c>
      <c r="G38" s="22">
        <f t="shared" ref="G38:J38" ca="1" si="53">SUM(G35:G37)</f>
        <v>1086.9422918818848</v>
      </c>
      <c r="H38" s="22">
        <f t="shared" ca="1" si="53"/>
        <v>936.32881825742186</v>
      </c>
      <c r="I38" s="22">
        <f t="shared" ca="1" si="53"/>
        <v>753.35087744179259</v>
      </c>
      <c r="J38" s="22">
        <f t="shared" ca="1" si="53"/>
        <v>574.61794670076677</v>
      </c>
      <c r="K38" s="22">
        <f t="shared" si="52"/>
        <v>194.38574382828568</v>
      </c>
      <c r="L38" s="22">
        <f t="shared" ca="1" si="52"/>
        <v>696.94242878609305</v>
      </c>
      <c r="M38" s="22">
        <f t="shared" ca="1" si="52"/>
        <v>1.006640700629525</v>
      </c>
      <c r="N38" s="22">
        <f t="shared" ca="1" si="52"/>
        <v>-150.61347362446287</v>
      </c>
      <c r="O38" s="22">
        <f t="shared" ca="1" si="52"/>
        <v>-182.97794081562938</v>
      </c>
      <c r="P38" s="22">
        <f t="shared" ca="1" si="52"/>
        <v>-178.73293074102577</v>
      </c>
      <c r="R38" s="111" t="str">
        <f t="shared" ca="1" si="6"/>
        <v>=SUM(F35:F37)</v>
      </c>
      <c r="S38" s="111" t="str">
        <f ca="1">_xlfn.FORMULATEXT(K38)</f>
        <v>=SUM(K35:K37)</v>
      </c>
      <c r="T38" s="111"/>
      <c r="U38" s="111"/>
      <c r="V38" s="57"/>
      <c r="W38" s="126"/>
      <c r="X38" s="126"/>
      <c r="Y38" s="126"/>
      <c r="Z38" s="126"/>
    </row>
    <row r="39" spans="1:26" s="3" customFormat="1" ht="20.5" thickBot="1" x14ac:dyDescent="0.45">
      <c r="A39" s="57"/>
      <c r="C39" s="338"/>
      <c r="D39" s="18"/>
      <c r="E39" s="18"/>
      <c r="F39" s="18"/>
      <c r="G39" s="18"/>
      <c r="H39" s="18"/>
      <c r="I39" s="18"/>
      <c r="J39" s="18"/>
      <c r="K39" s="19"/>
      <c r="L39" s="19"/>
      <c r="M39" s="19"/>
      <c r="N39" s="19"/>
      <c r="O39" s="19"/>
      <c r="P39" s="19"/>
      <c r="R39" s="111"/>
      <c r="S39" s="111"/>
      <c r="T39" s="111"/>
      <c r="U39" s="111"/>
      <c r="V39" s="57"/>
      <c r="W39" s="126"/>
      <c r="X39" s="126"/>
      <c r="Y39" s="126"/>
      <c r="Z39" s="126"/>
    </row>
    <row r="40" spans="1:26" s="3" customFormat="1" ht="20.5" thickBot="1" x14ac:dyDescent="0.45">
      <c r="A40" s="57"/>
      <c r="B40" s="25" t="s">
        <v>16</v>
      </c>
      <c r="C40" s="347" t="str">
        <f t="shared" ca="1" si="7"/>
        <v>=F38+F33</v>
      </c>
      <c r="D40" s="26">
        <f>D38+D33</f>
        <v>402.16192795311326</v>
      </c>
      <c r="E40" s="26">
        <f>E38+E33</f>
        <v>614.87088327562242</v>
      </c>
      <c r="F40" s="26">
        <f t="shared" ref="F40:P40" ca="1" si="54">F38+F33</f>
        <v>1398.0064250757819</v>
      </c>
      <c r="G40" s="26">
        <f t="shared" ref="G40:J40" ca="1" si="55">G38+G33</f>
        <v>1210.5676846572505</v>
      </c>
      <c r="H40" s="26">
        <f t="shared" ca="1" si="55"/>
        <v>1026.930368705795</v>
      </c>
      <c r="I40" s="26">
        <f t="shared" ca="1" si="55"/>
        <v>846.84413056547919</v>
      </c>
      <c r="J40" s="26">
        <f t="shared" ca="1" si="55"/>
        <v>671.09519611197356</v>
      </c>
      <c r="K40" s="26">
        <f t="shared" si="54"/>
        <v>212.70895532250913</v>
      </c>
      <c r="L40" s="26">
        <f t="shared" ca="1" si="54"/>
        <v>783.13554180015933</v>
      </c>
      <c r="M40" s="26">
        <f t="shared" ca="1" si="54"/>
        <v>-187.43874041853124</v>
      </c>
      <c r="N40" s="26">
        <f t="shared" ca="1" si="54"/>
        <v>-183.63731595145535</v>
      </c>
      <c r="O40" s="26">
        <f t="shared" ca="1" si="54"/>
        <v>-180.086238140316</v>
      </c>
      <c r="P40" s="26">
        <f t="shared" ca="1" si="54"/>
        <v>-175.7489344535056</v>
      </c>
      <c r="R40" s="111" t="str">
        <f t="shared" ca="1" si="6"/>
        <v>=F38+F33</v>
      </c>
      <c r="S40" s="111" t="str">
        <f ca="1">_xlfn.FORMULATEXT(K40)</f>
        <v>=K38+K33</v>
      </c>
      <c r="T40" s="111"/>
      <c r="U40" s="111"/>
      <c r="V40" s="57"/>
      <c r="W40" s="126"/>
      <c r="X40" s="126"/>
      <c r="Y40" s="126"/>
      <c r="Z40" s="126"/>
    </row>
    <row r="41" spans="1:26" s="3" customFormat="1" ht="24" x14ac:dyDescent="0.8">
      <c r="A41" s="57"/>
      <c r="C41" s="338" t="str">
        <f t="shared" ca="1" si="7"/>
        <v>=F$11</v>
      </c>
      <c r="D41" s="59" t="str">
        <f>D$11</f>
        <v>Historical</v>
      </c>
      <c r="E41" s="59"/>
      <c r="F41" s="8" t="str">
        <f>F$11</f>
        <v>Forecast</v>
      </c>
      <c r="G41" s="8"/>
      <c r="H41" s="8"/>
      <c r="I41" s="8"/>
      <c r="J41" s="8"/>
      <c r="K41" s="59" t="str">
        <f>K$11</f>
        <v>YoY Change</v>
      </c>
      <c r="L41" s="9"/>
      <c r="M41" s="9"/>
      <c r="N41" s="9"/>
      <c r="O41" s="9"/>
      <c r="P41" s="9"/>
      <c r="R41" s="8" t="s">
        <v>59</v>
      </c>
      <c r="S41" s="8" t="s">
        <v>26</v>
      </c>
      <c r="T41" s="9"/>
      <c r="U41" s="9"/>
      <c r="V41" s="57"/>
      <c r="W41" s="126"/>
      <c r="X41" s="126"/>
      <c r="Y41" s="126"/>
      <c r="Z41" s="126"/>
    </row>
    <row r="42" spans="1:26" s="3" customFormat="1" ht="20.5" thickBot="1" x14ac:dyDescent="0.45">
      <c r="A42" s="57"/>
      <c r="B42" s="13" t="s">
        <v>15</v>
      </c>
      <c r="C42" s="338" t="str">
        <f t="shared" ca="1" si="7"/>
        <v>=F$12</v>
      </c>
      <c r="D42" s="75">
        <f>D$12</f>
        <v>2019</v>
      </c>
      <c r="E42" s="75">
        <f>E$12</f>
        <v>2020</v>
      </c>
      <c r="F42" s="72">
        <f t="shared" ref="F42:P42" si="56">F$12</f>
        <v>2021</v>
      </c>
      <c r="G42" s="72">
        <f t="shared" si="56"/>
        <v>2022</v>
      </c>
      <c r="H42" s="72">
        <f t="shared" si="56"/>
        <v>2023</v>
      </c>
      <c r="I42" s="72">
        <f t="shared" si="56"/>
        <v>2024</v>
      </c>
      <c r="J42" s="72">
        <f t="shared" si="56"/>
        <v>2025</v>
      </c>
      <c r="K42" s="72">
        <f t="shared" si="56"/>
        <v>2020</v>
      </c>
      <c r="L42" s="72">
        <f t="shared" si="56"/>
        <v>2021</v>
      </c>
      <c r="M42" s="72">
        <f t="shared" si="56"/>
        <v>2022</v>
      </c>
      <c r="N42" s="72">
        <f t="shared" si="56"/>
        <v>2023</v>
      </c>
      <c r="O42" s="72">
        <f t="shared" si="56"/>
        <v>2024</v>
      </c>
      <c r="P42" s="72">
        <f t="shared" si="56"/>
        <v>2025</v>
      </c>
      <c r="R42" s="112">
        <f>F42</f>
        <v>2021</v>
      </c>
      <c r="S42" s="112">
        <f>K42</f>
        <v>2020</v>
      </c>
      <c r="T42" s="112">
        <f>L42</f>
        <v>2021</v>
      </c>
      <c r="U42" s="112">
        <f>M42</f>
        <v>2022</v>
      </c>
      <c r="V42" s="57"/>
      <c r="W42" s="126"/>
      <c r="X42" s="126"/>
      <c r="Y42" s="126"/>
      <c r="Z42" s="126"/>
    </row>
    <row r="43" spans="1:26" s="3" customFormat="1" ht="20" x14ac:dyDescent="0.4">
      <c r="A43" s="57"/>
      <c r="B43" s="3" t="s">
        <v>14</v>
      </c>
      <c r="C43" s="338" t="str">
        <f t="shared" ca="1" si="7"/>
        <v>=F246</v>
      </c>
      <c r="D43" s="18">
        <v>1.6272942915782509</v>
      </c>
      <c r="E43" s="18">
        <v>2.52130786707614</v>
      </c>
      <c r="F43" s="94">
        <f>F246</f>
        <v>2.52130786707614</v>
      </c>
      <c r="G43" s="94">
        <f t="shared" ref="G43:J43" si="57">G246</f>
        <v>2.52130786707614</v>
      </c>
      <c r="H43" s="94">
        <f t="shared" si="57"/>
        <v>2.52130786707614</v>
      </c>
      <c r="I43" s="94">
        <f t="shared" si="57"/>
        <v>2.52130786707614</v>
      </c>
      <c r="J43" s="94">
        <f t="shared" si="57"/>
        <v>2.52130786707614</v>
      </c>
      <c r="K43" s="93">
        <f>E43-D43</f>
        <v>0.89401357549788907</v>
      </c>
      <c r="L43" s="93">
        <f t="shared" ref="L43:L46" si="58">F43-E43</f>
        <v>0</v>
      </c>
      <c r="M43" s="93">
        <f t="shared" ref="M43:M46" si="59">G43-F43</f>
        <v>0</v>
      </c>
      <c r="N43" s="93">
        <f t="shared" ref="N43:N46" si="60">H43-G43</f>
        <v>0</v>
      </c>
      <c r="O43" s="93">
        <f t="shared" ref="O43:O46" si="61">I43-H43</f>
        <v>0</v>
      </c>
      <c r="P43" s="93">
        <f t="shared" ref="P43:P46" si="62">J43-I43</f>
        <v>0</v>
      </c>
      <c r="R43" s="111" t="str">
        <f t="shared" ca="1" si="6"/>
        <v>=F246</v>
      </c>
      <c r="S43" s="111" t="str">
        <f ca="1">_xlfn.FORMULATEXT(K43)</f>
        <v>=E43-D43</v>
      </c>
      <c r="T43" s="111"/>
      <c r="U43" s="111"/>
      <c r="V43" s="57"/>
      <c r="W43" s="126"/>
      <c r="X43" s="126"/>
      <c r="Y43" s="126"/>
      <c r="Z43" s="126"/>
    </row>
    <row r="44" spans="1:26" s="3" customFormat="1" ht="20" x14ac:dyDescent="0.4">
      <c r="A44" s="57"/>
      <c r="B44" s="3" t="s">
        <v>42</v>
      </c>
      <c r="C44" s="338" t="str">
        <f t="shared" ca="1" si="7"/>
        <v>=F251</v>
      </c>
      <c r="D44" s="18">
        <v>28.401625372891999</v>
      </c>
      <c r="E44" s="18">
        <v>63.902308125235002</v>
      </c>
      <c r="F44" s="94">
        <f>F251</f>
        <v>63.902308125235002</v>
      </c>
      <c r="G44" s="94">
        <f t="shared" ref="G44:J44" si="63">G251</f>
        <v>63.902308125235002</v>
      </c>
      <c r="H44" s="94">
        <f t="shared" si="63"/>
        <v>63.902308125235002</v>
      </c>
      <c r="I44" s="94">
        <f t="shared" si="63"/>
        <v>63.902308125235002</v>
      </c>
      <c r="J44" s="94">
        <f t="shared" si="63"/>
        <v>63.902308125235002</v>
      </c>
      <c r="K44" s="93">
        <f t="shared" ref="K44:K46" si="64">E44-D44</f>
        <v>35.500682752343003</v>
      </c>
      <c r="L44" s="93">
        <f t="shared" si="58"/>
        <v>0</v>
      </c>
      <c r="M44" s="93">
        <f t="shared" si="59"/>
        <v>0</v>
      </c>
      <c r="N44" s="93">
        <f t="shared" si="60"/>
        <v>0</v>
      </c>
      <c r="O44" s="93">
        <f t="shared" si="61"/>
        <v>0</v>
      </c>
      <c r="P44" s="93">
        <f t="shared" si="62"/>
        <v>0</v>
      </c>
      <c r="R44" s="111" t="str">
        <f t="shared" ca="1" si="6"/>
        <v>=F251</v>
      </c>
      <c r="S44" s="111" t="str">
        <f ca="1">_xlfn.FORMULATEXT(K44)</f>
        <v>=E44-D44</v>
      </c>
      <c r="T44" s="111"/>
      <c r="U44" s="111"/>
      <c r="V44" s="57"/>
      <c r="W44" s="126"/>
      <c r="X44" s="126"/>
      <c r="Y44" s="126"/>
      <c r="Z44" s="126"/>
    </row>
    <row r="45" spans="1:26" s="3" customFormat="1" ht="20" x14ac:dyDescent="0.4">
      <c r="A45" s="57"/>
      <c r="B45" s="3" t="s">
        <v>43</v>
      </c>
      <c r="C45" s="338" t="str">
        <f t="shared" ca="1" si="7"/>
        <v>=F256</v>
      </c>
      <c r="D45" s="29">
        <v>162.66325526798801</v>
      </c>
      <c r="E45" s="29">
        <v>409.96945281215699</v>
      </c>
      <c r="F45" s="94">
        <f ca="1">F256</f>
        <v>612.00513479782694</v>
      </c>
      <c r="G45" s="94">
        <f t="shared" ref="G45:J45" ca="1" si="65">G256</f>
        <v>810.49862503769486</v>
      </c>
      <c r="H45" s="94">
        <f t="shared" ca="1" si="65"/>
        <v>1005.5435219648666</v>
      </c>
      <c r="I45" s="94">
        <f t="shared" ca="1" si="65"/>
        <v>1197.4014334420458</v>
      </c>
      <c r="J45" s="94">
        <f t="shared" ca="1" si="65"/>
        <v>1385.2977542209087</v>
      </c>
      <c r="K45" s="93">
        <f t="shared" si="64"/>
        <v>247.30619754416898</v>
      </c>
      <c r="L45" s="93">
        <f t="shared" ca="1" si="58"/>
        <v>202.03568198566995</v>
      </c>
      <c r="M45" s="93">
        <f t="shared" ca="1" si="59"/>
        <v>198.49349023986792</v>
      </c>
      <c r="N45" s="93">
        <f t="shared" ca="1" si="60"/>
        <v>195.04489692717175</v>
      </c>
      <c r="O45" s="93">
        <f t="shared" ca="1" si="61"/>
        <v>191.85791147717919</v>
      </c>
      <c r="P45" s="93">
        <f t="shared" ca="1" si="62"/>
        <v>187.8963207788629</v>
      </c>
      <c r="R45" s="111" t="str">
        <f t="shared" ca="1" si="6"/>
        <v>=F256</v>
      </c>
      <c r="S45" s="111" t="str">
        <f ca="1">_xlfn.FORMULATEXT(K45)</f>
        <v>=E45-D45</v>
      </c>
      <c r="T45" s="111"/>
      <c r="U45" s="111"/>
      <c r="V45" s="57"/>
      <c r="W45" s="126"/>
      <c r="X45" s="126"/>
      <c r="Y45" s="126"/>
      <c r="Z45" s="126"/>
    </row>
    <row r="46" spans="1:26" s="3" customFormat="1" ht="20.5" thickBot="1" x14ac:dyDescent="0.45">
      <c r="A46" s="57"/>
      <c r="B46" s="3" t="s">
        <v>44</v>
      </c>
      <c r="C46" s="338" t="str">
        <f t="shared" ca="1" si="7"/>
        <v>=F257</v>
      </c>
      <c r="D46" s="18">
        <v>-243.93721183066398</v>
      </c>
      <c r="E46" s="18">
        <v>-691.05909217561305</v>
      </c>
      <c r="F46" s="94">
        <f>F257</f>
        <v>-691.05909217561305</v>
      </c>
      <c r="G46" s="94">
        <f t="shared" ref="G46:J46" si="66">G257</f>
        <v>-691.05909217561305</v>
      </c>
      <c r="H46" s="94">
        <f t="shared" si="66"/>
        <v>-691.05909217561305</v>
      </c>
      <c r="I46" s="94">
        <f t="shared" si="66"/>
        <v>-691.05909217561305</v>
      </c>
      <c r="J46" s="94">
        <f t="shared" si="66"/>
        <v>-691.05909217561305</v>
      </c>
      <c r="K46" s="93">
        <f t="shared" si="64"/>
        <v>-447.12188034494909</v>
      </c>
      <c r="L46" s="93">
        <f t="shared" si="58"/>
        <v>0</v>
      </c>
      <c r="M46" s="93">
        <f t="shared" si="59"/>
        <v>0</v>
      </c>
      <c r="N46" s="93">
        <f t="shared" si="60"/>
        <v>0</v>
      </c>
      <c r="O46" s="93">
        <f t="shared" si="61"/>
        <v>0</v>
      </c>
      <c r="P46" s="93">
        <f t="shared" si="62"/>
        <v>0</v>
      </c>
      <c r="R46" s="111" t="str">
        <f t="shared" ca="1" si="6"/>
        <v>=F257</v>
      </c>
      <c r="S46" s="111" t="str">
        <f ca="1">_xlfn.FORMULATEXT(K46)</f>
        <v>=E46-D46</v>
      </c>
      <c r="T46" s="111"/>
      <c r="U46" s="111"/>
      <c r="V46" s="57"/>
      <c r="W46" s="126"/>
      <c r="X46" s="126"/>
      <c r="Y46" s="126"/>
      <c r="Z46" s="126"/>
    </row>
    <row r="47" spans="1:26" s="3" customFormat="1" ht="20" x14ac:dyDescent="0.4">
      <c r="A47" s="57"/>
      <c r="B47" s="31" t="s">
        <v>127</v>
      </c>
      <c r="C47" s="338" t="str">
        <f t="shared" ca="1" si="7"/>
        <v>=SUM(F43:F46)</v>
      </c>
      <c r="D47" s="32">
        <f t="shared" ref="D47:P47" si="67">SUM(D43:D46)</f>
        <v>-51.245036898205711</v>
      </c>
      <c r="E47" s="32">
        <f t="shared" si="67"/>
        <v>-214.66602337114489</v>
      </c>
      <c r="F47" s="32">
        <f t="shared" ca="1" si="67"/>
        <v>-12.630341385474935</v>
      </c>
      <c r="G47" s="32">
        <f t="shared" ref="G47:J47" ca="1" si="68">SUM(G43:G46)</f>
        <v>185.86314885439299</v>
      </c>
      <c r="H47" s="32">
        <f t="shared" ca="1" si="68"/>
        <v>380.90804578156474</v>
      </c>
      <c r="I47" s="32">
        <f t="shared" ca="1" si="68"/>
        <v>572.76595725874392</v>
      </c>
      <c r="J47" s="32">
        <f t="shared" ca="1" si="68"/>
        <v>760.66227803760682</v>
      </c>
      <c r="K47" s="32">
        <f t="shared" si="67"/>
        <v>-163.42098647293921</v>
      </c>
      <c r="L47" s="32">
        <f t="shared" ca="1" si="67"/>
        <v>202.03568198566995</v>
      </c>
      <c r="M47" s="32">
        <f t="shared" ca="1" si="67"/>
        <v>198.49349023986792</v>
      </c>
      <c r="N47" s="32">
        <f t="shared" ca="1" si="67"/>
        <v>195.04489692717175</v>
      </c>
      <c r="O47" s="32">
        <f t="shared" ca="1" si="67"/>
        <v>191.85791147717919</v>
      </c>
      <c r="P47" s="32">
        <f t="shared" ca="1" si="67"/>
        <v>187.8963207788629</v>
      </c>
      <c r="R47" s="111" t="str">
        <f t="shared" ca="1" si="6"/>
        <v>=SUM(F43:F46)</v>
      </c>
      <c r="S47" s="111" t="str">
        <f ca="1">_xlfn.FORMULATEXT(K47)</f>
        <v>=SUM(K43:K46)</v>
      </c>
      <c r="T47" s="111"/>
      <c r="U47" s="111"/>
      <c r="V47" s="57"/>
      <c r="W47" s="126"/>
      <c r="X47" s="126"/>
      <c r="Y47" s="126"/>
      <c r="Z47" s="126"/>
    </row>
    <row r="48" spans="1:26" s="3" customFormat="1" ht="20.5" thickBot="1" x14ac:dyDescent="0.45">
      <c r="A48" s="57"/>
      <c r="C48" s="119"/>
      <c r="D48" s="27"/>
      <c r="E48" s="27"/>
      <c r="F48" s="27"/>
      <c r="G48" s="27"/>
      <c r="H48" s="27"/>
      <c r="I48" s="27"/>
      <c r="J48" s="27"/>
      <c r="K48" s="33"/>
      <c r="L48" s="33"/>
      <c r="M48" s="33"/>
      <c r="N48" s="33"/>
      <c r="O48" s="33"/>
      <c r="P48" s="33"/>
      <c r="R48" s="111"/>
      <c r="S48" s="111"/>
      <c r="T48" s="111"/>
      <c r="U48" s="111"/>
      <c r="V48" s="57"/>
      <c r="W48" s="126"/>
      <c r="X48" s="126"/>
      <c r="Y48" s="126"/>
      <c r="Z48" s="126"/>
    </row>
    <row r="49" spans="1:26" s="3" customFormat="1" ht="20.5" thickBot="1" x14ac:dyDescent="0.45">
      <c r="A49" s="57"/>
      <c r="B49" s="34" t="str">
        <f>B40&amp;" and "&amp;B47</f>
        <v>Total Liabilities and Total Equity</v>
      </c>
      <c r="C49" s="338" t="str">
        <f t="shared" ca="1" si="7"/>
        <v>=F47+F40</v>
      </c>
      <c r="D49" s="35">
        <f>D47+D40</f>
        <v>350.91689105490752</v>
      </c>
      <c r="E49" s="35">
        <f t="shared" ref="E49:P49" si="69">E47+E40</f>
        <v>400.20485990447753</v>
      </c>
      <c r="F49" s="35">
        <f t="shared" ca="1" si="69"/>
        <v>1385.376083690307</v>
      </c>
      <c r="G49" s="35">
        <f t="shared" ref="G49:J49" ca="1" si="70">G47+G40</f>
        <v>1396.4308335116434</v>
      </c>
      <c r="H49" s="35">
        <f t="shared" ca="1" si="70"/>
        <v>1407.8384144873598</v>
      </c>
      <c r="I49" s="35">
        <f t="shared" ca="1" si="70"/>
        <v>1419.6100878242232</v>
      </c>
      <c r="J49" s="35">
        <f t="shared" ca="1" si="70"/>
        <v>1431.7574741495805</v>
      </c>
      <c r="K49" s="35">
        <f t="shared" si="69"/>
        <v>49.287968849569921</v>
      </c>
      <c r="L49" s="35">
        <f t="shared" ca="1" si="69"/>
        <v>985.17122378582928</v>
      </c>
      <c r="M49" s="35">
        <f t="shared" ca="1" si="69"/>
        <v>11.054749821336685</v>
      </c>
      <c r="N49" s="35">
        <f t="shared" ca="1" si="69"/>
        <v>11.4075809757164</v>
      </c>
      <c r="O49" s="35">
        <f t="shared" ca="1" si="69"/>
        <v>11.771673336863188</v>
      </c>
      <c r="P49" s="35">
        <f t="shared" ca="1" si="69"/>
        <v>12.147386325357303</v>
      </c>
      <c r="R49" s="111" t="str">
        <f t="shared" ca="1" si="6"/>
        <v>=F47+F40</v>
      </c>
      <c r="S49" s="111" t="str">
        <f ca="1">_xlfn.FORMULATEXT(K49)</f>
        <v>=K47+K40</v>
      </c>
      <c r="T49" s="111"/>
      <c r="U49" s="111"/>
      <c r="V49" s="57"/>
      <c r="W49" s="126"/>
      <c r="X49" s="126"/>
      <c r="Y49" s="126"/>
      <c r="Z49" s="126"/>
    </row>
    <row r="50" spans="1:26" s="3" customFormat="1" ht="24" x14ac:dyDescent="0.8">
      <c r="A50" s="57"/>
      <c r="B50" s="36" t="s">
        <v>69</v>
      </c>
      <c r="C50" s="338" t="str">
        <f t="shared" ca="1" si="7"/>
        <v>=F49-F27</v>
      </c>
      <c r="D50" s="114">
        <f t="shared" ref="D50:F50" si="71">D49-D27</f>
        <v>5.6843418860808015E-13</v>
      </c>
      <c r="E50" s="114">
        <f t="shared" si="71"/>
        <v>0</v>
      </c>
      <c r="F50" s="114">
        <f t="shared" ca="1" si="71"/>
        <v>974.45839221597328</v>
      </c>
      <c r="G50" s="114">
        <f t="shared" ref="G50:J50" ca="1" si="72">G49-G27</f>
        <v>974.45839221597294</v>
      </c>
      <c r="H50" s="114">
        <f t="shared" ca="1" si="72"/>
        <v>974.45839221597294</v>
      </c>
      <c r="I50" s="114">
        <f t="shared" ca="1" si="72"/>
        <v>974.45839221597294</v>
      </c>
      <c r="J50" s="114">
        <f t="shared" ca="1" si="72"/>
        <v>974.45839221597305</v>
      </c>
      <c r="K50" s="59" t="str">
        <f>K$11</f>
        <v>YoY Change</v>
      </c>
      <c r="L50" s="9"/>
      <c r="M50" s="9"/>
      <c r="N50" s="9"/>
      <c r="O50" s="9"/>
      <c r="P50" s="9"/>
      <c r="R50" s="111" t="str">
        <f t="shared" ca="1" si="6"/>
        <v>=F49-F27</v>
      </c>
      <c r="S50" s="111" t="str">
        <f ca="1">_xlfn.FORMULATEXT(K50)</f>
        <v>=K$11</v>
      </c>
      <c r="T50" s="111"/>
      <c r="U50" s="111"/>
      <c r="V50" s="57"/>
      <c r="W50" s="126"/>
      <c r="X50" s="126"/>
      <c r="Y50" s="126"/>
      <c r="Z50" s="126"/>
    </row>
    <row r="51" spans="1:26" s="3" customFormat="1" ht="20.5" thickBot="1" x14ac:dyDescent="0.45">
      <c r="A51" s="57" t="s">
        <v>67</v>
      </c>
      <c r="B51" s="4" t="s">
        <v>393</v>
      </c>
      <c r="C51" s="4"/>
      <c r="D51" s="75">
        <f>D$12</f>
        <v>2019</v>
      </c>
      <c r="E51" s="75">
        <f t="shared" ref="E51:P51" si="73">E$12</f>
        <v>2020</v>
      </c>
      <c r="F51" s="72">
        <f t="shared" si="73"/>
        <v>2021</v>
      </c>
      <c r="G51" s="72">
        <f t="shared" si="73"/>
        <v>2022</v>
      </c>
      <c r="H51" s="72">
        <f t="shared" si="73"/>
        <v>2023</v>
      </c>
      <c r="I51" s="72">
        <f t="shared" si="73"/>
        <v>2024</v>
      </c>
      <c r="J51" s="72">
        <f t="shared" si="73"/>
        <v>2025</v>
      </c>
      <c r="K51" s="72">
        <f t="shared" si="73"/>
        <v>2020</v>
      </c>
      <c r="L51" s="72">
        <f t="shared" si="73"/>
        <v>2021</v>
      </c>
      <c r="M51" s="72">
        <f t="shared" si="73"/>
        <v>2022</v>
      </c>
      <c r="N51" s="72">
        <f t="shared" si="73"/>
        <v>2023</v>
      </c>
      <c r="O51" s="72">
        <f t="shared" si="73"/>
        <v>2024</v>
      </c>
      <c r="P51" s="72">
        <f t="shared" si="73"/>
        <v>2025</v>
      </c>
      <c r="R51" s="111" t="str">
        <f t="shared" ca="1" si="6"/>
        <v>=F$12</v>
      </c>
      <c r="S51" s="111"/>
      <c r="T51" s="111"/>
      <c r="U51" s="111"/>
      <c r="V51" s="57"/>
      <c r="W51" s="126"/>
      <c r="X51" s="126"/>
      <c r="Y51" s="126"/>
      <c r="Z51" s="126"/>
    </row>
    <row r="52" spans="1:26" s="3" customFormat="1" ht="20" x14ac:dyDescent="0.4">
      <c r="A52" s="57"/>
      <c r="B52" s="3" t="s">
        <v>12</v>
      </c>
      <c r="C52" s="338" t="str">
        <f t="shared" ref="C52:C63" ca="1" si="74">_xlfn.FORMULATEXT(F52)</f>
        <v>=(1+F264)*E52</v>
      </c>
      <c r="D52" s="18">
        <v>1188.5583842006499</v>
      </c>
      <c r="E52" s="18">
        <v>1226.4932478133608</v>
      </c>
      <c r="F52" s="93">
        <f ca="1">(1+F264)*E52</f>
        <v>1265.6388671587679</v>
      </c>
      <c r="G52" s="93">
        <f t="shared" ref="G52:J52" ca="1" si="75">(1+G264)*F52</f>
        <v>1306.0338855666382</v>
      </c>
      <c r="H52" s="93">
        <f t="shared" ca="1" si="75"/>
        <v>1347.7181797343746</v>
      </c>
      <c r="I52" s="93">
        <f t="shared" ca="1" si="75"/>
        <v>1390.7328990920428</v>
      </c>
      <c r="J52" s="93">
        <f t="shared" ca="1" si="75"/>
        <v>1435.1205064238004</v>
      </c>
      <c r="K52" s="30">
        <f>E52-D52</f>
        <v>37.934863612710842</v>
      </c>
      <c r="L52" s="30">
        <f t="shared" ref="L52:L63" ca="1" si="76">F52-E52</f>
        <v>39.145619345407113</v>
      </c>
      <c r="M52" s="30">
        <f t="shared" ref="M52:M63" ca="1" si="77">G52-F52</f>
        <v>40.395018407870339</v>
      </c>
      <c r="N52" s="30">
        <f t="shared" ref="N52:N63" ca="1" si="78">H52-G52</f>
        <v>41.684294167736425</v>
      </c>
      <c r="O52" s="30">
        <f t="shared" ref="O52:O63" ca="1" si="79">I52-H52</f>
        <v>43.014719357668127</v>
      </c>
      <c r="P52" s="30">
        <f t="shared" ref="P52:P63" ca="1" si="80">J52-I52</f>
        <v>44.387607331757636</v>
      </c>
      <c r="R52" s="111" t="str">
        <f t="shared" ca="1" si="6"/>
        <v>=(1+F264)*E52</v>
      </c>
      <c r="S52" s="111"/>
      <c r="T52" s="111"/>
      <c r="U52" s="111"/>
      <c r="V52" s="57"/>
      <c r="W52" s="126"/>
      <c r="X52" s="126"/>
      <c r="Y52" s="126"/>
      <c r="Z52" s="126"/>
    </row>
    <row r="53" spans="1:26" s="3" customFormat="1" ht="20" x14ac:dyDescent="0.4">
      <c r="A53" s="57"/>
      <c r="B53" s="12" t="s">
        <v>72</v>
      </c>
      <c r="C53" s="338" t="str">
        <f t="shared" ca="1" si="74"/>
        <v>=F269*F$52</v>
      </c>
      <c r="D53" s="27">
        <v>0</v>
      </c>
      <c r="E53" s="20">
        <v>-385.05300157020298</v>
      </c>
      <c r="F53" s="93">
        <f ca="1">F269*F$52</f>
        <v>-397.34262342841265</v>
      </c>
      <c r="G53" s="93">
        <f t="shared" ref="G53:J53" ca="1" si="81">G269*G$52</f>
        <v>-410.02448948365975</v>
      </c>
      <c r="H53" s="93">
        <f t="shared" ca="1" si="81"/>
        <v>-423.11111887704448</v>
      </c>
      <c r="I53" s="93">
        <f t="shared" ca="1" si="81"/>
        <v>-436.61543031936111</v>
      </c>
      <c r="J53" s="93">
        <f t="shared" ca="1" si="81"/>
        <v>-450.55075484404506</v>
      </c>
      <c r="K53" s="30">
        <f t="shared" ref="K53:K63" si="82">E53-D53</f>
        <v>-385.05300157020298</v>
      </c>
      <c r="L53" s="30">
        <f t="shared" ca="1" si="76"/>
        <v>-12.289621858209671</v>
      </c>
      <c r="M53" s="30">
        <f t="shared" ca="1" si="77"/>
        <v>-12.681866055247099</v>
      </c>
      <c r="N53" s="30">
        <f t="shared" ca="1" si="78"/>
        <v>-13.086629393384726</v>
      </c>
      <c r="O53" s="30">
        <f t="shared" ca="1" si="79"/>
        <v>-13.504311442316634</v>
      </c>
      <c r="P53" s="30">
        <f t="shared" ca="1" si="80"/>
        <v>-13.935324524683949</v>
      </c>
      <c r="R53" s="111" t="str">
        <f t="shared" ca="1" si="6"/>
        <v>=F269*F$52</v>
      </c>
      <c r="S53" s="111"/>
      <c r="T53" s="111"/>
      <c r="U53" s="111"/>
      <c r="V53" s="57"/>
      <c r="W53" s="126"/>
      <c r="X53" s="126"/>
      <c r="Y53" s="126"/>
      <c r="Z53" s="126"/>
    </row>
    <row r="54" spans="1:26" s="3" customFormat="1" ht="20" x14ac:dyDescent="0.4">
      <c r="A54" s="57"/>
      <c r="B54" s="39" t="s">
        <v>30</v>
      </c>
      <c r="C54" s="338" t="str">
        <f t="shared" ca="1" si="74"/>
        <v>=SUM(F52:F53)</v>
      </c>
      <c r="D54" s="77"/>
      <c r="E54" s="41">
        <f t="shared" ref="E54:F54" si="83">SUM(E52:E53)</f>
        <v>841.44024624315784</v>
      </c>
      <c r="F54" s="41">
        <f t="shared" ca="1" si="83"/>
        <v>868.29624373035517</v>
      </c>
      <c r="G54" s="41">
        <f t="shared" ref="G54:J54" ca="1" si="84">SUM(G52:G53)</f>
        <v>896.00939608297847</v>
      </c>
      <c r="H54" s="41">
        <f t="shared" ca="1" si="84"/>
        <v>924.60706085733023</v>
      </c>
      <c r="I54" s="41">
        <f t="shared" ca="1" si="84"/>
        <v>954.1174687726816</v>
      </c>
      <c r="J54" s="41">
        <f t="shared" ca="1" si="84"/>
        <v>984.56975157975535</v>
      </c>
      <c r="K54" s="41">
        <f t="shared" si="82"/>
        <v>841.44024624315784</v>
      </c>
      <c r="L54" s="41">
        <f t="shared" ca="1" si="76"/>
        <v>26.855997487197328</v>
      </c>
      <c r="M54" s="41">
        <f t="shared" ca="1" si="77"/>
        <v>27.713152352623297</v>
      </c>
      <c r="N54" s="41">
        <f t="shared" ca="1" si="78"/>
        <v>28.597664774351756</v>
      </c>
      <c r="O54" s="41">
        <f t="shared" ca="1" si="79"/>
        <v>29.510407915351379</v>
      </c>
      <c r="P54" s="41">
        <f t="shared" ca="1" si="80"/>
        <v>30.452282807073743</v>
      </c>
      <c r="R54" s="111" t="str">
        <f t="shared" ca="1" si="6"/>
        <v>=SUM(F52:F53)</v>
      </c>
      <c r="S54" s="111"/>
      <c r="T54" s="111"/>
      <c r="U54" s="111"/>
      <c r="V54" s="57"/>
      <c r="W54" s="126"/>
      <c r="X54" s="126"/>
      <c r="Y54" s="126"/>
      <c r="Z54" s="126"/>
    </row>
    <row r="55" spans="1:26" s="3" customFormat="1" ht="20" x14ac:dyDescent="0.4">
      <c r="A55" s="57"/>
      <c r="B55" s="3" t="s">
        <v>31</v>
      </c>
      <c r="C55" s="338" t="str">
        <f t="shared" ca="1" si="74"/>
        <v>=F274*F$52</v>
      </c>
      <c r="D55" s="27"/>
      <c r="E55" s="18">
        <v>-354.84932815551724</v>
      </c>
      <c r="F55" s="93">
        <f ca="1">F274*F$52</f>
        <v>-366.17494837374051</v>
      </c>
      <c r="G55" s="93">
        <f t="shared" ref="G55:J55" ca="1" si="85">G274*G$52</f>
        <v>-377.86204503604824</v>
      </c>
      <c r="H55" s="93">
        <f t="shared" ca="1" si="85"/>
        <v>-389.92215527834213</v>
      </c>
      <c r="I55" s="93">
        <f t="shared" ca="1" si="85"/>
        <v>-402.36718446385089</v>
      </c>
      <c r="J55" s="93">
        <f t="shared" ca="1" si="85"/>
        <v>-415.20941793573212</v>
      </c>
      <c r="K55" s="30">
        <f t="shared" si="82"/>
        <v>-354.84932815551724</v>
      </c>
      <c r="L55" s="30">
        <f t="shared" ca="1" si="76"/>
        <v>-11.325620218223264</v>
      </c>
      <c r="M55" s="30">
        <f t="shared" ca="1" si="77"/>
        <v>-11.687096662307738</v>
      </c>
      <c r="N55" s="30">
        <f t="shared" ca="1" si="78"/>
        <v>-12.060110242293888</v>
      </c>
      <c r="O55" s="30">
        <f t="shared" ca="1" si="79"/>
        <v>-12.445029185508758</v>
      </c>
      <c r="P55" s="30">
        <f t="shared" ca="1" si="80"/>
        <v>-12.842233471881229</v>
      </c>
      <c r="R55" s="111" t="str">
        <f t="shared" ca="1" si="6"/>
        <v>=F274*F$52</v>
      </c>
      <c r="S55" s="111"/>
      <c r="T55" s="111"/>
      <c r="U55" s="111"/>
      <c r="V55" s="57"/>
      <c r="W55" s="126"/>
      <c r="X55" s="126"/>
      <c r="Y55" s="126"/>
      <c r="Z55" s="126"/>
    </row>
    <row r="56" spans="1:26" s="3" customFormat="1" ht="20" x14ac:dyDescent="0.4">
      <c r="A56" s="57"/>
      <c r="B56" s="12" t="s">
        <v>10</v>
      </c>
      <c r="C56" s="338" t="str">
        <f t="shared" ca="1" si="74"/>
        <v>=F279*F$52</v>
      </c>
      <c r="D56" s="27"/>
      <c r="E56" s="20">
        <v>-57.883844493396694</v>
      </c>
      <c r="F56" s="93">
        <f ca="1">F279*F$52</f>
        <v>-86.267994597776649</v>
      </c>
      <c r="G56" s="93">
        <f t="shared" ref="G56:J56" ca="1" si="86">G279*G$52</f>
        <v>-116.40503674102354</v>
      </c>
      <c r="H56" s="93">
        <f t="shared" ca="1" si="86"/>
        <v>-148.37794973991143</v>
      </c>
      <c r="I56" s="93">
        <f t="shared" ca="1" si="86"/>
        <v>-182.27322360272566</v>
      </c>
      <c r="J56" s="93">
        <f t="shared" ca="1" si="86"/>
        <v>-218.18099913205083</v>
      </c>
      <c r="K56" s="30">
        <f t="shared" si="82"/>
        <v>-57.883844493396694</v>
      </c>
      <c r="L56" s="30">
        <f t="shared" ca="1" si="76"/>
        <v>-28.384150104379955</v>
      </c>
      <c r="M56" s="30">
        <f t="shared" ca="1" si="77"/>
        <v>-30.137042143246887</v>
      </c>
      <c r="N56" s="30">
        <f t="shared" ca="1" si="78"/>
        <v>-31.972912998887892</v>
      </c>
      <c r="O56" s="30">
        <f t="shared" ca="1" si="79"/>
        <v>-33.895273862814236</v>
      </c>
      <c r="P56" s="30">
        <f t="shared" ca="1" si="80"/>
        <v>-35.907775529325164</v>
      </c>
      <c r="R56" s="111" t="str">
        <f t="shared" ca="1" si="6"/>
        <v>=F279*F$52</v>
      </c>
      <c r="S56" s="111"/>
      <c r="T56" s="111"/>
      <c r="U56" s="111"/>
      <c r="V56" s="57"/>
      <c r="W56" s="126"/>
      <c r="X56" s="126"/>
      <c r="Y56" s="126"/>
      <c r="Z56" s="126"/>
    </row>
    <row r="57" spans="1:26" s="3" customFormat="1" ht="20" x14ac:dyDescent="0.4">
      <c r="A57" s="57"/>
      <c r="B57" s="39" t="s">
        <v>32</v>
      </c>
      <c r="C57" s="338" t="str">
        <f t="shared" ca="1" si="74"/>
        <v>=SUM(F54:F56)</v>
      </c>
      <c r="D57" s="77"/>
      <c r="E57" s="41">
        <f t="shared" ref="E57:F57" si="87">SUM(E54:E56)</f>
        <v>428.70707359424392</v>
      </c>
      <c r="F57" s="41">
        <f t="shared" ca="1" si="87"/>
        <v>415.85330075883803</v>
      </c>
      <c r="G57" s="41">
        <f t="shared" ref="G57:J57" ca="1" si="88">SUM(G54:G56)</f>
        <v>401.74231430590669</v>
      </c>
      <c r="H57" s="41">
        <f t="shared" ca="1" si="88"/>
        <v>386.30695583907664</v>
      </c>
      <c r="I57" s="41">
        <f t="shared" ca="1" si="88"/>
        <v>369.47706070610502</v>
      </c>
      <c r="J57" s="41">
        <f t="shared" ca="1" si="88"/>
        <v>351.17933451197246</v>
      </c>
      <c r="K57" s="41">
        <f t="shared" si="82"/>
        <v>428.70707359424392</v>
      </c>
      <c r="L57" s="41">
        <f t="shared" ca="1" si="76"/>
        <v>-12.853772835405891</v>
      </c>
      <c r="M57" s="41">
        <f t="shared" ca="1" si="77"/>
        <v>-14.110986452931343</v>
      </c>
      <c r="N57" s="41">
        <f t="shared" ca="1" si="78"/>
        <v>-15.435358466830053</v>
      </c>
      <c r="O57" s="41">
        <f t="shared" ca="1" si="79"/>
        <v>-16.829895132971615</v>
      </c>
      <c r="P57" s="41">
        <f t="shared" ca="1" si="80"/>
        <v>-18.297726194132565</v>
      </c>
      <c r="R57" s="111" t="str">
        <f t="shared" ca="1" si="6"/>
        <v>=SUM(F54:F56)</v>
      </c>
      <c r="S57" s="111"/>
      <c r="T57" s="111"/>
      <c r="U57" s="111"/>
      <c r="V57" s="57"/>
      <c r="W57" s="126"/>
      <c r="X57" s="126"/>
      <c r="Y57" s="126"/>
      <c r="Z57" s="126"/>
    </row>
    <row r="58" spans="1:26" s="3" customFormat="1" ht="20" x14ac:dyDescent="0.4">
      <c r="A58" s="57"/>
      <c r="B58" s="12" t="s">
        <v>11</v>
      </c>
      <c r="C58" s="338" t="str">
        <f t="shared" ca="1" si="74"/>
        <v>=F284*F$52</v>
      </c>
      <c r="D58" s="27"/>
      <c r="E58" s="20">
        <v>5.5134361807859387</v>
      </c>
      <c r="F58" s="93">
        <f ca="1">F284*F$52</f>
        <v>5.6894068796895203</v>
      </c>
      <c r="G58" s="93">
        <f t="shared" ref="G58:J58" ca="1" si="89">G284*G$52</f>
        <v>5.8709939829292095</v>
      </c>
      <c r="H58" s="93">
        <f t="shared" ca="1" si="89"/>
        <v>6.0583767476078254</v>
      </c>
      <c r="I58" s="93">
        <f t="shared" ca="1" si="89"/>
        <v>6.2517401521236975</v>
      </c>
      <c r="J58" s="93">
        <f t="shared" ca="1" si="89"/>
        <v>6.4512750787755504</v>
      </c>
      <c r="K58" s="30">
        <f t="shared" si="82"/>
        <v>5.5134361807859387</v>
      </c>
      <c r="L58" s="30">
        <f t="shared" ca="1" si="76"/>
        <v>0.17597069890358163</v>
      </c>
      <c r="M58" s="30">
        <f t="shared" ca="1" si="77"/>
        <v>0.18158710323968918</v>
      </c>
      <c r="N58" s="30">
        <f t="shared" ca="1" si="78"/>
        <v>0.18738276467861592</v>
      </c>
      <c r="O58" s="30">
        <f t="shared" ca="1" si="79"/>
        <v>0.19336340451587208</v>
      </c>
      <c r="P58" s="30">
        <f t="shared" ca="1" si="80"/>
        <v>0.19953492665185291</v>
      </c>
      <c r="R58" s="111" t="str">
        <f t="shared" ca="1" si="6"/>
        <v>=F284*F$52</v>
      </c>
      <c r="S58" s="111"/>
      <c r="T58" s="111"/>
      <c r="U58" s="111"/>
      <c r="V58" s="57"/>
      <c r="W58" s="126"/>
      <c r="X58" s="126"/>
      <c r="Y58" s="126"/>
      <c r="Z58" s="126"/>
    </row>
    <row r="59" spans="1:26" s="3" customFormat="1" ht="20" x14ac:dyDescent="0.4">
      <c r="A59" s="57"/>
      <c r="B59" s="39" t="s">
        <v>33</v>
      </c>
      <c r="C59" s="338" t="str">
        <f t="shared" ca="1" si="74"/>
        <v>=SUM(F57:F58)</v>
      </c>
      <c r="D59" s="77"/>
      <c r="E59" s="78">
        <f t="shared" ref="E59:F59" si="90">SUM(E57:E58)</f>
        <v>434.22050977502988</v>
      </c>
      <c r="F59" s="78">
        <f t="shared" ca="1" si="90"/>
        <v>421.54270763852753</v>
      </c>
      <c r="G59" s="78">
        <f t="shared" ref="G59:J59" ca="1" si="91">SUM(G57:G58)</f>
        <v>407.61330828883592</v>
      </c>
      <c r="H59" s="78">
        <f t="shared" ca="1" si="91"/>
        <v>392.36533258668447</v>
      </c>
      <c r="I59" s="78">
        <f t="shared" ca="1" si="91"/>
        <v>375.72880085822874</v>
      </c>
      <c r="J59" s="78">
        <f t="shared" ca="1" si="91"/>
        <v>357.63060959074801</v>
      </c>
      <c r="K59" s="78">
        <f t="shared" si="82"/>
        <v>434.22050977502988</v>
      </c>
      <c r="L59" s="78">
        <f t="shared" ca="1" si="76"/>
        <v>-12.677802136502351</v>
      </c>
      <c r="M59" s="78">
        <f t="shared" ca="1" si="77"/>
        <v>-13.929399349691607</v>
      </c>
      <c r="N59" s="78">
        <f t="shared" ca="1" si="78"/>
        <v>-15.24797570215145</v>
      </c>
      <c r="O59" s="78">
        <f t="shared" ca="1" si="79"/>
        <v>-16.636531728455736</v>
      </c>
      <c r="P59" s="78">
        <f t="shared" ca="1" si="80"/>
        <v>-18.098191267480729</v>
      </c>
      <c r="R59" s="111" t="str">
        <f t="shared" ca="1" si="6"/>
        <v>=SUM(F57:F58)</v>
      </c>
      <c r="S59" s="111"/>
      <c r="T59" s="111"/>
      <c r="U59" s="111"/>
      <c r="V59" s="57"/>
      <c r="W59" s="126"/>
      <c r="X59" s="126"/>
      <c r="Y59" s="126"/>
      <c r="Z59" s="126"/>
    </row>
    <row r="60" spans="1:26" s="3" customFormat="1" ht="20" x14ac:dyDescent="0.4">
      <c r="A60" s="57"/>
      <c r="B60" s="12" t="str">
        <f>B189</f>
        <v>Net Interest Income / (Expense)</v>
      </c>
      <c r="C60" s="347" t="str">
        <f t="shared" ca="1" si="74"/>
        <v>=IF($D$4=0,0,F189)</v>
      </c>
      <c r="D60" s="27"/>
      <c r="E60" s="20">
        <v>-14.302003973983526</v>
      </c>
      <c r="F60" s="94">
        <f ca="1">IF($D$4=0,0,F189)</f>
        <v>-78.492179425356923</v>
      </c>
      <c r="G60" s="94">
        <f t="shared" ref="G60:J60" ca="1" si="92">IF($D$4=0,0,G189)</f>
        <v>-70.577315416585236</v>
      </c>
      <c r="H60" s="94">
        <f t="shared" ca="1" si="92"/>
        <v>-61.184947723304241</v>
      </c>
      <c r="I60" s="94">
        <f t="shared" ca="1" si="92"/>
        <v>-49.959821699436482</v>
      </c>
      <c r="J60" s="94">
        <f t="shared" ca="1" si="92"/>
        <v>-38.588292614917243</v>
      </c>
      <c r="K60" s="30">
        <f t="shared" si="82"/>
        <v>-14.302003973983526</v>
      </c>
      <c r="L60" s="30">
        <f t="shared" ca="1" si="76"/>
        <v>-64.190175451373392</v>
      </c>
      <c r="M60" s="30">
        <f t="shared" ca="1" si="77"/>
        <v>7.9148640087716871</v>
      </c>
      <c r="N60" s="30">
        <f t="shared" ca="1" si="78"/>
        <v>9.3923676932809954</v>
      </c>
      <c r="O60" s="30">
        <f t="shared" ca="1" si="79"/>
        <v>11.225126023867759</v>
      </c>
      <c r="P60" s="30">
        <f t="shared" ca="1" si="80"/>
        <v>11.371529084519238</v>
      </c>
      <c r="R60" s="111" t="str">
        <f t="shared" ca="1" si="6"/>
        <v>=IF($D$4=0,0,F189)</v>
      </c>
      <c r="S60" s="111"/>
      <c r="T60" s="111"/>
      <c r="U60" s="111"/>
      <c r="V60" s="57"/>
      <c r="W60" s="126"/>
      <c r="X60" s="126"/>
      <c r="Y60" s="126"/>
      <c r="Z60" s="126"/>
    </row>
    <row r="61" spans="1:26" s="3" customFormat="1" ht="20" x14ac:dyDescent="0.4">
      <c r="A61" s="57"/>
      <c r="B61" s="39" t="s">
        <v>121</v>
      </c>
      <c r="C61" s="338" t="str">
        <f t="shared" ca="1" si="74"/>
        <v>=SUM(F59:F60)</v>
      </c>
      <c r="D61" s="77"/>
      <c r="E61" s="78">
        <f t="shared" ref="E61:F61" si="93">SUM(E59:E60)</f>
        <v>419.91850580104636</v>
      </c>
      <c r="F61" s="78">
        <f t="shared" ca="1" si="93"/>
        <v>343.05052821317059</v>
      </c>
      <c r="G61" s="78">
        <f t="shared" ref="G61:J61" ca="1" si="94">SUM(G59:G60)</f>
        <v>337.03599287225069</v>
      </c>
      <c r="H61" s="78">
        <f t="shared" ca="1" si="94"/>
        <v>331.18038486338025</v>
      </c>
      <c r="I61" s="78">
        <f t="shared" ca="1" si="94"/>
        <v>325.76897915879226</v>
      </c>
      <c r="J61" s="78">
        <f t="shared" ca="1" si="94"/>
        <v>319.04231697583077</v>
      </c>
      <c r="K61" s="78">
        <f t="shared" si="82"/>
        <v>419.91850580104636</v>
      </c>
      <c r="L61" s="78">
        <f t="shared" ca="1" si="76"/>
        <v>-76.867977587875771</v>
      </c>
      <c r="M61" s="78">
        <f t="shared" ca="1" si="77"/>
        <v>-6.014535340919906</v>
      </c>
      <c r="N61" s="78">
        <f t="shared" ca="1" si="78"/>
        <v>-5.8556080088704334</v>
      </c>
      <c r="O61" s="78">
        <f t="shared" ca="1" si="79"/>
        <v>-5.4114057045879917</v>
      </c>
      <c r="P61" s="78">
        <f t="shared" ca="1" si="80"/>
        <v>-6.7266621829614905</v>
      </c>
      <c r="R61" s="111" t="str">
        <f t="shared" ca="1" si="6"/>
        <v>=SUM(F59:F60)</v>
      </c>
      <c r="S61" s="111"/>
      <c r="T61" s="111"/>
      <c r="U61" s="111"/>
      <c r="V61" s="57"/>
      <c r="W61" s="126"/>
      <c r="X61" s="126"/>
      <c r="Y61" s="126"/>
      <c r="Z61" s="126"/>
    </row>
    <row r="62" spans="1:26" s="3" customFormat="1" ht="20" x14ac:dyDescent="0.4">
      <c r="A62" s="57"/>
      <c r="B62" s="12" t="s">
        <v>34</v>
      </c>
      <c r="C62" s="338" t="str">
        <f t="shared" ca="1" si="74"/>
        <v>=F289*F61</v>
      </c>
      <c r="D62" s="27"/>
      <c r="E62" s="20">
        <v>-84.114471621292907</v>
      </c>
      <c r="F62" s="93">
        <f ca="1">F289*F61</f>
        <v>-68.716937980646563</v>
      </c>
      <c r="G62" s="93">
        <f t="shared" ref="G62:J62" ca="1" si="95">G289*G61</f>
        <v>-67.512157873887546</v>
      </c>
      <c r="H62" s="93">
        <f t="shared" ca="1" si="95"/>
        <v>-66.339212726476234</v>
      </c>
      <c r="I62" s="93">
        <f t="shared" ca="1" si="95"/>
        <v>-65.255246372810632</v>
      </c>
      <c r="J62" s="93">
        <f t="shared" ca="1" si="95"/>
        <v>-63.907819128051827</v>
      </c>
      <c r="K62" s="30">
        <f t="shared" si="82"/>
        <v>-84.114471621292907</v>
      </c>
      <c r="L62" s="30">
        <f t="shared" ca="1" si="76"/>
        <v>15.397533640646344</v>
      </c>
      <c r="M62" s="30">
        <f t="shared" ca="1" si="77"/>
        <v>1.2047801067590171</v>
      </c>
      <c r="N62" s="30">
        <f t="shared" ca="1" si="78"/>
        <v>1.172945147411312</v>
      </c>
      <c r="O62" s="30">
        <f t="shared" ca="1" si="79"/>
        <v>1.0839663536656019</v>
      </c>
      <c r="P62" s="30">
        <f t="shared" ca="1" si="80"/>
        <v>1.3474272447588049</v>
      </c>
      <c r="R62" s="111" t="str">
        <f t="shared" ca="1" si="6"/>
        <v>=F289*F61</v>
      </c>
      <c r="S62" s="111"/>
      <c r="T62" s="111"/>
      <c r="U62" s="111"/>
      <c r="V62" s="57"/>
      <c r="W62" s="126"/>
      <c r="X62" s="126"/>
      <c r="Y62" s="126"/>
      <c r="Z62" s="126"/>
    </row>
    <row r="63" spans="1:26" s="3" customFormat="1" ht="20" x14ac:dyDescent="0.4">
      <c r="A63" s="57"/>
      <c r="B63" s="39" t="s">
        <v>35</v>
      </c>
      <c r="C63" s="338" t="str">
        <f t="shared" ca="1" si="74"/>
        <v>=SUM(F61:F62)</v>
      </c>
      <c r="D63" s="77"/>
      <c r="E63" s="78">
        <f t="shared" ref="E63" si="96">SUM(E61:E62)</f>
        <v>335.80403417975344</v>
      </c>
      <c r="F63" s="78">
        <f ca="1">SUM(F61:F62)</f>
        <v>274.33359023252405</v>
      </c>
      <c r="G63" s="78">
        <f t="shared" ref="G63:J63" ca="1" si="97">SUM(G61:G62)</f>
        <v>269.52383499836316</v>
      </c>
      <c r="H63" s="78">
        <f t="shared" ca="1" si="97"/>
        <v>264.84117213690399</v>
      </c>
      <c r="I63" s="78">
        <f t="shared" ca="1" si="97"/>
        <v>260.51373278598163</v>
      </c>
      <c r="J63" s="78">
        <f t="shared" ca="1" si="97"/>
        <v>255.13449784777896</v>
      </c>
      <c r="K63" s="30">
        <f t="shared" si="82"/>
        <v>335.80403417975344</v>
      </c>
      <c r="L63" s="30">
        <f t="shared" ca="1" si="76"/>
        <v>-61.470443947229398</v>
      </c>
      <c r="M63" s="30">
        <f t="shared" ca="1" si="77"/>
        <v>-4.8097552341608889</v>
      </c>
      <c r="N63" s="30">
        <f t="shared" ca="1" si="78"/>
        <v>-4.6826628614591641</v>
      </c>
      <c r="O63" s="30">
        <f t="shared" ca="1" si="79"/>
        <v>-4.3274393509223614</v>
      </c>
      <c r="P63" s="30">
        <f t="shared" ca="1" si="80"/>
        <v>-5.3792349382026714</v>
      </c>
      <c r="R63" s="111" t="str">
        <f t="shared" ca="1" si="6"/>
        <v>=SUM(F61:F62)</v>
      </c>
      <c r="S63" s="111"/>
      <c r="T63" s="111"/>
      <c r="U63" s="111"/>
      <c r="V63" s="57"/>
      <c r="W63" s="126"/>
      <c r="X63" s="126"/>
      <c r="Y63" s="126"/>
      <c r="Z63" s="126"/>
    </row>
    <row r="64" spans="1:26" s="3" customFormat="1" ht="24" x14ac:dyDescent="0.8">
      <c r="A64" s="57"/>
      <c r="R64" s="8"/>
      <c r="S64"/>
      <c r="T64" s="9"/>
      <c r="U64" s="9"/>
      <c r="V64" s="57"/>
      <c r="W64" s="126"/>
      <c r="X64" s="126"/>
      <c r="Y64" s="126"/>
      <c r="Z64" s="126"/>
    </row>
    <row r="65" spans="1:26" s="3" customFormat="1" ht="22" thickBot="1" x14ac:dyDescent="0.6">
      <c r="A65" s="57" t="s">
        <v>67</v>
      </c>
      <c r="B65" s="4" t="s">
        <v>65</v>
      </c>
      <c r="C65" s="4"/>
      <c r="D65" s="72">
        <f>D$12</f>
        <v>2019</v>
      </c>
      <c r="E65" s="72">
        <f t="shared" ref="E65:J65" si="98">E$12</f>
        <v>2020</v>
      </c>
      <c r="F65" s="72">
        <f t="shared" si="98"/>
        <v>2021</v>
      </c>
      <c r="G65" s="72">
        <f t="shared" si="98"/>
        <v>2022</v>
      </c>
      <c r="H65" s="72">
        <f t="shared" si="98"/>
        <v>2023</v>
      </c>
      <c r="I65" s="72">
        <f t="shared" si="98"/>
        <v>2024</v>
      </c>
      <c r="J65" s="72">
        <f t="shared" si="98"/>
        <v>2025</v>
      </c>
      <c r="K65" s="72"/>
      <c r="L65" s="72"/>
      <c r="M65" s="72"/>
      <c r="N65" s="72"/>
      <c r="O65" s="72"/>
      <c r="P65" s="72"/>
      <c r="R65" s="112"/>
      <c r="S65"/>
      <c r="T65" s="9"/>
      <c r="U65" s="9"/>
      <c r="V65" s="57"/>
      <c r="W65" s="126"/>
      <c r="X65" s="126"/>
      <c r="Y65" s="126"/>
      <c r="Z65" s="126"/>
    </row>
    <row r="66" spans="1:26" s="3" customFormat="1" ht="21.5" x14ac:dyDescent="0.55000000000000004">
      <c r="A66" s="57"/>
      <c r="B66" s="10"/>
      <c r="C66" s="10"/>
      <c r="D66" s="43"/>
      <c r="E66" s="43"/>
      <c r="F66" s="43"/>
      <c r="G66" s="43"/>
      <c r="H66" s="43"/>
      <c r="I66" s="43"/>
      <c r="J66" s="43"/>
      <c r="K66" s="122" t="s">
        <v>102</v>
      </c>
      <c r="L66" s="122"/>
      <c r="R66" s="111"/>
      <c r="S66" s="111"/>
      <c r="T66" s="111"/>
      <c r="U66" s="111"/>
      <c r="V66" s="57"/>
      <c r="W66" s="126"/>
      <c r="X66" s="126"/>
      <c r="Y66" s="126"/>
      <c r="Z66" s="126"/>
    </row>
    <row r="67" spans="1:26" s="3" customFormat="1" ht="20" x14ac:dyDescent="0.4">
      <c r="A67" s="57"/>
      <c r="B67" s="13" t="s">
        <v>384</v>
      </c>
      <c r="C67" s="13"/>
      <c r="K67" s="121">
        <v>2020</v>
      </c>
      <c r="M67" s="121">
        <v>2021</v>
      </c>
      <c r="R67" s="111"/>
      <c r="S67" s="111"/>
      <c r="T67" s="111"/>
      <c r="U67" s="111"/>
      <c r="V67" s="57"/>
      <c r="W67" s="126"/>
      <c r="X67" s="126"/>
      <c r="Y67" s="126"/>
      <c r="Z67" s="126"/>
    </row>
    <row r="68" spans="1:26" s="3" customFormat="1" ht="20" x14ac:dyDescent="0.4">
      <c r="A68" s="57"/>
      <c r="B68" s="3" t="s">
        <v>33</v>
      </c>
      <c r="C68" s="338" t="str">
        <f ca="1">_xlfn.FORMULATEXT(F68)</f>
        <v>=F59</v>
      </c>
      <c r="E68" s="94">
        <f>E59</f>
        <v>434.22050977502988</v>
      </c>
      <c r="F68" s="94">
        <f t="shared" ref="F68" ca="1" si="99">F59</f>
        <v>421.54270763852753</v>
      </c>
      <c r="G68" s="94">
        <f t="shared" ref="G68:J68" ca="1" si="100">G59</f>
        <v>407.61330828883592</v>
      </c>
      <c r="H68" s="94">
        <f t="shared" ca="1" si="100"/>
        <v>392.36533258668447</v>
      </c>
      <c r="I68" s="94">
        <f t="shared" ca="1" si="100"/>
        <v>375.72880085822874</v>
      </c>
      <c r="J68" s="94">
        <f t="shared" ca="1" si="100"/>
        <v>357.63060959074801</v>
      </c>
      <c r="K68" s="120" t="str">
        <f ca="1">_xlfn.FORMULATEXT(E68)</f>
        <v>=E59</v>
      </c>
      <c r="M68" s="120" t="str">
        <f ca="1">_xlfn.FORMULATEXT(F68)</f>
        <v>=F59</v>
      </c>
      <c r="R68" s="111"/>
      <c r="S68" s="111"/>
      <c r="T68" s="111"/>
      <c r="U68" s="111"/>
      <c r="V68" s="57"/>
      <c r="W68" s="126"/>
      <c r="X68" s="126"/>
      <c r="Y68" s="126"/>
      <c r="Z68" s="126"/>
    </row>
    <row r="69" spans="1:26" s="3" customFormat="1" ht="20" x14ac:dyDescent="0.4">
      <c r="A69" s="57"/>
      <c r="B69" s="3" t="s">
        <v>57</v>
      </c>
      <c r="C69" s="338" t="str">
        <f ca="1">_xlfn.FORMULATEXT(F69)</f>
        <v>=-F56</v>
      </c>
      <c r="E69" s="94">
        <f>-E56</f>
        <v>57.883844493396694</v>
      </c>
      <c r="F69" s="94">
        <f ca="1">-F56</f>
        <v>86.267994597776649</v>
      </c>
      <c r="G69" s="94">
        <f t="shared" ref="G69:J69" ca="1" si="101">-G56</f>
        <v>116.40503674102354</v>
      </c>
      <c r="H69" s="94">
        <f t="shared" ca="1" si="101"/>
        <v>148.37794973991143</v>
      </c>
      <c r="I69" s="94">
        <f t="shared" ca="1" si="101"/>
        <v>182.27322360272566</v>
      </c>
      <c r="J69" s="94">
        <f t="shared" ca="1" si="101"/>
        <v>218.18099913205083</v>
      </c>
      <c r="K69" s="111" t="str">
        <f t="shared" ref="K69:K132" ca="1" si="102">_xlfn.FORMULATEXT(E69)</f>
        <v>=-E56</v>
      </c>
      <c r="M69" s="111" t="str">
        <f ca="1">_xlfn.FORMULATEXT(F69)</f>
        <v>=-F56</v>
      </c>
      <c r="R69" s="111"/>
      <c r="S69" s="111"/>
      <c r="T69" s="111"/>
      <c r="U69" s="111"/>
      <c r="V69" s="57"/>
      <c r="W69" s="126"/>
      <c r="X69" s="126"/>
      <c r="Y69" s="126"/>
      <c r="Z69" s="126"/>
    </row>
    <row r="70" spans="1:26" s="3" customFormat="1" ht="20" x14ac:dyDescent="0.4">
      <c r="A70" s="57"/>
      <c r="B70" s="12" t="s">
        <v>382</v>
      </c>
      <c r="C70" s="338" t="str">
        <f ca="1">_xlfn.FORMULATEXT(F70)</f>
        <v>=F76</v>
      </c>
      <c r="D70" s="12"/>
      <c r="E70" s="98">
        <f>E76</f>
        <v>-104.63755455311929</v>
      </c>
      <c r="F70" s="98">
        <f ca="1">F76</f>
        <v>-67.741432206975233</v>
      </c>
      <c r="G70" s="98">
        <f t="shared" ref="G70:J70" ca="1" si="103">G76</f>
        <v>-66.505517173258028</v>
      </c>
      <c r="H70" s="98">
        <f t="shared" ca="1" si="103"/>
        <v>-65.300443374706816</v>
      </c>
      <c r="I70" s="98">
        <f t="shared" ca="1" si="103"/>
        <v>-64.18332292932115</v>
      </c>
      <c r="J70" s="98">
        <f t="shared" ca="1" si="103"/>
        <v>-62.801683423580826</v>
      </c>
      <c r="K70" s="111" t="str">
        <f t="shared" ca="1" si="102"/>
        <v>=E76</v>
      </c>
      <c r="M70" s="111" t="str">
        <f ca="1">_xlfn.FORMULATEXT(F70)</f>
        <v>=F76</v>
      </c>
      <c r="R70" s="111"/>
      <c r="S70" s="111"/>
      <c r="T70" s="111"/>
      <c r="U70" s="111"/>
      <c r="V70" s="57"/>
      <c r="W70" s="126"/>
      <c r="X70" s="126"/>
      <c r="Y70" s="126"/>
      <c r="Z70" s="126"/>
    </row>
    <row r="71" spans="1:26" s="3" customFormat="1" ht="20" x14ac:dyDescent="0.4">
      <c r="A71" s="57"/>
      <c r="B71" s="65" t="s">
        <v>9</v>
      </c>
      <c r="C71" s="338" t="str">
        <f ca="1">_xlfn.FORMULATEXT(F71)</f>
        <v>=SUM(F68:F70)</v>
      </c>
      <c r="D71" s="65"/>
      <c r="E71" s="96">
        <f>SUM(E68:E70)</f>
        <v>387.46679971530727</v>
      </c>
      <c r="F71" s="96">
        <f ca="1">SUM(F68:F70)</f>
        <v>440.06927002932895</v>
      </c>
      <c r="G71" s="96">
        <f t="shared" ref="G71:J71" ca="1" si="104">SUM(G68:G70)</f>
        <v>457.51282785660146</v>
      </c>
      <c r="H71" s="96">
        <f t="shared" ca="1" si="104"/>
        <v>475.44283895188914</v>
      </c>
      <c r="I71" s="96">
        <f t="shared" ca="1" si="104"/>
        <v>493.81870153163328</v>
      </c>
      <c r="J71" s="96">
        <f t="shared" ca="1" si="104"/>
        <v>513.00992529921803</v>
      </c>
      <c r="K71" s="111" t="str">
        <f t="shared" ca="1" si="102"/>
        <v>=SUM(E68:E70)</v>
      </c>
      <c r="M71" s="111" t="str">
        <f ca="1">_xlfn.FORMULATEXT(F71)</f>
        <v>=SUM(F68:F70)</v>
      </c>
      <c r="R71" s="111"/>
      <c r="S71" s="111"/>
      <c r="T71" s="111"/>
      <c r="U71" s="111"/>
      <c r="V71" s="57"/>
      <c r="W71" s="126"/>
      <c r="X71" s="126"/>
      <c r="Y71" s="126"/>
      <c r="Z71" s="126"/>
    </row>
    <row r="72" spans="1:26" s="3" customFormat="1" ht="20" x14ac:dyDescent="0.4">
      <c r="A72" s="57"/>
      <c r="K72" s="111"/>
      <c r="M72" s="111"/>
      <c r="R72" s="111"/>
      <c r="S72" s="111"/>
      <c r="T72" s="111"/>
      <c r="U72" s="111"/>
      <c r="V72" s="57"/>
      <c r="W72" s="126"/>
      <c r="X72" s="126"/>
      <c r="Y72" s="126"/>
      <c r="Z72" s="126"/>
    </row>
    <row r="73" spans="1:26" s="3" customFormat="1" ht="20" x14ac:dyDescent="0.4">
      <c r="A73" s="57"/>
      <c r="B73" s="44" t="s">
        <v>45</v>
      </c>
      <c r="C73" s="44"/>
      <c r="K73" s="111"/>
      <c r="M73" s="111"/>
      <c r="R73" s="111"/>
      <c r="S73" s="111"/>
      <c r="T73" s="111"/>
      <c r="U73" s="111"/>
      <c r="V73" s="57"/>
      <c r="W73" s="126"/>
      <c r="X73" s="126"/>
      <c r="Y73" s="126"/>
      <c r="Z73" s="126"/>
    </row>
    <row r="74" spans="1:26" s="3" customFormat="1" ht="20" x14ac:dyDescent="0.4">
      <c r="A74" s="57"/>
      <c r="B74" s="3" t="s">
        <v>8</v>
      </c>
      <c r="C74" s="340" t="str">
        <f t="shared" ref="C74:C76" ca="1" si="105">_xlfn.FORMULATEXT(F74)</f>
        <v>=F62</v>
      </c>
      <c r="E74" s="94">
        <f>E62</f>
        <v>-84.114471621292907</v>
      </c>
      <c r="F74" s="94">
        <f ca="1">F62</f>
        <v>-68.716937980646563</v>
      </c>
      <c r="G74" s="94">
        <f t="shared" ref="G74:J74" ca="1" si="106">G62</f>
        <v>-67.512157873887546</v>
      </c>
      <c r="H74" s="94">
        <f t="shared" ca="1" si="106"/>
        <v>-66.339212726476234</v>
      </c>
      <c r="I74" s="94">
        <f t="shared" ca="1" si="106"/>
        <v>-65.255246372810632</v>
      </c>
      <c r="J74" s="94">
        <f t="shared" ca="1" si="106"/>
        <v>-63.907819128051827</v>
      </c>
      <c r="K74" s="111" t="str">
        <f t="shared" ca="1" si="102"/>
        <v>=E62</v>
      </c>
      <c r="M74" s="111" t="str">
        <f ca="1">_xlfn.FORMULATEXT(F74)</f>
        <v>=F62</v>
      </c>
      <c r="R74" s="111"/>
      <c r="S74" s="111"/>
      <c r="T74" s="111"/>
      <c r="U74" s="111"/>
      <c r="V74" s="57"/>
      <c r="W74" s="126"/>
      <c r="X74" s="126"/>
      <c r="Y74" s="126"/>
      <c r="Z74" s="126"/>
    </row>
    <row r="75" spans="1:26" s="3" customFormat="1" ht="20.5" thickBot="1" x14ac:dyDescent="0.45">
      <c r="A75" s="57"/>
      <c r="B75" s="3" t="s">
        <v>46</v>
      </c>
      <c r="C75" s="340" t="str">
        <f t="shared" ca="1" si="105"/>
        <v>=F37-E37</v>
      </c>
      <c r="E75" s="97">
        <f>E37-D37</f>
        <v>-20.523082931826384</v>
      </c>
      <c r="F75" s="97">
        <f ca="1">F37-E37</f>
        <v>0.97550577367133329</v>
      </c>
      <c r="G75" s="97">
        <f t="shared" ref="G75:J75" ca="1" si="107">G37-F37</f>
        <v>1.006640700629525</v>
      </c>
      <c r="H75" s="97">
        <f t="shared" ca="1" si="107"/>
        <v>1.0387693517694245</v>
      </c>
      <c r="I75" s="97">
        <f t="shared" ca="1" si="107"/>
        <v>1.0719234434894815</v>
      </c>
      <c r="J75" s="97">
        <f t="shared" ca="1" si="107"/>
        <v>1.1061357044710007</v>
      </c>
      <c r="K75" s="111" t="str">
        <f t="shared" ca="1" si="102"/>
        <v>=E37-D37</v>
      </c>
      <c r="M75" s="111" t="str">
        <f ca="1">_xlfn.FORMULATEXT(F75)</f>
        <v>=F37-E37</v>
      </c>
      <c r="R75" s="111"/>
      <c r="S75" s="111"/>
      <c r="T75" s="111"/>
      <c r="U75" s="111"/>
      <c r="V75" s="57"/>
      <c r="W75" s="126"/>
      <c r="X75" s="126"/>
      <c r="Y75" s="126"/>
      <c r="Z75" s="126"/>
    </row>
    <row r="76" spans="1:26" s="3" customFormat="1" ht="20" x14ac:dyDescent="0.4">
      <c r="A76" s="57"/>
      <c r="B76" s="46" t="s">
        <v>45</v>
      </c>
      <c r="C76" s="340" t="str">
        <f t="shared" ca="1" si="105"/>
        <v>=F74+F75</v>
      </c>
      <c r="D76" s="46"/>
      <c r="E76" s="99">
        <f>SUM(E74:E75)</f>
        <v>-104.63755455311929</v>
      </c>
      <c r="F76" s="99">
        <f ca="1">F74+F75</f>
        <v>-67.741432206975233</v>
      </c>
      <c r="G76" s="99">
        <f t="shared" ref="G76:J76" ca="1" si="108">G74+G75</f>
        <v>-66.505517173258028</v>
      </c>
      <c r="H76" s="99">
        <f t="shared" ca="1" si="108"/>
        <v>-65.300443374706816</v>
      </c>
      <c r="I76" s="99">
        <f t="shared" ca="1" si="108"/>
        <v>-64.18332292932115</v>
      </c>
      <c r="J76" s="99">
        <f t="shared" ca="1" si="108"/>
        <v>-62.801683423580826</v>
      </c>
      <c r="K76" s="111" t="str">
        <f t="shared" ca="1" si="102"/>
        <v>=SUM(E74:E75)</v>
      </c>
      <c r="M76" s="111" t="str">
        <f ca="1">_xlfn.FORMULATEXT(F76)</f>
        <v>=F74+F75</v>
      </c>
      <c r="R76" s="111"/>
      <c r="S76" s="111"/>
      <c r="T76" s="111"/>
      <c r="U76" s="111"/>
      <c r="V76" s="57"/>
      <c r="W76" s="126"/>
      <c r="X76" s="126"/>
      <c r="Y76" s="126"/>
      <c r="Z76" s="126"/>
    </row>
    <row r="77" spans="1:26" s="3" customFormat="1" ht="20" x14ac:dyDescent="0.4">
      <c r="A77" s="57"/>
      <c r="K77" s="111"/>
      <c r="M77" s="111"/>
      <c r="R77" s="111"/>
      <c r="S77" s="111"/>
      <c r="T77" s="111"/>
      <c r="U77" s="111"/>
      <c r="V77" s="57"/>
      <c r="W77" s="126"/>
      <c r="X77" s="126"/>
      <c r="Y77" s="126"/>
      <c r="Z77" s="126"/>
    </row>
    <row r="78" spans="1:26" s="3" customFormat="1" ht="20.5" thickBot="1" x14ac:dyDescent="0.45">
      <c r="A78" s="57"/>
      <c r="B78" s="13" t="s">
        <v>47</v>
      </c>
      <c r="C78" s="13"/>
      <c r="D78" s="72">
        <f>D$12</f>
        <v>2019</v>
      </c>
      <c r="E78" s="72">
        <f t="shared" ref="E78:J78" si="109">E$12</f>
        <v>2020</v>
      </c>
      <c r="F78" s="72">
        <f t="shared" si="109"/>
        <v>2021</v>
      </c>
      <c r="G78" s="72">
        <f t="shared" si="109"/>
        <v>2022</v>
      </c>
      <c r="H78" s="72">
        <f t="shared" si="109"/>
        <v>2023</v>
      </c>
      <c r="I78" s="72">
        <f t="shared" si="109"/>
        <v>2024</v>
      </c>
      <c r="J78" s="72">
        <f t="shared" si="109"/>
        <v>2025</v>
      </c>
      <c r="K78" s="111" t="str">
        <f t="shared" ca="1" si="102"/>
        <v>=E$12</v>
      </c>
      <c r="M78" s="111" t="str">
        <f t="shared" ref="M78:M83" ca="1" si="110">_xlfn.FORMULATEXT(F78)</f>
        <v>=F$12</v>
      </c>
      <c r="R78" s="111"/>
      <c r="S78" s="111"/>
      <c r="T78" s="111"/>
      <c r="U78" s="111"/>
      <c r="V78" s="57"/>
      <c r="W78" s="126"/>
      <c r="X78" s="126"/>
      <c r="Y78" s="126"/>
      <c r="Z78" s="126"/>
    </row>
    <row r="79" spans="1:26" s="3" customFormat="1" ht="20" x14ac:dyDescent="0.4">
      <c r="A79" s="57"/>
      <c r="B79" s="3" t="s">
        <v>55</v>
      </c>
      <c r="C79" s="340" t="str">
        <f t="shared" ref="C79:C83" ca="1" si="111">_xlfn.FORMULATEXT(F79)</f>
        <v>=SUM(F16:F18)</v>
      </c>
      <c r="D79" s="115">
        <f>SUM(D16:D18)</f>
        <v>78.522598282681784</v>
      </c>
      <c r="E79" s="115">
        <f>SUM(E16:E18)</f>
        <v>75.511336069254227</v>
      </c>
      <c r="F79" s="115">
        <f ca="1">SUM(F16:F18)</f>
        <v>77.921408870959482</v>
      </c>
      <c r="G79" s="115">
        <f t="shared" ref="G79:J79" ca="1" si="112">SUM(G16:G18)</f>
        <v>80.4084032477802</v>
      </c>
      <c r="H79" s="115">
        <f t="shared" ca="1" si="112"/>
        <v>82.974774282697297</v>
      </c>
      <c r="I79" s="115">
        <f t="shared" ca="1" si="112"/>
        <v>85.623055416843258</v>
      </c>
      <c r="J79" s="115">
        <f t="shared" ca="1" si="112"/>
        <v>88.355860950435968</v>
      </c>
      <c r="K79" s="111" t="str">
        <f t="shared" ca="1" si="102"/>
        <v>=SUM(E16:E18)</v>
      </c>
      <c r="M79" s="111" t="str">
        <f t="shared" ca="1" si="110"/>
        <v>=SUM(F16:F18)</v>
      </c>
      <c r="N79" s="45"/>
      <c r="O79" s="45"/>
      <c r="P79" s="45"/>
      <c r="R79" s="111"/>
      <c r="S79" s="111"/>
      <c r="T79" s="111"/>
      <c r="U79" s="111"/>
      <c r="V79" s="57"/>
      <c r="W79" s="126"/>
      <c r="X79" s="126"/>
      <c r="Y79" s="126"/>
      <c r="Z79" s="126"/>
    </row>
    <row r="80" spans="1:26" s="3" customFormat="1" ht="20.5" thickBot="1" x14ac:dyDescent="0.45">
      <c r="A80" s="57"/>
      <c r="B80" s="3" t="s">
        <v>56</v>
      </c>
      <c r="C80" s="340" t="str">
        <f t="shared" ca="1" si="111"/>
        <v>=SUM(F31:F32)</v>
      </c>
      <c r="D80" s="115">
        <f>SUM(D31:D32)</f>
        <v>80.742933901747762</v>
      </c>
      <c r="E80" s="115">
        <f>SUM(E31:E32)</f>
        <v>82.452096838415201</v>
      </c>
      <c r="F80" s="115">
        <f ca="1">SUM(F31:F32)</f>
        <v>85.083695832393857</v>
      </c>
      <c r="G80" s="115">
        <f t="shared" ref="G80:J80" ca="1" si="113">SUM(G31:G32)</f>
        <v>87.799286786924824</v>
      </c>
      <c r="H80" s="115">
        <f t="shared" ca="1" si="113"/>
        <v>90.601550448373217</v>
      </c>
      <c r="I80" s="115">
        <f t="shared" ca="1" si="113"/>
        <v>93.493253123686614</v>
      </c>
      <c r="J80" s="115">
        <f t="shared" ca="1" si="113"/>
        <v>96.47724941120677</v>
      </c>
      <c r="K80" s="111" t="str">
        <f t="shared" ca="1" si="102"/>
        <v>=SUM(E31:E32)</v>
      </c>
      <c r="M80" s="111" t="str">
        <f t="shared" ca="1" si="110"/>
        <v>=SUM(F31:F32)</v>
      </c>
      <c r="N80" s="45"/>
      <c r="O80" s="45"/>
      <c r="P80" s="45"/>
      <c r="R80" s="111"/>
      <c r="S80" s="111"/>
      <c r="T80" s="111"/>
      <c r="U80" s="111"/>
      <c r="V80" s="57"/>
      <c r="W80" s="126"/>
      <c r="X80" s="126"/>
      <c r="Y80" s="126"/>
      <c r="Z80" s="126"/>
    </row>
    <row r="81" spans="1:26" s="3" customFormat="1" ht="20" x14ac:dyDescent="0.4">
      <c r="A81" s="57"/>
      <c r="B81" s="46" t="s">
        <v>48</v>
      </c>
      <c r="C81" s="340" t="str">
        <f t="shared" ca="1" si="111"/>
        <v>=F79-F80</v>
      </c>
      <c r="D81" s="116">
        <f>D79-D80</f>
        <v>-2.2203356190659775</v>
      </c>
      <c r="E81" s="116">
        <f t="shared" ref="E81" si="114">E79-E80</f>
        <v>-6.9407607691609741</v>
      </c>
      <c r="F81" s="116">
        <f t="shared" ref="F81" ca="1" si="115">F79-F80</f>
        <v>-7.1622869614343756</v>
      </c>
      <c r="G81" s="116">
        <f t="shared" ref="G81:J81" ca="1" si="116">G79-G80</f>
        <v>-7.3908835391446246</v>
      </c>
      <c r="H81" s="116">
        <f t="shared" ca="1" si="116"/>
        <v>-7.6267761656759205</v>
      </c>
      <c r="I81" s="116">
        <f t="shared" ca="1" si="116"/>
        <v>-7.8701977068433564</v>
      </c>
      <c r="J81" s="116">
        <f t="shared" ca="1" si="116"/>
        <v>-8.1213884607708025</v>
      </c>
      <c r="K81" s="111" t="str">
        <f t="shared" ca="1" si="102"/>
        <v>=E79-E80</v>
      </c>
      <c r="M81" s="111" t="str">
        <f t="shared" ca="1" si="110"/>
        <v>=F79-F80</v>
      </c>
      <c r="N81" s="45"/>
      <c r="O81" s="45"/>
      <c r="P81" s="45"/>
      <c r="R81" s="111"/>
      <c r="S81" s="111"/>
      <c r="T81" s="111"/>
      <c r="U81" s="111"/>
      <c r="V81" s="57"/>
      <c r="W81" s="126"/>
      <c r="X81" s="126"/>
      <c r="Y81" s="126"/>
      <c r="Z81" s="126"/>
    </row>
    <row r="82" spans="1:26" s="3" customFormat="1" ht="20" x14ac:dyDescent="0.4">
      <c r="A82" s="57"/>
      <c r="B82" s="3" t="s">
        <v>60</v>
      </c>
      <c r="C82" s="340" t="str">
        <f t="shared" ca="1" si="111"/>
        <v>=F81-E81</v>
      </c>
      <c r="D82" s="56"/>
      <c r="E82" s="115">
        <f t="shared" ref="E82:F82" si="117">E81-D81</f>
        <v>-4.7204251500949965</v>
      </c>
      <c r="F82" s="115">
        <f t="shared" ca="1" si="117"/>
        <v>-0.22152619227340153</v>
      </c>
      <c r="G82" s="115">
        <f t="shared" ref="G82" ca="1" si="118">G81-F81</f>
        <v>-0.22859657771024899</v>
      </c>
      <c r="H82" s="115">
        <f t="shared" ref="H82" ca="1" si="119">H81-G81</f>
        <v>-0.23589262653129595</v>
      </c>
      <c r="I82" s="115">
        <f t="shared" ref="I82" ca="1" si="120">I81-H81</f>
        <v>-0.24342154116743586</v>
      </c>
      <c r="J82" s="115">
        <f t="shared" ref="J82" ca="1" si="121">J81-I81</f>
        <v>-0.25119075392744605</v>
      </c>
      <c r="K82" s="111" t="str">
        <f t="shared" ca="1" si="102"/>
        <v>=E81-D81</v>
      </c>
      <c r="M82" s="111" t="str">
        <f t="shared" ca="1" si="110"/>
        <v>=F81-E81</v>
      </c>
      <c r="R82" s="111"/>
      <c r="S82" s="111"/>
      <c r="T82" s="111"/>
      <c r="U82" s="111"/>
      <c r="V82" s="57"/>
      <c r="W82" s="126"/>
      <c r="X82" s="126"/>
      <c r="Y82" s="126"/>
      <c r="Z82" s="126"/>
    </row>
    <row r="83" spans="1:26" s="3" customFormat="1" ht="20" x14ac:dyDescent="0.4">
      <c r="A83" s="57"/>
      <c r="B83" s="65" t="s">
        <v>7</v>
      </c>
      <c r="C83" s="340" t="str">
        <f t="shared" ca="1" si="111"/>
        <v>=-F82</v>
      </c>
      <c r="D83" s="65"/>
      <c r="E83" s="117">
        <f>-E82</f>
        <v>4.7204251500949965</v>
      </c>
      <c r="F83" s="117">
        <f ca="1">-F82</f>
        <v>0.22152619227340153</v>
      </c>
      <c r="G83" s="117">
        <f t="shared" ref="G83:J83" ca="1" si="122">-G82</f>
        <v>0.22859657771024899</v>
      </c>
      <c r="H83" s="117">
        <f t="shared" ca="1" si="122"/>
        <v>0.23589262653129595</v>
      </c>
      <c r="I83" s="117">
        <f t="shared" ca="1" si="122"/>
        <v>0.24342154116743586</v>
      </c>
      <c r="J83" s="117">
        <f t="shared" ca="1" si="122"/>
        <v>0.25119075392744605</v>
      </c>
      <c r="K83" s="111" t="str">
        <f t="shared" ca="1" si="102"/>
        <v>=-E82</v>
      </c>
      <c r="M83" s="111" t="str">
        <f t="shared" ca="1" si="110"/>
        <v>=-F82</v>
      </c>
      <c r="R83" s="111"/>
      <c r="S83" s="111"/>
      <c r="T83" s="111"/>
      <c r="U83" s="111"/>
      <c r="V83" s="57"/>
      <c r="W83" s="126"/>
      <c r="X83" s="126"/>
      <c r="Y83" s="126"/>
      <c r="Z83" s="126"/>
    </row>
    <row r="84" spans="1:26" s="3" customFormat="1" ht="20" x14ac:dyDescent="0.4">
      <c r="A84" s="57"/>
      <c r="B84" s="335" t="s">
        <v>383</v>
      </c>
      <c r="K84" s="111"/>
      <c r="M84" s="111"/>
      <c r="R84" s="111"/>
      <c r="S84" s="111"/>
      <c r="T84" s="111"/>
      <c r="U84" s="111"/>
      <c r="V84" s="57"/>
      <c r="W84" s="126"/>
      <c r="X84" s="126"/>
      <c r="Y84" s="126"/>
      <c r="Z84" s="126"/>
    </row>
    <row r="85" spans="1:26" s="3" customFormat="1" ht="20.5" thickBot="1" x14ac:dyDescent="0.45">
      <c r="A85" s="57"/>
      <c r="B85" s="13" t="s">
        <v>388</v>
      </c>
      <c r="C85" s="13"/>
      <c r="D85" s="72"/>
      <c r="E85" s="72">
        <f t="shared" ref="E85:J85" si="123">E$12</f>
        <v>2020</v>
      </c>
      <c r="F85" s="72">
        <f t="shared" si="123"/>
        <v>2021</v>
      </c>
      <c r="G85" s="72">
        <f t="shared" si="123"/>
        <v>2022</v>
      </c>
      <c r="H85" s="72">
        <f t="shared" si="123"/>
        <v>2023</v>
      </c>
      <c r="I85" s="72">
        <f t="shared" si="123"/>
        <v>2024</v>
      </c>
      <c r="J85" s="72">
        <f t="shared" si="123"/>
        <v>2025</v>
      </c>
      <c r="K85" s="111" t="str">
        <f t="shared" ca="1" si="102"/>
        <v>=E$12</v>
      </c>
      <c r="M85" s="111" t="str">
        <f ca="1">_xlfn.FORMULATEXT(F85)</f>
        <v>=F$12</v>
      </c>
      <c r="R85" s="111"/>
      <c r="S85" s="111"/>
      <c r="T85" s="111"/>
      <c r="U85" s="111"/>
      <c r="V85" s="57"/>
      <c r="W85" s="126"/>
      <c r="X85" s="126"/>
      <c r="Y85" s="126"/>
      <c r="Z85" s="126"/>
    </row>
    <row r="86" spans="1:26" s="3" customFormat="1" ht="20" x14ac:dyDescent="0.4">
      <c r="A86" s="57"/>
      <c r="B86" s="3" t="s">
        <v>49</v>
      </c>
      <c r="K86" s="111"/>
      <c r="M86" s="111"/>
      <c r="O86" s="44" t="s">
        <v>135</v>
      </c>
      <c r="R86" s="111"/>
      <c r="S86" s="111"/>
      <c r="T86" s="111"/>
      <c r="U86" s="111"/>
      <c r="V86" s="57"/>
      <c r="W86" s="126"/>
      <c r="X86" s="126"/>
      <c r="Y86" s="126"/>
      <c r="Z86" s="126"/>
    </row>
    <row r="87" spans="1:26" s="3" customFormat="1" ht="20" x14ac:dyDescent="0.4">
      <c r="A87" s="57"/>
      <c r="B87" s="3" t="s">
        <v>37</v>
      </c>
      <c r="C87" s="120" t="str">
        <f t="shared" ref="C87:C93" ca="1" si="124">_xlfn.FORMULATEXT(F87)</f>
        <v>=L21</v>
      </c>
      <c r="E87" s="118">
        <f t="shared" ref="E87:F90" si="125">K21</f>
        <v>75.636009522619005</v>
      </c>
      <c r="F87" s="118">
        <f t="shared" ca="1" si="125"/>
        <v>5.9512983768219669</v>
      </c>
      <c r="G87" s="118">
        <f t="shared" ref="G87:G90" ca="1" si="126">M21</f>
        <v>6.1412441928999044</v>
      </c>
      <c r="H87" s="118">
        <f t="shared" ref="H87:H90" ca="1" si="127">N21</f>
        <v>6.3372524529625025</v>
      </c>
      <c r="I87" s="118">
        <f t="shared" ref="I87:I90" ca="1" si="128">O21</f>
        <v>6.5395166502271138</v>
      </c>
      <c r="J87" s="118">
        <f t="shared" ref="J87:J90" ca="1" si="129">P21</f>
        <v>6.7482364535763395</v>
      </c>
      <c r="K87" s="111" t="str">
        <f t="shared" ca="1" si="102"/>
        <v>=K21</v>
      </c>
      <c r="M87" s="111" t="str">
        <f t="shared" ref="M87:M93" ca="1" si="130">_xlfn.FORMULATEXT(F87)</f>
        <v>=L21</v>
      </c>
      <c r="O87" s="3" t="s">
        <v>105</v>
      </c>
      <c r="R87" s="111"/>
      <c r="S87" s="111"/>
      <c r="T87" s="111"/>
      <c r="U87" s="111"/>
      <c r="V87" s="57"/>
      <c r="W87" s="126"/>
      <c r="X87" s="126"/>
      <c r="Y87" s="126"/>
      <c r="Z87" s="126"/>
    </row>
    <row r="88" spans="1:26" s="3" customFormat="1" ht="20" x14ac:dyDescent="0.4">
      <c r="A88" s="57"/>
      <c r="B88" s="3" t="s">
        <v>54</v>
      </c>
      <c r="C88" s="120" t="str">
        <f t="shared" ca="1" si="124"/>
        <v>=L22</v>
      </c>
      <c r="E88" s="118">
        <f t="shared" si="125"/>
        <v>-2.4761064908014836</v>
      </c>
      <c r="F88" s="118">
        <f t="shared" ca="1" si="125"/>
        <v>0.23049985715828747</v>
      </c>
      <c r="G88" s="118">
        <f t="shared" ca="1" si="126"/>
        <v>0.23785665238204867</v>
      </c>
      <c r="H88" s="118">
        <f t="shared" ca="1" si="127"/>
        <v>0.24544825224574129</v>
      </c>
      <c r="I88" s="118">
        <f t="shared" ca="1" si="128"/>
        <v>0.25328215093905815</v>
      </c>
      <c r="J88" s="118">
        <f t="shared" ca="1" si="129"/>
        <v>0.26136608184151022</v>
      </c>
      <c r="K88" s="111" t="str">
        <f t="shared" ca="1" si="102"/>
        <v>=K22</v>
      </c>
      <c r="M88" s="111" t="str">
        <f t="shared" ca="1" si="130"/>
        <v>=L22</v>
      </c>
      <c r="O88" s="3" t="s">
        <v>106</v>
      </c>
      <c r="R88" s="111"/>
      <c r="S88" s="111"/>
      <c r="T88" s="111"/>
      <c r="U88" s="111"/>
      <c r="V88" s="57"/>
      <c r="W88" s="126"/>
      <c r="X88" s="126"/>
      <c r="Y88" s="126"/>
      <c r="Z88" s="126"/>
    </row>
    <row r="89" spans="1:26" s="3" customFormat="1" ht="20" x14ac:dyDescent="0.4">
      <c r="A89" s="57"/>
      <c r="B89" s="3" t="s">
        <v>22</v>
      </c>
      <c r="C89" s="120" t="str">
        <f t="shared" ca="1" si="124"/>
        <v>=L23</v>
      </c>
      <c r="E89" s="118">
        <f t="shared" si="125"/>
        <v>3.3995543444136374</v>
      </c>
      <c r="F89" s="118">
        <f t="shared" ca="1" si="125"/>
        <v>1.8826052983676362</v>
      </c>
      <c r="G89" s="118">
        <f t="shared" ca="1" si="126"/>
        <v>1.9426918504289148</v>
      </c>
      <c r="H89" s="118">
        <f t="shared" ca="1" si="127"/>
        <v>2.004696167059187</v>
      </c>
      <c r="I89" s="118">
        <f t="shared" ca="1" si="128"/>
        <v>2.0686794569784865</v>
      </c>
      <c r="J89" s="118">
        <f t="shared" ca="1" si="129"/>
        <v>2.1347048824872701</v>
      </c>
      <c r="K89" s="111" t="str">
        <f t="shared" ca="1" si="102"/>
        <v>=K23</v>
      </c>
      <c r="M89" s="111" t="str">
        <f t="shared" ca="1" si="130"/>
        <v>=L23</v>
      </c>
      <c r="O89" s="3" t="s">
        <v>107</v>
      </c>
      <c r="R89" s="111"/>
      <c r="S89" s="111"/>
      <c r="T89" s="111"/>
      <c r="U89" s="111"/>
      <c r="V89" s="57"/>
      <c r="W89" s="126"/>
      <c r="X89" s="126"/>
      <c r="Y89" s="126"/>
      <c r="Z89" s="126"/>
    </row>
    <row r="90" spans="1:26" s="3" customFormat="1" ht="20" x14ac:dyDescent="0.4">
      <c r="A90" s="57"/>
      <c r="B90" s="3" t="s">
        <v>108</v>
      </c>
      <c r="C90" s="120" t="str">
        <f t="shared" ca="1" si="124"/>
        <v>=L24</v>
      </c>
      <c r="E90" s="118">
        <f t="shared" si="125"/>
        <v>2.2490147520701864</v>
      </c>
      <c r="F90" s="118">
        <f t="shared" ca="1" si="125"/>
        <v>0.23835523580309825</v>
      </c>
      <c r="G90" s="118">
        <f t="shared" ca="1" si="126"/>
        <v>0.2459627488052023</v>
      </c>
      <c r="H90" s="118">
        <f t="shared" ca="1" si="127"/>
        <v>0.25381306853182473</v>
      </c>
      <c r="I90" s="118">
        <f t="shared" ca="1" si="128"/>
        <v>0.26191394457280559</v>
      </c>
      <c r="J90" s="118">
        <f t="shared" ca="1" si="129"/>
        <v>0.27027337385933414</v>
      </c>
      <c r="K90" s="111" t="str">
        <f t="shared" ca="1" si="102"/>
        <v>=K24</v>
      </c>
      <c r="M90" s="111" t="str">
        <f t="shared" ca="1" si="130"/>
        <v>=L24</v>
      </c>
      <c r="O90" s="3" t="s">
        <v>109</v>
      </c>
      <c r="R90" s="111"/>
      <c r="S90" s="111"/>
      <c r="T90" s="111"/>
      <c r="U90" s="111"/>
      <c r="V90" s="57"/>
      <c r="W90" s="126"/>
      <c r="X90" s="126"/>
      <c r="Y90" s="126"/>
      <c r="Z90" s="126"/>
    </row>
    <row r="91" spans="1:26" s="3" customFormat="1" ht="20.5" thickBot="1" x14ac:dyDescent="0.45">
      <c r="A91" s="57"/>
      <c r="B91" s="3" t="s">
        <v>57</v>
      </c>
      <c r="C91" s="120" t="str">
        <f t="shared" ca="1" si="124"/>
        <v>=F69</v>
      </c>
      <c r="E91" s="118">
        <f>E69</f>
        <v>57.883844493396694</v>
      </c>
      <c r="F91" s="118">
        <f ca="1">F69</f>
        <v>86.267994597776649</v>
      </c>
      <c r="G91" s="118">
        <f t="shared" ref="G91:J91" ca="1" si="131">G69</f>
        <v>116.40503674102354</v>
      </c>
      <c r="H91" s="118">
        <f t="shared" ca="1" si="131"/>
        <v>148.37794973991143</v>
      </c>
      <c r="I91" s="118">
        <f t="shared" ca="1" si="131"/>
        <v>182.27322360272566</v>
      </c>
      <c r="J91" s="118">
        <f t="shared" ca="1" si="131"/>
        <v>218.18099913205083</v>
      </c>
      <c r="K91" s="111" t="str">
        <f t="shared" ca="1" si="102"/>
        <v>=E69</v>
      </c>
      <c r="M91" s="111" t="str">
        <f t="shared" ca="1" si="130"/>
        <v>=F69</v>
      </c>
      <c r="R91" s="111"/>
      <c r="S91" s="111"/>
      <c r="T91" s="111"/>
      <c r="U91" s="111"/>
      <c r="V91" s="57"/>
      <c r="W91" s="126"/>
      <c r="X91" s="126"/>
      <c r="Y91" s="126"/>
      <c r="Z91" s="126"/>
    </row>
    <row r="92" spans="1:26" s="3" customFormat="1" ht="20" x14ac:dyDescent="0.4">
      <c r="A92" s="57"/>
      <c r="B92" s="46" t="s">
        <v>50</v>
      </c>
      <c r="C92" s="120" t="str">
        <f t="shared" ca="1" si="124"/>
        <v>=SUM(F87:F91)</v>
      </c>
      <c r="D92" s="46"/>
      <c r="E92" s="116">
        <f>SUM(E87:E91)</f>
        <v>136.69231662169804</v>
      </c>
      <c r="F92" s="116">
        <f ca="1">SUM(F87:F91)</f>
        <v>94.570753365927644</v>
      </c>
      <c r="G92" s="116">
        <f t="shared" ref="G92:J92" ca="1" si="132">SUM(G87:G91)</f>
        <v>124.9727921855396</v>
      </c>
      <c r="H92" s="116">
        <f t="shared" ca="1" si="132"/>
        <v>157.21915968071067</v>
      </c>
      <c r="I92" s="116">
        <f t="shared" ca="1" si="132"/>
        <v>191.39661580544313</v>
      </c>
      <c r="J92" s="116">
        <f t="shared" ca="1" si="132"/>
        <v>227.59557992381528</v>
      </c>
      <c r="K92" s="111" t="str">
        <f t="shared" ca="1" si="102"/>
        <v>=SUM(E87:E91)</v>
      </c>
      <c r="M92" s="111" t="str">
        <f t="shared" ca="1" si="130"/>
        <v>=SUM(F87:F91)</v>
      </c>
      <c r="R92" s="111"/>
      <c r="S92" s="111"/>
      <c r="T92" s="111"/>
      <c r="U92" s="111"/>
      <c r="V92" s="57"/>
      <c r="W92" s="126"/>
      <c r="X92" s="126"/>
      <c r="Y92" s="126"/>
      <c r="Z92" s="126"/>
    </row>
    <row r="93" spans="1:26" s="3" customFormat="1" ht="20" x14ac:dyDescent="0.4">
      <c r="A93" s="57"/>
      <c r="B93" s="65" t="s">
        <v>6</v>
      </c>
      <c r="C93" s="120" t="str">
        <f t="shared" ca="1" si="124"/>
        <v>=-F92</v>
      </c>
      <c r="D93" s="65"/>
      <c r="E93" s="117">
        <f>-E92</f>
        <v>-136.69231662169804</v>
      </c>
      <c r="F93" s="117">
        <f ca="1">-F92</f>
        <v>-94.570753365927644</v>
      </c>
      <c r="G93" s="117">
        <f t="shared" ref="G93:J93" ca="1" si="133">-G92</f>
        <v>-124.9727921855396</v>
      </c>
      <c r="H93" s="117">
        <f t="shared" ca="1" si="133"/>
        <v>-157.21915968071067</v>
      </c>
      <c r="I93" s="117">
        <f t="shared" ca="1" si="133"/>
        <v>-191.39661580544313</v>
      </c>
      <c r="J93" s="117">
        <f t="shared" ca="1" si="133"/>
        <v>-227.59557992381528</v>
      </c>
      <c r="K93" s="111" t="str">
        <f t="shared" ca="1" si="102"/>
        <v>=-E92</v>
      </c>
      <c r="M93" s="111" t="str">
        <f t="shared" ca="1" si="130"/>
        <v>=-F92</v>
      </c>
      <c r="R93" s="111"/>
      <c r="S93" s="111"/>
      <c r="T93" s="111"/>
      <c r="U93" s="111"/>
      <c r="V93" s="57"/>
      <c r="W93" s="126"/>
      <c r="X93" s="126"/>
      <c r="Y93" s="126"/>
      <c r="Z93" s="126"/>
    </row>
    <row r="94" spans="1:26" s="3" customFormat="1" ht="20" x14ac:dyDescent="0.4">
      <c r="A94" s="57"/>
      <c r="E94" s="45"/>
      <c r="F94" s="45"/>
      <c r="G94" s="45"/>
      <c r="H94" s="45"/>
      <c r="I94" s="45"/>
      <c r="J94" s="45"/>
      <c r="K94" s="111"/>
      <c r="M94" s="111"/>
      <c r="R94" s="111"/>
      <c r="S94" s="111"/>
      <c r="T94" s="111"/>
      <c r="U94" s="111"/>
      <c r="V94" s="57"/>
      <c r="W94" s="126"/>
      <c r="X94" s="126"/>
      <c r="Y94" s="126"/>
      <c r="Z94" s="126"/>
    </row>
    <row r="95" spans="1:26" s="3" customFormat="1" ht="20.5" thickBot="1" x14ac:dyDescent="0.45">
      <c r="A95" s="57"/>
      <c r="B95" s="13" t="s">
        <v>5</v>
      </c>
      <c r="C95" s="13"/>
      <c r="D95" s="72"/>
      <c r="E95" s="72">
        <f t="shared" ref="E95:J95" si="134">E$12</f>
        <v>2020</v>
      </c>
      <c r="F95" s="72">
        <f t="shared" si="134"/>
        <v>2021</v>
      </c>
      <c r="G95" s="72">
        <f t="shared" si="134"/>
        <v>2022</v>
      </c>
      <c r="H95" s="72">
        <f t="shared" si="134"/>
        <v>2023</v>
      </c>
      <c r="I95" s="72">
        <f t="shared" si="134"/>
        <v>2024</v>
      </c>
      <c r="J95" s="72">
        <f t="shared" si="134"/>
        <v>2025</v>
      </c>
      <c r="K95" s="111" t="str">
        <f t="shared" ca="1" si="102"/>
        <v>=E$12</v>
      </c>
      <c r="M95" s="111" t="str">
        <f ca="1">_xlfn.FORMULATEXT(F95)</f>
        <v>=F$12</v>
      </c>
      <c r="R95" s="111"/>
      <c r="S95" s="111"/>
      <c r="T95" s="111"/>
      <c r="U95" s="111"/>
      <c r="V95" s="57"/>
      <c r="W95" s="126"/>
      <c r="X95" s="126"/>
      <c r="Y95" s="126"/>
      <c r="Z95" s="126"/>
    </row>
    <row r="96" spans="1:26" s="3" customFormat="1" ht="20" x14ac:dyDescent="0.4">
      <c r="A96" s="57"/>
      <c r="B96" s="47" t="s">
        <v>9</v>
      </c>
      <c r="C96" s="120" t="str">
        <f t="shared" ref="C96:C99" ca="1" si="135">_xlfn.FORMULATEXT(F96)</f>
        <v>=F71</v>
      </c>
      <c r="E96" s="118">
        <f>E71</f>
        <v>387.46679971530727</v>
      </c>
      <c r="F96" s="118">
        <f ca="1">F71</f>
        <v>440.06927002932895</v>
      </c>
      <c r="G96" s="118">
        <f t="shared" ref="G96:J96" ca="1" si="136">G71</f>
        <v>457.51282785660146</v>
      </c>
      <c r="H96" s="118">
        <f t="shared" ca="1" si="136"/>
        <v>475.44283895188914</v>
      </c>
      <c r="I96" s="118">
        <f t="shared" ca="1" si="136"/>
        <v>493.81870153163328</v>
      </c>
      <c r="J96" s="118">
        <f t="shared" ca="1" si="136"/>
        <v>513.00992529921803</v>
      </c>
      <c r="K96" s="111" t="str">
        <f t="shared" ca="1" si="102"/>
        <v>=E71</v>
      </c>
      <c r="M96" s="111" t="str">
        <f ca="1">_xlfn.FORMULATEXT(F96)</f>
        <v>=F71</v>
      </c>
      <c r="R96" s="111"/>
      <c r="S96" s="111"/>
      <c r="T96" s="111"/>
      <c r="U96" s="111"/>
      <c r="V96" s="57"/>
      <c r="W96" s="126"/>
      <c r="X96" s="126"/>
      <c r="Y96" s="126"/>
      <c r="Z96" s="126"/>
    </row>
    <row r="97" spans="1:26" s="3" customFormat="1" ht="20" x14ac:dyDescent="0.4">
      <c r="A97" s="57"/>
      <c r="B97" s="47" t="s">
        <v>7</v>
      </c>
      <c r="C97" s="120" t="str">
        <f t="shared" ca="1" si="135"/>
        <v>=F83</v>
      </c>
      <c r="E97" s="118">
        <f>E83</f>
        <v>4.7204251500949965</v>
      </c>
      <c r="F97" s="118">
        <f ca="1">F83</f>
        <v>0.22152619227340153</v>
      </c>
      <c r="G97" s="118">
        <f t="shared" ref="G97:J97" ca="1" si="137">G83</f>
        <v>0.22859657771024899</v>
      </c>
      <c r="H97" s="118">
        <f t="shared" ca="1" si="137"/>
        <v>0.23589262653129595</v>
      </c>
      <c r="I97" s="118">
        <f t="shared" ca="1" si="137"/>
        <v>0.24342154116743586</v>
      </c>
      <c r="J97" s="118">
        <f t="shared" ca="1" si="137"/>
        <v>0.25119075392744605</v>
      </c>
      <c r="K97" s="111" t="str">
        <f t="shared" ca="1" si="102"/>
        <v>=E83</v>
      </c>
      <c r="M97" s="111" t="str">
        <f ca="1">_xlfn.FORMULATEXT(F97)</f>
        <v>=F83</v>
      </c>
      <c r="R97" s="111"/>
      <c r="S97" s="111"/>
      <c r="T97" s="111"/>
      <c r="U97" s="111"/>
      <c r="V97" s="57"/>
      <c r="W97" s="126"/>
      <c r="X97" s="126"/>
      <c r="Y97" s="126"/>
      <c r="Z97" s="126"/>
    </row>
    <row r="98" spans="1:26" s="3" customFormat="1" ht="20" x14ac:dyDescent="0.4">
      <c r="A98" s="57"/>
      <c r="B98" s="47" t="s">
        <v>6</v>
      </c>
      <c r="C98" s="120" t="str">
        <f t="shared" ca="1" si="135"/>
        <v>=F93</v>
      </c>
      <c r="E98" s="118">
        <f>E93</f>
        <v>-136.69231662169804</v>
      </c>
      <c r="F98" s="118">
        <f ca="1">F93</f>
        <v>-94.570753365927644</v>
      </c>
      <c r="G98" s="118">
        <f t="shared" ref="G98:J98" ca="1" si="138">G93</f>
        <v>-124.9727921855396</v>
      </c>
      <c r="H98" s="118">
        <f t="shared" ca="1" si="138"/>
        <v>-157.21915968071067</v>
      </c>
      <c r="I98" s="118">
        <f t="shared" ca="1" si="138"/>
        <v>-191.39661580544313</v>
      </c>
      <c r="J98" s="118">
        <f t="shared" ca="1" si="138"/>
        <v>-227.59557992381528</v>
      </c>
      <c r="K98" s="111" t="str">
        <f t="shared" ca="1" si="102"/>
        <v>=E93</v>
      </c>
      <c r="M98" s="111" t="str">
        <f ca="1">_xlfn.FORMULATEXT(F98)</f>
        <v>=F93</v>
      </c>
      <c r="R98" s="111"/>
      <c r="S98" s="111"/>
      <c r="T98" s="111"/>
      <c r="U98" s="111"/>
      <c r="V98" s="57"/>
      <c r="W98" s="126"/>
      <c r="X98" s="126"/>
      <c r="Y98" s="126"/>
      <c r="Z98" s="126"/>
    </row>
    <row r="99" spans="1:26" s="3" customFormat="1" ht="20" x14ac:dyDescent="0.4">
      <c r="A99" s="57"/>
      <c r="B99" s="65" t="s">
        <v>122</v>
      </c>
      <c r="C99" s="120" t="str">
        <f t="shared" ca="1" si="135"/>
        <v>=SUM(F96:F98)</v>
      </c>
      <c r="D99" s="65"/>
      <c r="E99" s="117">
        <f>SUM(E96:E98)</f>
        <v>255.49490824370426</v>
      </c>
      <c r="F99" s="117">
        <f ca="1">SUM(F96:F98)</f>
        <v>345.72004285567471</v>
      </c>
      <c r="G99" s="117">
        <f t="shared" ref="G99:J99" ca="1" si="139">SUM(G96:G98)</f>
        <v>332.76863224877212</v>
      </c>
      <c r="H99" s="117">
        <f t="shared" ca="1" si="139"/>
        <v>318.45957189770974</v>
      </c>
      <c r="I99" s="117">
        <f t="shared" ca="1" si="139"/>
        <v>302.66550726735761</v>
      </c>
      <c r="J99" s="117">
        <f t="shared" ca="1" si="139"/>
        <v>285.66553612933012</v>
      </c>
      <c r="K99" s="111" t="str">
        <f t="shared" ca="1" si="102"/>
        <v>=SUM(E96:E98)</v>
      </c>
      <c r="M99" s="111" t="str">
        <f ca="1">_xlfn.FORMULATEXT(F99)</f>
        <v>=SUM(F96:F98)</v>
      </c>
      <c r="O99" s="3" t="s">
        <v>110</v>
      </c>
      <c r="R99" s="111"/>
      <c r="S99" s="111"/>
      <c r="T99" s="111"/>
      <c r="U99" s="111"/>
      <c r="V99" s="57"/>
      <c r="W99" s="126"/>
      <c r="X99" s="126"/>
      <c r="Y99" s="126"/>
      <c r="Z99" s="126"/>
    </row>
    <row r="100" spans="1:26" s="3" customFormat="1" ht="20" x14ac:dyDescent="0.4">
      <c r="A100" s="57"/>
      <c r="B100" s="336" t="s">
        <v>389</v>
      </c>
      <c r="K100" s="111"/>
      <c r="M100" s="111"/>
      <c r="R100" s="111"/>
      <c r="S100" s="111"/>
      <c r="T100" s="111"/>
      <c r="U100" s="111"/>
      <c r="V100" s="57"/>
      <c r="W100" s="126"/>
      <c r="X100" s="126"/>
      <c r="Y100" s="126"/>
      <c r="Z100" s="126"/>
    </row>
    <row r="101" spans="1:26" s="3" customFormat="1" ht="20.5" thickBot="1" x14ac:dyDescent="0.45">
      <c r="A101" s="57"/>
      <c r="B101" s="13" t="s">
        <v>4</v>
      </c>
      <c r="C101" s="13"/>
      <c r="D101" s="72"/>
      <c r="E101" s="72">
        <f t="shared" ref="E101:J101" si="140">E$12</f>
        <v>2020</v>
      </c>
      <c r="F101" s="72">
        <f t="shared" si="140"/>
        <v>2021</v>
      </c>
      <c r="G101" s="72">
        <f t="shared" si="140"/>
        <v>2022</v>
      </c>
      <c r="H101" s="72">
        <f t="shared" si="140"/>
        <v>2023</v>
      </c>
      <c r="I101" s="72">
        <f t="shared" si="140"/>
        <v>2024</v>
      </c>
      <c r="J101" s="72">
        <f t="shared" si="140"/>
        <v>2025</v>
      </c>
      <c r="K101" s="111" t="str">
        <f t="shared" ca="1" si="102"/>
        <v>=E$12</v>
      </c>
      <c r="M101" s="111" t="str">
        <f t="shared" ref="M101:M106" ca="1" si="141">_xlfn.FORMULATEXT(F101)</f>
        <v>=F$12</v>
      </c>
      <c r="R101" s="111"/>
      <c r="S101" s="111"/>
      <c r="T101" s="111"/>
      <c r="U101" s="111"/>
      <c r="V101" s="57"/>
      <c r="W101" s="126"/>
      <c r="X101" s="126"/>
      <c r="Y101" s="126"/>
      <c r="Z101" s="126"/>
    </row>
    <row r="102" spans="1:26" s="3" customFormat="1" ht="20" x14ac:dyDescent="0.4">
      <c r="A102" s="57"/>
      <c r="B102" s="3" t="str">
        <f>B60</f>
        <v>Net Interest Income / (Expense)</v>
      </c>
      <c r="C102" s="120" t="str">
        <f t="shared" ref="C102:C106" ca="1" si="142">_xlfn.FORMULATEXT(F102)</f>
        <v>=F60</v>
      </c>
      <c r="E102" s="94">
        <f>E60</f>
        <v>-14.302003973983526</v>
      </c>
      <c r="F102" s="94">
        <f ca="1">F60</f>
        <v>-78.492179425356923</v>
      </c>
      <c r="G102" s="94">
        <f t="shared" ref="G102:J102" ca="1" si="143">G60</f>
        <v>-70.577315416585236</v>
      </c>
      <c r="H102" s="94">
        <f t="shared" ca="1" si="143"/>
        <v>-61.184947723304241</v>
      </c>
      <c r="I102" s="94">
        <f t="shared" ca="1" si="143"/>
        <v>-49.959821699436482</v>
      </c>
      <c r="J102" s="94">
        <f t="shared" ca="1" si="143"/>
        <v>-38.588292614917243</v>
      </c>
      <c r="K102" s="111" t="str">
        <f t="shared" ca="1" si="102"/>
        <v>=E60</v>
      </c>
      <c r="M102" s="111" t="str">
        <f t="shared" ca="1" si="141"/>
        <v>=F60</v>
      </c>
      <c r="O102" s="3" t="s">
        <v>111</v>
      </c>
      <c r="R102" s="111"/>
      <c r="S102" s="111"/>
      <c r="T102" s="111"/>
      <c r="U102" s="111"/>
      <c r="V102" s="57"/>
      <c r="W102" s="126"/>
      <c r="X102" s="126"/>
      <c r="Y102" s="126"/>
      <c r="Z102" s="126"/>
    </row>
    <row r="103" spans="1:26" s="3" customFormat="1" ht="20" x14ac:dyDescent="0.4">
      <c r="A103" s="57"/>
      <c r="B103" s="3" t="s">
        <v>61</v>
      </c>
      <c r="C103" s="120" t="str">
        <f t="shared" ca="1" si="142"/>
        <v>=L30</v>
      </c>
      <c r="E103" s="94">
        <f>K30</f>
        <v>16.614048557556018</v>
      </c>
      <c r="F103" s="318">
        <f ca="1">L30</f>
        <v>83.561514020087628</v>
      </c>
      <c r="G103" s="318">
        <f t="shared" ref="G103:J103" ca="1" si="144">M30</f>
        <v>-191.16097207369177</v>
      </c>
      <c r="H103" s="318">
        <f t="shared" ca="1" si="144"/>
        <v>-35.826105988440872</v>
      </c>
      <c r="I103" s="318">
        <f t="shared" ca="1" si="144"/>
        <v>0</v>
      </c>
      <c r="J103" s="318">
        <f t="shared" ca="1" si="144"/>
        <v>0</v>
      </c>
      <c r="K103" s="111" t="str">
        <f t="shared" ca="1" si="102"/>
        <v>=K30</v>
      </c>
      <c r="M103" s="111" t="str">
        <f t="shared" ca="1" si="141"/>
        <v>=L30</v>
      </c>
      <c r="O103" s="3" t="s">
        <v>112</v>
      </c>
      <c r="R103" s="111"/>
      <c r="S103" s="111"/>
      <c r="T103" s="111"/>
      <c r="U103" s="111"/>
      <c r="V103" s="57"/>
      <c r="W103" s="126"/>
      <c r="X103" s="126"/>
      <c r="Y103" s="126"/>
      <c r="Z103" s="126"/>
    </row>
    <row r="104" spans="1:26" s="3" customFormat="1" ht="20" x14ac:dyDescent="0.4">
      <c r="A104" s="57"/>
      <c r="B104" s="3" t="s">
        <v>62</v>
      </c>
      <c r="C104" s="120" t="str">
        <f t="shared" ca="1" si="142"/>
        <v>=L35</v>
      </c>
      <c r="E104" s="94">
        <f>K35</f>
        <v>210.65916693211506</v>
      </c>
      <c r="F104" s="318">
        <f ca="1">L35</f>
        <v>634.1231179527324</v>
      </c>
      <c r="G104" s="318">
        <f t="shared" ref="G104:J104" ca="1" si="145">M35</f>
        <v>0</v>
      </c>
      <c r="H104" s="318">
        <f t="shared" ca="1" si="145"/>
        <v>-151.65224297623229</v>
      </c>
      <c r="I104" s="318">
        <f t="shared" ca="1" si="145"/>
        <v>-184.04986425911886</v>
      </c>
      <c r="J104" s="318">
        <f t="shared" ca="1" si="145"/>
        <v>-179.83906644549677</v>
      </c>
      <c r="K104" s="111" t="str">
        <f t="shared" ca="1" si="102"/>
        <v>=K35</v>
      </c>
      <c r="M104" s="111" t="str">
        <f t="shared" ca="1" si="141"/>
        <v>=L35</v>
      </c>
      <c r="O104" s="3" t="s">
        <v>113</v>
      </c>
      <c r="R104" s="111"/>
      <c r="S104" s="111"/>
      <c r="T104" s="111"/>
      <c r="U104" s="111"/>
      <c r="V104" s="57"/>
      <c r="W104" s="126"/>
      <c r="X104" s="126"/>
      <c r="Y104" s="126"/>
      <c r="Z104" s="126"/>
    </row>
    <row r="105" spans="1:26" s="3" customFormat="1" ht="20" x14ac:dyDescent="0.4">
      <c r="A105" s="57"/>
      <c r="B105" s="3" t="s">
        <v>63</v>
      </c>
      <c r="C105" s="120" t="str">
        <f t="shared" ca="1" si="142"/>
        <v>=L36</v>
      </c>
      <c r="E105" s="94">
        <f>K36</f>
        <v>4.2496598279970215</v>
      </c>
      <c r="F105" s="318">
        <f ca="1">L36</f>
        <v>61.843805059689316</v>
      </c>
      <c r="G105" s="318">
        <f t="shared" ref="G105:J105" ca="1" si="146">M36</f>
        <v>0</v>
      </c>
      <c r="H105" s="318">
        <f t="shared" ca="1" si="146"/>
        <v>0</v>
      </c>
      <c r="I105" s="318">
        <f t="shared" ca="1" si="146"/>
        <v>0</v>
      </c>
      <c r="J105" s="318">
        <f t="shared" ca="1" si="146"/>
        <v>0</v>
      </c>
      <c r="K105" s="111" t="str">
        <f t="shared" ca="1" si="102"/>
        <v>=K36</v>
      </c>
      <c r="M105" s="111" t="str">
        <f t="shared" ca="1" si="141"/>
        <v>=L36</v>
      </c>
      <c r="O105" s="3" t="s">
        <v>114</v>
      </c>
      <c r="R105" s="111"/>
      <c r="S105" s="111"/>
      <c r="T105" s="111"/>
      <c r="U105" s="111"/>
      <c r="V105" s="57"/>
      <c r="W105" s="126"/>
      <c r="X105" s="126"/>
      <c r="Y105" s="126"/>
      <c r="Z105" s="126"/>
    </row>
    <row r="106" spans="1:26" s="3" customFormat="1" ht="20" x14ac:dyDescent="0.4">
      <c r="A106" s="57"/>
      <c r="B106" s="65" t="s">
        <v>4</v>
      </c>
      <c r="C106" s="120" t="str">
        <f t="shared" ca="1" si="142"/>
        <v>=SUM(F102:F105)</v>
      </c>
      <c r="D106" s="65"/>
      <c r="E106" s="96">
        <f>SUM(E102:E105)</f>
        <v>217.22087134368456</v>
      </c>
      <c r="F106" s="96">
        <f ca="1">SUM(F102:F105)</f>
        <v>701.03625760715238</v>
      </c>
      <c r="G106" s="96">
        <f t="shared" ref="G106:J106" ca="1" si="147">SUM(G102:G105)</f>
        <v>-261.738287490277</v>
      </c>
      <c r="H106" s="96">
        <f t="shared" ca="1" si="147"/>
        <v>-248.66329668797741</v>
      </c>
      <c r="I106" s="96">
        <f t="shared" ca="1" si="147"/>
        <v>-234.00968595855534</v>
      </c>
      <c r="J106" s="96">
        <f t="shared" ca="1" si="147"/>
        <v>-218.42735906041401</v>
      </c>
      <c r="K106" s="111" t="str">
        <f t="shared" ca="1" si="102"/>
        <v>=SUM(E102:E105)</v>
      </c>
      <c r="M106" s="111" t="str">
        <f t="shared" ca="1" si="141"/>
        <v>=SUM(F102:F105)</v>
      </c>
      <c r="R106" s="111"/>
      <c r="S106" s="111"/>
      <c r="T106" s="111"/>
      <c r="U106" s="111"/>
      <c r="V106" s="57"/>
      <c r="W106" s="126"/>
      <c r="X106" s="126"/>
      <c r="Y106" s="126"/>
      <c r="Z106" s="126"/>
    </row>
    <row r="107" spans="1:26" s="3" customFormat="1" ht="20" x14ac:dyDescent="0.4">
      <c r="A107" s="57"/>
      <c r="F107" s="319" t="s">
        <v>371</v>
      </c>
      <c r="G107" s="319" t="s">
        <v>371</v>
      </c>
      <c r="H107" s="319" t="s">
        <v>371</v>
      </c>
      <c r="I107" s="319" t="s">
        <v>371</v>
      </c>
      <c r="J107" s="319" t="s">
        <v>371</v>
      </c>
      <c r="K107" s="111"/>
      <c r="M107" s="111"/>
      <c r="R107" s="111"/>
      <c r="S107" s="111"/>
      <c r="T107" s="111"/>
      <c r="U107" s="111"/>
      <c r="V107" s="57"/>
      <c r="W107" s="126"/>
      <c r="X107" s="126"/>
      <c r="Y107" s="126"/>
      <c r="Z107" s="126"/>
    </row>
    <row r="108" spans="1:26" s="3" customFormat="1" ht="20.5" thickBot="1" x14ac:dyDescent="0.45">
      <c r="A108" s="57"/>
      <c r="B108" s="48" t="s">
        <v>3</v>
      </c>
      <c r="C108" s="48"/>
      <c r="D108" s="47"/>
      <c r="E108" s="72">
        <f t="shared" ref="E108:J108" si="148">E$12</f>
        <v>2020</v>
      </c>
      <c r="F108" s="72">
        <f t="shared" si="148"/>
        <v>2021</v>
      </c>
      <c r="G108" s="72">
        <f t="shared" si="148"/>
        <v>2022</v>
      </c>
      <c r="H108" s="72">
        <f t="shared" si="148"/>
        <v>2023</v>
      </c>
      <c r="I108" s="72">
        <f t="shared" si="148"/>
        <v>2024</v>
      </c>
      <c r="J108" s="72">
        <f t="shared" si="148"/>
        <v>2025</v>
      </c>
      <c r="K108" s="111" t="str">
        <f t="shared" ca="1" si="102"/>
        <v>=E$12</v>
      </c>
      <c r="M108" s="111" t="str">
        <f ca="1">_xlfn.FORMULATEXT(F108)</f>
        <v>=F$12</v>
      </c>
      <c r="R108" s="111"/>
      <c r="S108" s="111"/>
      <c r="T108" s="111"/>
      <c r="U108" s="111"/>
      <c r="V108" s="57"/>
      <c r="W108" s="126"/>
      <c r="X108" s="126"/>
      <c r="Y108" s="126"/>
      <c r="Z108" s="126"/>
    </row>
    <row r="109" spans="1:26" s="3" customFormat="1" ht="20" x14ac:dyDescent="0.4">
      <c r="A109" s="57"/>
      <c r="B109" s="47" t="s">
        <v>381</v>
      </c>
      <c r="C109" s="120" t="str">
        <f t="shared" ref="C109:C112" ca="1" si="149">_xlfn.FORMULATEXT(F109)</f>
        <v>=-F117</v>
      </c>
      <c r="D109" s="47"/>
      <c r="E109" s="101">
        <f>-E117</f>
        <v>-88.497836635584463</v>
      </c>
      <c r="F109" s="101">
        <f ca="1">-F117</f>
        <v>-72.297908246854135</v>
      </c>
      <c r="G109" s="101">
        <f t="shared" ref="G109:J109" ca="1" si="150">-G117</f>
        <v>-71.030344758495119</v>
      </c>
      <c r="H109" s="101">
        <f t="shared" ca="1" si="150"/>
        <v>-69.796275209732329</v>
      </c>
      <c r="I109" s="101">
        <f t="shared" ca="1" si="150"/>
        <v>-68.655821308802345</v>
      </c>
      <c r="J109" s="101">
        <f t="shared" ca="1" si="150"/>
        <v>-67.238177068916116</v>
      </c>
      <c r="K109" s="111" t="str">
        <f t="shared" ca="1" si="102"/>
        <v>=-E117</v>
      </c>
      <c r="M109" s="111" t="str">
        <f ca="1">_xlfn.FORMULATEXT(F109)</f>
        <v>=-F117</v>
      </c>
      <c r="O109" s="3" t="s">
        <v>116</v>
      </c>
      <c r="R109" s="111"/>
      <c r="S109" s="111"/>
      <c r="T109" s="111"/>
      <c r="U109" s="111"/>
      <c r="V109" s="57"/>
      <c r="W109" s="126"/>
      <c r="X109" s="126"/>
      <c r="Y109" s="126"/>
      <c r="Z109" s="126"/>
    </row>
    <row r="110" spans="1:26" s="3" customFormat="1" ht="20" x14ac:dyDescent="0.4">
      <c r="A110" s="57"/>
      <c r="B110" s="47" t="s">
        <v>123</v>
      </c>
      <c r="C110" s="120" t="str">
        <f t="shared" ca="1" si="149"/>
        <v>=L43+L44</v>
      </c>
      <c r="D110" s="47"/>
      <c r="E110" s="102">
        <f>K43+K44</f>
        <v>36.39469632784089</v>
      </c>
      <c r="F110" s="102">
        <f>L43+L44</f>
        <v>0</v>
      </c>
      <c r="G110" s="102">
        <f t="shared" ref="G110:J110" si="151">M43+M44</f>
        <v>0</v>
      </c>
      <c r="H110" s="102">
        <f t="shared" si="151"/>
        <v>0</v>
      </c>
      <c r="I110" s="102">
        <f t="shared" si="151"/>
        <v>0</v>
      </c>
      <c r="J110" s="102">
        <f t="shared" si="151"/>
        <v>0</v>
      </c>
      <c r="K110" s="111" t="str">
        <f t="shared" ca="1" si="102"/>
        <v>=K43+K44</v>
      </c>
      <c r="M110" s="111" t="str">
        <f ca="1">_xlfn.FORMULATEXT(F110)</f>
        <v>=L43+L44</v>
      </c>
      <c r="O110" s="3" t="s">
        <v>117</v>
      </c>
      <c r="R110" s="111"/>
      <c r="S110" s="111"/>
      <c r="T110" s="111"/>
      <c r="U110" s="111"/>
      <c r="V110" s="57"/>
      <c r="W110" s="126"/>
      <c r="X110" s="126"/>
      <c r="Y110" s="126"/>
      <c r="Z110" s="126"/>
    </row>
    <row r="111" spans="1:26" s="3" customFormat="1" ht="20" x14ac:dyDescent="0.4">
      <c r="A111" s="57"/>
      <c r="B111" s="47" t="s">
        <v>115</v>
      </c>
      <c r="C111" s="120" t="str">
        <f t="shared" ca="1" si="149"/>
        <v>=L46</v>
      </c>
      <c r="D111" s="47"/>
      <c r="E111" s="101">
        <f>K46</f>
        <v>-447.12188034494909</v>
      </c>
      <c r="F111" s="101">
        <f>L46</f>
        <v>0</v>
      </c>
      <c r="G111" s="101">
        <f t="shared" ref="G111:J111" si="152">M46</f>
        <v>0</v>
      </c>
      <c r="H111" s="101">
        <f t="shared" si="152"/>
        <v>0</v>
      </c>
      <c r="I111" s="101">
        <f t="shared" si="152"/>
        <v>0</v>
      </c>
      <c r="J111" s="101">
        <f t="shared" si="152"/>
        <v>0</v>
      </c>
      <c r="K111" s="111" t="str">
        <f t="shared" ca="1" si="102"/>
        <v>=K46</v>
      </c>
      <c r="M111" s="111" t="str">
        <f ca="1">_xlfn.FORMULATEXT(F111)</f>
        <v>=L46</v>
      </c>
      <c r="O111" s="3" t="s">
        <v>118</v>
      </c>
      <c r="R111" s="111"/>
      <c r="S111" s="111"/>
      <c r="T111" s="111"/>
      <c r="U111" s="111"/>
      <c r="V111" s="57"/>
      <c r="W111" s="126"/>
      <c r="X111" s="126"/>
      <c r="Y111" s="126"/>
      <c r="Z111" s="126"/>
    </row>
    <row r="112" spans="1:26" s="3" customFormat="1" ht="20" x14ac:dyDescent="0.4">
      <c r="A112" s="57"/>
      <c r="B112" s="65" t="s">
        <v>3</v>
      </c>
      <c r="C112" s="120" t="str">
        <f t="shared" ca="1" si="149"/>
        <v>=SUM(F109:F111)</v>
      </c>
      <c r="D112" s="65"/>
      <c r="E112" s="96">
        <f>SUM(E109:E111)</f>
        <v>-499.22502065269265</v>
      </c>
      <c r="F112" s="96">
        <f ca="1">SUM(F109:F111)</f>
        <v>-72.297908246854135</v>
      </c>
      <c r="G112" s="96">
        <f t="shared" ref="G112:J112" ca="1" si="153">SUM(G109:G111)</f>
        <v>-71.030344758495119</v>
      </c>
      <c r="H112" s="96">
        <f t="shared" ca="1" si="153"/>
        <v>-69.796275209732329</v>
      </c>
      <c r="I112" s="96">
        <f t="shared" ca="1" si="153"/>
        <v>-68.655821308802345</v>
      </c>
      <c r="J112" s="96">
        <f t="shared" ca="1" si="153"/>
        <v>-67.238177068916116</v>
      </c>
      <c r="K112" s="111" t="str">
        <f t="shared" ca="1" si="102"/>
        <v>=SUM(E109:E111)</v>
      </c>
      <c r="M112" s="111" t="str">
        <f ca="1">_xlfn.FORMULATEXT(F112)</f>
        <v>=SUM(F109:F111)</v>
      </c>
      <c r="R112" s="111"/>
      <c r="S112" s="111"/>
      <c r="T112" s="111"/>
      <c r="U112" s="111"/>
      <c r="V112" s="57"/>
      <c r="W112" s="126"/>
      <c r="X112" s="126"/>
      <c r="Y112" s="126"/>
      <c r="Z112" s="126"/>
    </row>
    <row r="113" spans="1:26" s="3" customFormat="1" ht="20" x14ac:dyDescent="0.4">
      <c r="A113" s="57"/>
      <c r="E113" s="45"/>
      <c r="F113" s="45"/>
      <c r="G113" s="45"/>
      <c r="H113" s="45"/>
      <c r="I113" s="45"/>
      <c r="J113" s="45"/>
      <c r="K113" s="111"/>
      <c r="M113" s="111"/>
      <c r="R113" s="111"/>
      <c r="S113" s="111"/>
      <c r="T113" s="111"/>
      <c r="U113" s="111"/>
      <c r="V113" s="57"/>
      <c r="W113" s="126"/>
      <c r="X113" s="126"/>
      <c r="Y113" s="126"/>
      <c r="Z113" s="126"/>
    </row>
    <row r="114" spans="1:26" s="3" customFormat="1" ht="20" x14ac:dyDescent="0.4">
      <c r="A114" s="57"/>
      <c r="B114" s="44" t="s">
        <v>51</v>
      </c>
      <c r="C114" s="44"/>
      <c r="K114" s="111"/>
      <c r="M114" s="111"/>
      <c r="R114" s="111"/>
      <c r="S114" s="111"/>
      <c r="T114" s="111"/>
      <c r="U114" s="111"/>
      <c r="V114" s="57"/>
      <c r="W114" s="126"/>
      <c r="X114" s="126"/>
      <c r="Y114" s="126"/>
      <c r="Z114" s="126"/>
    </row>
    <row r="115" spans="1:26" s="3" customFormat="1" ht="20" x14ac:dyDescent="0.4">
      <c r="A115" s="57"/>
      <c r="B115" s="3" t="s">
        <v>2</v>
      </c>
      <c r="C115" s="120" t="str">
        <f t="shared" ref="C115:C118" ca="1" si="154">_xlfn.FORMULATEXT(F115)</f>
        <v>=F63</v>
      </c>
      <c r="E115" s="94">
        <f>E63</f>
        <v>335.80403417975344</v>
      </c>
      <c r="F115" s="94">
        <f ca="1">F63</f>
        <v>274.33359023252405</v>
      </c>
      <c r="G115" s="94">
        <f t="shared" ref="G115:J115" ca="1" si="155">G63</f>
        <v>269.52383499836316</v>
      </c>
      <c r="H115" s="94">
        <f t="shared" ca="1" si="155"/>
        <v>264.84117213690399</v>
      </c>
      <c r="I115" s="94">
        <f t="shared" ca="1" si="155"/>
        <v>260.51373278598163</v>
      </c>
      <c r="J115" s="94">
        <f t="shared" ca="1" si="155"/>
        <v>255.13449784777896</v>
      </c>
      <c r="K115" s="111" t="str">
        <f t="shared" ca="1" si="102"/>
        <v>=E63</v>
      </c>
      <c r="M115" s="111" t="str">
        <f ca="1">_xlfn.FORMULATEXT(F115)</f>
        <v>=F63</v>
      </c>
      <c r="R115" s="111"/>
      <c r="S115" s="111"/>
      <c r="T115" s="111"/>
      <c r="U115" s="111"/>
      <c r="V115" s="57"/>
      <c r="W115" s="126"/>
      <c r="X115" s="126"/>
      <c r="Y115" s="126"/>
      <c r="Z115" s="126"/>
    </row>
    <row r="116" spans="1:26" s="3" customFormat="1" ht="20" x14ac:dyDescent="0.4">
      <c r="A116" s="57"/>
      <c r="B116" s="3" t="s">
        <v>52</v>
      </c>
      <c r="C116" s="120" t="e">
        <f t="shared" ca="1" si="154"/>
        <v>#N/A</v>
      </c>
      <c r="E116" s="94">
        <f>-K45</f>
        <v>-247.30619754416898</v>
      </c>
      <c r="F116" s="49"/>
      <c r="G116" s="49"/>
      <c r="H116" s="49"/>
      <c r="I116" s="49"/>
      <c r="J116" s="49"/>
      <c r="K116" s="111" t="str">
        <f t="shared" ca="1" si="102"/>
        <v>=-K45</v>
      </c>
      <c r="M116" s="111"/>
      <c r="R116" s="111"/>
      <c r="S116" s="111"/>
      <c r="T116" s="111"/>
      <c r="U116" s="111"/>
      <c r="V116" s="57"/>
      <c r="W116" s="126"/>
      <c r="X116" s="126"/>
      <c r="Y116" s="126"/>
      <c r="Z116" s="126"/>
    </row>
    <row r="117" spans="1:26" s="3" customFormat="1" ht="20" x14ac:dyDescent="0.4">
      <c r="A117" s="57"/>
      <c r="B117" s="65" t="s">
        <v>124</v>
      </c>
      <c r="C117" s="120" t="str">
        <f t="shared" ca="1" si="154"/>
        <v>=F115*F118</v>
      </c>
      <c r="D117" s="65"/>
      <c r="E117" s="96">
        <f>SUM(E115:E116)</f>
        <v>88.497836635584463</v>
      </c>
      <c r="F117" s="96">
        <f ca="1">F115*F118</f>
        <v>72.297908246854135</v>
      </c>
      <c r="G117" s="96">
        <f t="shared" ref="G117:J117" ca="1" si="156">G115*G118</f>
        <v>71.030344758495119</v>
      </c>
      <c r="H117" s="96">
        <f t="shared" ca="1" si="156"/>
        <v>69.796275209732329</v>
      </c>
      <c r="I117" s="96">
        <f t="shared" ca="1" si="156"/>
        <v>68.655821308802345</v>
      </c>
      <c r="J117" s="96">
        <f t="shared" ca="1" si="156"/>
        <v>67.238177068916116</v>
      </c>
      <c r="K117" s="111" t="str">
        <f t="shared" ca="1" si="102"/>
        <v>=SUM(E115:E116)</v>
      </c>
      <c r="M117" s="111" t="str">
        <f ca="1">_xlfn.FORMULATEXT(F117)</f>
        <v>=F115*F118</v>
      </c>
      <c r="O117" s="319" t="s">
        <v>372</v>
      </c>
      <c r="R117" s="111"/>
      <c r="S117" s="111"/>
      <c r="T117" s="111"/>
      <c r="U117" s="111"/>
      <c r="V117" s="57"/>
      <c r="W117" s="126"/>
      <c r="X117" s="126"/>
      <c r="Y117" s="126"/>
      <c r="Z117" s="126"/>
    </row>
    <row r="118" spans="1:26" s="3" customFormat="1" ht="20" x14ac:dyDescent="0.4">
      <c r="A118" s="57"/>
      <c r="B118" s="12" t="s">
        <v>394</v>
      </c>
      <c r="C118" s="120" t="str">
        <f t="shared" ca="1" si="154"/>
        <v>=OFFSET(F118,$D$5,0)</v>
      </c>
      <c r="D118" s="12"/>
      <c r="E118" s="103">
        <f>E117/E115</f>
        <v>0.26354012348824918</v>
      </c>
      <c r="F118" s="103">
        <f ca="1">OFFSET(F118,$D$5,0)</f>
        <v>0.26354012348824918</v>
      </c>
      <c r="G118" s="103">
        <f ca="1">OFFSET(G118,$D$5,0)</f>
        <v>0.26354012348824918</v>
      </c>
      <c r="H118" s="103">
        <f ca="1">OFFSET(H118,$D$5,0)</f>
        <v>0.26354012348824918</v>
      </c>
      <c r="I118" s="103">
        <f ca="1">OFFSET(I118,$D$5,0)</f>
        <v>0.26354012348824918</v>
      </c>
      <c r="J118" s="103">
        <f ca="1">OFFSET(J118,$D$5,0)</f>
        <v>0.26354012348824918</v>
      </c>
      <c r="K118" s="111" t="str">
        <f t="shared" ca="1" si="102"/>
        <v>=E117/E115</v>
      </c>
      <c r="M118" s="111" t="str">
        <f ca="1">_xlfn.FORMULATEXT(F118)</f>
        <v>=OFFSET(F118,$D$5,0)</v>
      </c>
      <c r="R118" s="111"/>
      <c r="S118" s="111"/>
      <c r="T118" s="111"/>
      <c r="U118" s="111"/>
      <c r="V118" s="57"/>
      <c r="W118" s="126"/>
      <c r="X118" s="126"/>
      <c r="Y118" s="126"/>
      <c r="Z118" s="126"/>
    </row>
    <row r="119" spans="1:26" s="3" customFormat="1" ht="20" x14ac:dyDescent="0.4">
      <c r="A119" s="57"/>
      <c r="B119" s="79" t="str">
        <f>$D$7</f>
        <v>Base</v>
      </c>
      <c r="C119" s="12"/>
      <c r="D119" s="12"/>
      <c r="E119" s="324">
        <f>E118</f>
        <v>0.26354012348824918</v>
      </c>
      <c r="F119" s="105">
        <f>E119</f>
        <v>0.26354012348824918</v>
      </c>
      <c r="G119" s="105">
        <f>F119</f>
        <v>0.26354012348824918</v>
      </c>
      <c r="H119" s="105">
        <f>G119</f>
        <v>0.26354012348824918</v>
      </c>
      <c r="I119" s="105">
        <f>H119</f>
        <v>0.26354012348824918</v>
      </c>
      <c r="J119" s="105">
        <f>I119</f>
        <v>0.26354012348824918</v>
      </c>
      <c r="K119" s="111"/>
      <c r="M119" s="111" t="str">
        <f ca="1">_xlfn.FORMULATEXT(F119)</f>
        <v>=E119</v>
      </c>
      <c r="O119" s="127" t="s">
        <v>150</v>
      </c>
      <c r="R119" s="111"/>
      <c r="S119" s="111"/>
      <c r="T119" s="111"/>
      <c r="U119" s="111"/>
      <c r="V119" s="57"/>
      <c r="W119" s="126"/>
      <c r="X119" s="126"/>
      <c r="Y119" s="126"/>
      <c r="Z119" s="126"/>
    </row>
    <row r="120" spans="1:26" s="3" customFormat="1" ht="20" x14ac:dyDescent="0.4">
      <c r="A120" s="57"/>
      <c r="B120" s="79" t="str">
        <f>$D$8</f>
        <v>Upside</v>
      </c>
      <c r="C120" s="12"/>
      <c r="D120" s="12"/>
      <c r="E120" s="66"/>
      <c r="F120" s="130">
        <f>F119*$O120</f>
        <v>0.79062037046474753</v>
      </c>
      <c r="G120" s="130">
        <f>G119*$O120</f>
        <v>0.79062037046474753</v>
      </c>
      <c r="H120" s="130">
        <f>H119*$O120</f>
        <v>0.79062037046474753</v>
      </c>
      <c r="I120" s="130">
        <f>I119*$O120</f>
        <v>0.79062037046474753</v>
      </c>
      <c r="J120" s="130">
        <f>J119*$O120</f>
        <v>0.79062037046474753</v>
      </c>
      <c r="K120" s="111"/>
      <c r="M120" s="111" t="str">
        <f ca="1">_xlfn.FORMULATEXT(F120)</f>
        <v>=F119*$O120</v>
      </c>
      <c r="O120" s="349">
        <v>3</v>
      </c>
      <c r="P120" s="3" t="s">
        <v>265</v>
      </c>
      <c r="R120" s="111"/>
      <c r="S120" s="111"/>
      <c r="T120" s="111"/>
      <c r="U120" s="111"/>
      <c r="V120" s="57"/>
      <c r="W120" s="126"/>
      <c r="X120" s="126"/>
      <c r="Y120" s="126"/>
      <c r="Z120" s="126"/>
    </row>
    <row r="121" spans="1:26" s="3" customFormat="1" ht="20" x14ac:dyDescent="0.4">
      <c r="A121" s="57"/>
      <c r="B121" s="79" t="str">
        <f>$D$9</f>
        <v>Downside</v>
      </c>
      <c r="C121" s="12"/>
      <c r="D121" s="12"/>
      <c r="E121" s="66"/>
      <c r="F121" s="130">
        <f>F119*$O121</f>
        <v>0.13177006174412459</v>
      </c>
      <c r="G121" s="130">
        <f>G119*$O121</f>
        <v>0.13177006174412459</v>
      </c>
      <c r="H121" s="130">
        <f>H119*$O121</f>
        <v>0.13177006174412459</v>
      </c>
      <c r="I121" s="130">
        <f>I119*$O121</f>
        <v>0.13177006174412459</v>
      </c>
      <c r="J121" s="130">
        <f>J119*$O121</f>
        <v>0.13177006174412459</v>
      </c>
      <c r="K121" s="111"/>
      <c r="M121" s="111" t="str">
        <f ca="1">_xlfn.FORMULATEXT(F121)</f>
        <v>=F119*$O121</v>
      </c>
      <c r="O121" s="349">
        <v>0.5</v>
      </c>
      <c r="P121" s="3" t="s">
        <v>266</v>
      </c>
      <c r="R121" s="111"/>
      <c r="S121" s="111"/>
      <c r="T121" s="111"/>
      <c r="U121" s="111"/>
      <c r="V121" s="57"/>
      <c r="W121" s="126"/>
      <c r="X121" s="126"/>
      <c r="Y121" s="126"/>
      <c r="Z121" s="126"/>
    </row>
    <row r="122" spans="1:26" s="3" customFormat="1" ht="20" x14ac:dyDescent="0.4">
      <c r="A122" s="57"/>
      <c r="E122" s="323" t="s">
        <v>377</v>
      </c>
      <c r="K122" s="111"/>
      <c r="L122" s="111"/>
      <c r="R122" s="111"/>
      <c r="S122" s="111"/>
      <c r="T122" s="111"/>
      <c r="U122" s="111"/>
      <c r="V122" s="57"/>
      <c r="W122" s="126"/>
      <c r="X122" s="126"/>
      <c r="Y122" s="126"/>
      <c r="Z122" s="126"/>
    </row>
    <row r="123" spans="1:26" s="3" customFormat="1" ht="20.5" thickBot="1" x14ac:dyDescent="0.45">
      <c r="A123" s="57"/>
      <c r="B123" s="13" t="s">
        <v>1</v>
      </c>
      <c r="C123" s="13"/>
      <c r="E123" s="72">
        <f t="shared" ref="E123:J123" si="157">E$12</f>
        <v>2020</v>
      </c>
      <c r="F123" s="72">
        <f t="shared" si="157"/>
        <v>2021</v>
      </c>
      <c r="G123" s="72">
        <f t="shared" si="157"/>
        <v>2022</v>
      </c>
      <c r="H123" s="72">
        <f t="shared" si="157"/>
        <v>2023</v>
      </c>
      <c r="I123" s="72">
        <f t="shared" si="157"/>
        <v>2024</v>
      </c>
      <c r="J123" s="72">
        <f t="shared" si="157"/>
        <v>2025</v>
      </c>
      <c r="K123" s="111" t="str">
        <f t="shared" ca="1" si="102"/>
        <v>=E$12</v>
      </c>
      <c r="M123" s="111" t="str">
        <f t="shared" ref="M123:M128" ca="1" si="158">_xlfn.FORMULATEXT(F123)</f>
        <v>=F$12</v>
      </c>
      <c r="R123" s="111"/>
      <c r="S123" s="111"/>
      <c r="T123" s="111"/>
      <c r="U123" s="111"/>
      <c r="V123" s="57"/>
      <c r="W123" s="126"/>
      <c r="X123" s="126"/>
      <c r="Y123" s="126"/>
      <c r="Z123" s="126"/>
    </row>
    <row r="124" spans="1:26" s="3" customFormat="1" ht="20" x14ac:dyDescent="0.4">
      <c r="A124" s="57"/>
      <c r="B124" s="3" t="s">
        <v>5</v>
      </c>
      <c r="C124" s="120" t="str">
        <f t="shared" ref="C124:C128" ca="1" si="159">_xlfn.FORMULATEXT(F124)</f>
        <v>=F99</v>
      </c>
      <c r="E124" s="94">
        <f>E99</f>
        <v>255.49490824370426</v>
      </c>
      <c r="F124" s="94">
        <f ca="1">F99</f>
        <v>345.72004285567471</v>
      </c>
      <c r="G124" s="94">
        <f t="shared" ref="G124:J124" ca="1" si="160">G99</f>
        <v>332.76863224877212</v>
      </c>
      <c r="H124" s="94">
        <f t="shared" ca="1" si="160"/>
        <v>318.45957189770974</v>
      </c>
      <c r="I124" s="94">
        <f t="shared" ca="1" si="160"/>
        <v>302.66550726735761</v>
      </c>
      <c r="J124" s="94">
        <f t="shared" ca="1" si="160"/>
        <v>285.66553612933012</v>
      </c>
      <c r="K124" s="111" t="str">
        <f t="shared" ca="1" si="102"/>
        <v>=E99</v>
      </c>
      <c r="M124" s="111" t="str">
        <f t="shared" ca="1" si="158"/>
        <v>=F99</v>
      </c>
      <c r="R124" s="111"/>
      <c r="S124" s="111"/>
      <c r="T124" s="111"/>
      <c r="U124" s="111"/>
      <c r="V124" s="57"/>
      <c r="W124" s="126"/>
      <c r="X124" s="126"/>
      <c r="Y124" s="126"/>
      <c r="Z124" s="126"/>
    </row>
    <row r="125" spans="1:26" s="3" customFormat="1" ht="20" x14ac:dyDescent="0.4">
      <c r="A125" s="57"/>
      <c r="B125" s="3" t="s">
        <v>4</v>
      </c>
      <c r="C125" s="120" t="str">
        <f t="shared" ca="1" si="159"/>
        <v>=F106</v>
      </c>
      <c r="E125" s="94">
        <f>E106</f>
        <v>217.22087134368456</v>
      </c>
      <c r="F125" s="94">
        <f ca="1">F106</f>
        <v>701.03625760715238</v>
      </c>
      <c r="G125" s="94">
        <f t="shared" ref="G125:J125" ca="1" si="161">G106</f>
        <v>-261.738287490277</v>
      </c>
      <c r="H125" s="94">
        <f t="shared" ca="1" si="161"/>
        <v>-248.66329668797741</v>
      </c>
      <c r="I125" s="94">
        <f t="shared" ca="1" si="161"/>
        <v>-234.00968595855534</v>
      </c>
      <c r="J125" s="94">
        <f t="shared" ca="1" si="161"/>
        <v>-218.42735906041401</v>
      </c>
      <c r="K125" s="111" t="str">
        <f t="shared" ca="1" si="102"/>
        <v>=E106</v>
      </c>
      <c r="M125" s="111" t="str">
        <f t="shared" ca="1" si="158"/>
        <v>=F106</v>
      </c>
      <c r="R125" s="111"/>
      <c r="S125" s="111"/>
      <c r="T125" s="111"/>
      <c r="U125" s="111"/>
      <c r="V125" s="57"/>
      <c r="W125" s="126"/>
      <c r="X125" s="126"/>
      <c r="Y125" s="126"/>
      <c r="Z125" s="126"/>
    </row>
    <row r="126" spans="1:26" s="3" customFormat="1" ht="20" x14ac:dyDescent="0.4">
      <c r="A126" s="57"/>
      <c r="B126" s="3" t="s">
        <v>3</v>
      </c>
      <c r="C126" s="120" t="str">
        <f t="shared" ca="1" si="159"/>
        <v>=F112</v>
      </c>
      <c r="E126" s="94">
        <f>E112</f>
        <v>-499.22502065269265</v>
      </c>
      <c r="F126" s="94">
        <f ca="1">F112</f>
        <v>-72.297908246854135</v>
      </c>
      <c r="G126" s="94">
        <f t="shared" ref="G126:J126" ca="1" si="162">G112</f>
        <v>-71.030344758495119</v>
      </c>
      <c r="H126" s="94">
        <f t="shared" ca="1" si="162"/>
        <v>-69.796275209732329</v>
      </c>
      <c r="I126" s="94">
        <f t="shared" ca="1" si="162"/>
        <v>-68.655821308802345</v>
      </c>
      <c r="J126" s="94">
        <f t="shared" ca="1" si="162"/>
        <v>-67.238177068916116</v>
      </c>
      <c r="K126" s="111" t="str">
        <f t="shared" ca="1" si="102"/>
        <v>=E112</v>
      </c>
      <c r="M126" s="111" t="str">
        <f t="shared" ca="1" si="158"/>
        <v>=F112</v>
      </c>
      <c r="R126" s="111"/>
      <c r="S126" s="111"/>
      <c r="T126" s="111"/>
      <c r="U126" s="111"/>
      <c r="V126" s="57"/>
      <c r="W126" s="126"/>
      <c r="X126" s="126"/>
      <c r="Y126" s="126"/>
      <c r="Z126" s="126"/>
    </row>
    <row r="127" spans="1:26" s="3" customFormat="1" ht="20" x14ac:dyDescent="0.4">
      <c r="A127" s="57"/>
      <c r="B127" s="65" t="s">
        <v>1</v>
      </c>
      <c r="C127" s="120" t="str">
        <f t="shared" ca="1" si="159"/>
        <v>=SUM(F124:F126)</v>
      </c>
      <c r="D127" s="65"/>
      <c r="E127" s="96">
        <f>SUM(E124:E126)</f>
        <v>-26.509241065303797</v>
      </c>
      <c r="F127" s="96">
        <f ca="1">SUM(F124:F126)</f>
        <v>974.45839221597294</v>
      </c>
      <c r="G127" s="96">
        <f t="shared" ref="G127:J127" ca="1" si="163">SUM(G124:G126)</f>
        <v>0</v>
      </c>
      <c r="H127" s="96">
        <f t="shared" ca="1" si="163"/>
        <v>0</v>
      </c>
      <c r="I127" s="96">
        <f t="shared" ca="1" si="163"/>
        <v>0</v>
      </c>
      <c r="J127" s="96">
        <f t="shared" ca="1" si="163"/>
        <v>0</v>
      </c>
      <c r="K127" s="111" t="str">
        <f t="shared" ca="1" si="102"/>
        <v>=SUM(E124:E126)</v>
      </c>
      <c r="M127" s="111" t="str">
        <f t="shared" ca="1" si="158"/>
        <v>=SUM(F124:F126)</v>
      </c>
      <c r="R127" s="111"/>
      <c r="S127" s="111"/>
      <c r="T127" s="111"/>
      <c r="U127" s="111"/>
      <c r="V127" s="57"/>
      <c r="W127" s="126"/>
      <c r="X127" s="126"/>
      <c r="Y127" s="126"/>
      <c r="Z127" s="126"/>
    </row>
    <row r="128" spans="1:26" s="3" customFormat="1" ht="20" x14ac:dyDescent="0.4">
      <c r="A128" s="57"/>
      <c r="B128" s="36" t="s">
        <v>129</v>
      </c>
      <c r="C128" s="120" t="str">
        <f t="shared" ca="1" si="159"/>
        <v>=L15-F127</v>
      </c>
      <c r="D128" s="36"/>
      <c r="E128" s="114">
        <f>K15-E127</f>
        <v>5.4001247917767614E-13</v>
      </c>
      <c r="F128" s="114">
        <f ca="1">L15-F127</f>
        <v>-974.45839221597294</v>
      </c>
      <c r="G128" s="114">
        <f t="shared" ref="G128:J128" ca="1" si="164">M15-G127</f>
        <v>0</v>
      </c>
      <c r="H128" s="114">
        <f t="shared" ca="1" si="164"/>
        <v>0</v>
      </c>
      <c r="I128" s="114">
        <f t="shared" ca="1" si="164"/>
        <v>0</v>
      </c>
      <c r="J128" s="114">
        <f t="shared" ca="1" si="164"/>
        <v>0</v>
      </c>
      <c r="K128" s="111" t="str">
        <f t="shared" ca="1" si="102"/>
        <v>=K15-E127</v>
      </c>
      <c r="M128" s="111" t="str">
        <f t="shared" ca="1" si="158"/>
        <v>=L15-F127</v>
      </c>
      <c r="R128" s="111"/>
      <c r="S128" s="111"/>
      <c r="T128" s="111"/>
      <c r="U128" s="111"/>
      <c r="V128" s="57"/>
      <c r="W128" s="126"/>
      <c r="X128" s="126"/>
      <c r="Y128" s="126"/>
      <c r="Z128" s="126"/>
    </row>
    <row r="129" spans="1:26" s="3" customFormat="1" ht="20" x14ac:dyDescent="0.4">
      <c r="A129" s="57"/>
      <c r="E129" s="45"/>
      <c r="F129" s="319" t="s">
        <v>374</v>
      </c>
      <c r="G129" s="319" t="s">
        <v>374</v>
      </c>
      <c r="H129" s="319" t="s">
        <v>374</v>
      </c>
      <c r="I129" s="319" t="s">
        <v>374</v>
      </c>
      <c r="J129" s="319" t="s">
        <v>374</v>
      </c>
      <c r="K129" s="111"/>
      <c r="M129" s="111"/>
      <c r="R129" s="111"/>
      <c r="S129" s="111"/>
      <c r="T129" s="111"/>
      <c r="U129" s="111"/>
      <c r="V129" s="57"/>
      <c r="W129" s="126"/>
      <c r="X129" s="126"/>
      <c r="Y129" s="126"/>
      <c r="Z129" s="126"/>
    </row>
    <row r="130" spans="1:26" s="3" customFormat="1" ht="20.5" thickBot="1" x14ac:dyDescent="0.45">
      <c r="A130" s="57"/>
      <c r="B130" s="48" t="s">
        <v>0</v>
      </c>
      <c r="C130" s="48"/>
      <c r="D130" s="47"/>
      <c r="E130" s="72">
        <f t="shared" ref="E130:J130" si="165">E$12</f>
        <v>2020</v>
      </c>
      <c r="F130" s="72">
        <f t="shared" si="165"/>
        <v>2021</v>
      </c>
      <c r="G130" s="72">
        <f t="shared" si="165"/>
        <v>2022</v>
      </c>
      <c r="H130" s="72">
        <f t="shared" si="165"/>
        <v>2023</v>
      </c>
      <c r="I130" s="72">
        <f t="shared" si="165"/>
        <v>2024</v>
      </c>
      <c r="J130" s="72">
        <f t="shared" si="165"/>
        <v>2025</v>
      </c>
      <c r="K130" s="111" t="str">
        <f t="shared" ca="1" si="102"/>
        <v>=E$12</v>
      </c>
      <c r="M130" s="111" t="str">
        <f ca="1">_xlfn.FORMULATEXT(F130)</f>
        <v>=F$12</v>
      </c>
      <c r="R130" s="111"/>
      <c r="S130" s="111"/>
      <c r="T130" s="111"/>
      <c r="U130" s="111"/>
      <c r="V130" s="57"/>
      <c r="W130" s="126"/>
      <c r="X130" s="126"/>
      <c r="Y130" s="126"/>
      <c r="Z130" s="126"/>
    </row>
    <row r="131" spans="1:26" s="3" customFormat="1" ht="20" x14ac:dyDescent="0.4">
      <c r="A131" s="57"/>
      <c r="B131" s="47" t="s">
        <v>120</v>
      </c>
      <c r="C131" s="120" t="str">
        <f t="shared" ref="C131:C134" ca="1" si="166">_xlfn.FORMULATEXT(F131)</f>
        <v>=F99</v>
      </c>
      <c r="D131" s="47"/>
      <c r="E131" s="101">
        <f>E99</f>
        <v>255.49490824370426</v>
      </c>
      <c r="F131" s="101">
        <f ca="1">F99</f>
        <v>345.72004285567471</v>
      </c>
      <c r="G131" s="101">
        <f t="shared" ref="G131:J131" ca="1" si="167">G99</f>
        <v>332.76863224877212</v>
      </c>
      <c r="H131" s="101">
        <f t="shared" ca="1" si="167"/>
        <v>318.45957189770974</v>
      </c>
      <c r="I131" s="101">
        <f t="shared" ca="1" si="167"/>
        <v>302.66550726735761</v>
      </c>
      <c r="J131" s="101">
        <f t="shared" ca="1" si="167"/>
        <v>285.66553612933012</v>
      </c>
      <c r="K131" s="111" t="str">
        <f t="shared" ca="1" si="102"/>
        <v>=E99</v>
      </c>
      <c r="M131" s="111" t="str">
        <f ca="1">_xlfn.FORMULATEXT(F131)</f>
        <v>=F99</v>
      </c>
      <c r="R131" s="111"/>
      <c r="S131" s="111"/>
      <c r="T131" s="111"/>
      <c r="U131" s="111"/>
      <c r="V131" s="57"/>
      <c r="W131" s="126"/>
      <c r="X131" s="126"/>
      <c r="Y131" s="126"/>
      <c r="Z131" s="126"/>
    </row>
    <row r="132" spans="1:26" s="3" customFormat="1" ht="20" x14ac:dyDescent="0.4">
      <c r="A132" s="57"/>
      <c r="B132" s="47" t="s">
        <v>64</v>
      </c>
      <c r="C132" s="120" t="str">
        <f t="shared" ca="1" si="166"/>
        <v>=-F127</v>
      </c>
      <c r="D132" s="47"/>
      <c r="E132" s="101">
        <f>-E127</f>
        <v>26.509241065303797</v>
      </c>
      <c r="F132" s="101">
        <f ca="1">-F127</f>
        <v>-974.45839221597294</v>
      </c>
      <c r="G132" s="101">
        <f t="shared" ref="G132:J132" ca="1" si="168">-G127</f>
        <v>0</v>
      </c>
      <c r="H132" s="101">
        <f t="shared" ca="1" si="168"/>
        <v>0</v>
      </c>
      <c r="I132" s="101">
        <f t="shared" ca="1" si="168"/>
        <v>0</v>
      </c>
      <c r="J132" s="101">
        <f t="shared" ca="1" si="168"/>
        <v>0</v>
      </c>
      <c r="K132" s="111" t="str">
        <f t="shared" ca="1" si="102"/>
        <v>=-E127</v>
      </c>
      <c r="M132" s="111" t="str">
        <f ca="1">_xlfn.FORMULATEXT(F132)</f>
        <v>=-F127</v>
      </c>
      <c r="R132" s="111"/>
      <c r="S132" s="111"/>
      <c r="T132" s="111"/>
      <c r="U132" s="111"/>
      <c r="V132" s="57"/>
      <c r="W132" s="126"/>
      <c r="X132" s="126"/>
      <c r="Y132" s="126"/>
      <c r="Z132" s="126"/>
    </row>
    <row r="133" spans="1:26" s="3" customFormat="1" ht="20" x14ac:dyDescent="0.4">
      <c r="A133" s="57"/>
      <c r="B133" s="65" t="s">
        <v>0</v>
      </c>
      <c r="C133" s="120" t="str">
        <f t="shared" ca="1" si="166"/>
        <v>=SUM(F131:F132)</v>
      </c>
      <c r="D133" s="65"/>
      <c r="E133" s="96">
        <f>SUM(E131:E132)</f>
        <v>282.00414930900808</v>
      </c>
      <c r="F133" s="96">
        <f ca="1">SUM(F131:F132)</f>
        <v>-628.73834936029823</v>
      </c>
      <c r="G133" s="96">
        <f t="shared" ref="G133:J133" ca="1" si="169">SUM(G131:G132)</f>
        <v>332.76863224877212</v>
      </c>
      <c r="H133" s="96">
        <f t="shared" ca="1" si="169"/>
        <v>318.45957189770974</v>
      </c>
      <c r="I133" s="96">
        <f t="shared" ca="1" si="169"/>
        <v>302.66550726735761</v>
      </c>
      <c r="J133" s="96">
        <f t="shared" ca="1" si="169"/>
        <v>285.66553612933012</v>
      </c>
      <c r="K133" s="111" t="str">
        <f ca="1">_xlfn.FORMULATEXT(E133)</f>
        <v>=SUM(E131:E132)</v>
      </c>
      <c r="M133" s="111" t="str">
        <f ca="1">_xlfn.FORMULATEXT(F133)</f>
        <v>=SUM(F131:F132)</v>
      </c>
      <c r="R133" s="111"/>
      <c r="S133" s="111"/>
      <c r="T133" s="111"/>
      <c r="U133" s="111"/>
      <c r="V133" s="57"/>
      <c r="W133" s="126"/>
      <c r="X133" s="126"/>
      <c r="Y133" s="126"/>
      <c r="Z133" s="126"/>
    </row>
    <row r="134" spans="1:26" s="3" customFormat="1" ht="20" x14ac:dyDescent="0.4">
      <c r="A134" s="57"/>
      <c r="B134" s="36" t="s">
        <v>53</v>
      </c>
      <c r="C134" s="120" t="str">
        <f t="shared" ca="1" si="166"/>
        <v>=F133+F125+F126</v>
      </c>
      <c r="D134" s="36"/>
      <c r="E134" s="95">
        <f>E133+E125+E126</f>
        <v>0</v>
      </c>
      <c r="F134" s="95">
        <f ca="1">F133+F125+F126</f>
        <v>0</v>
      </c>
      <c r="G134" s="95">
        <f t="shared" ref="G134:J134" ca="1" si="170">G133+G125+G126</f>
        <v>0</v>
      </c>
      <c r="H134" s="95">
        <f t="shared" ca="1" si="170"/>
        <v>0</v>
      </c>
      <c r="I134" s="95">
        <f t="shared" ca="1" si="170"/>
        <v>0</v>
      </c>
      <c r="J134" s="95">
        <f t="shared" ca="1" si="170"/>
        <v>0</v>
      </c>
      <c r="K134" s="111" t="str">
        <f ca="1">_xlfn.FORMULATEXT(E134)</f>
        <v>=E133+E125+E126</v>
      </c>
      <c r="M134" s="111" t="str">
        <f ca="1">_xlfn.FORMULATEXT(F134)</f>
        <v>=F133+F125+F126</v>
      </c>
      <c r="R134" s="111"/>
      <c r="S134" s="111"/>
      <c r="T134" s="111"/>
      <c r="U134" s="111"/>
      <c r="V134" s="57"/>
      <c r="W134" s="126"/>
      <c r="X134" s="126"/>
      <c r="Y134" s="126"/>
      <c r="Z134" s="126"/>
    </row>
    <row r="135" spans="1:26" s="3" customFormat="1" ht="20" x14ac:dyDescent="0.4">
      <c r="A135" s="57"/>
      <c r="B135" s="36"/>
      <c r="C135" s="36"/>
      <c r="D135" s="36"/>
      <c r="E135" s="37"/>
      <c r="F135" s="37"/>
      <c r="G135" s="37"/>
      <c r="H135" s="37"/>
      <c r="I135" s="37"/>
      <c r="J135" s="37"/>
      <c r="R135" s="111"/>
      <c r="S135" s="111"/>
      <c r="T135" s="111"/>
      <c r="U135" s="111"/>
      <c r="V135" s="57"/>
      <c r="W135" s="126"/>
      <c r="X135" s="126"/>
      <c r="Y135" s="126"/>
      <c r="Z135" s="126"/>
    </row>
    <row r="136" spans="1:26" s="3" customFormat="1" ht="24" x14ac:dyDescent="0.8">
      <c r="A136" s="57"/>
      <c r="B136" s="51"/>
      <c r="C136" s="51"/>
      <c r="D136" s="8" t="str">
        <f>D$11</f>
        <v>Historical</v>
      </c>
      <c r="E136" s="8" t="s">
        <v>339</v>
      </c>
      <c r="F136" s="8" t="str">
        <f>F$11</f>
        <v>Forecast</v>
      </c>
      <c r="G136" s="8"/>
      <c r="H136" s="8"/>
      <c r="I136" s="8"/>
      <c r="J136" s="8"/>
      <c r="K136" s="3" t="s">
        <v>208</v>
      </c>
      <c r="R136" s="111"/>
      <c r="S136" s="111"/>
      <c r="T136" s="111"/>
      <c r="U136" s="111"/>
      <c r="V136" s="57"/>
      <c r="W136" s="126"/>
      <c r="X136" s="126"/>
      <c r="Y136" s="126"/>
      <c r="Z136" s="126"/>
    </row>
    <row r="137" spans="1:26" s="3" customFormat="1" ht="20.5" thickBot="1" x14ac:dyDescent="0.45">
      <c r="A137" s="57"/>
      <c r="B137" s="4" t="s">
        <v>91</v>
      </c>
      <c r="C137" s="4"/>
      <c r="D137" s="72">
        <f t="shared" ref="D137:J137" si="171">D$12</f>
        <v>2019</v>
      </c>
      <c r="E137" s="72">
        <f t="shared" si="171"/>
        <v>2020</v>
      </c>
      <c r="F137" s="72">
        <f t="shared" si="171"/>
        <v>2021</v>
      </c>
      <c r="G137" s="72">
        <f t="shared" si="171"/>
        <v>2022</v>
      </c>
      <c r="H137" s="72">
        <f t="shared" si="171"/>
        <v>2023</v>
      </c>
      <c r="I137" s="72">
        <f t="shared" si="171"/>
        <v>2024</v>
      </c>
      <c r="J137" s="72">
        <f t="shared" si="171"/>
        <v>2025</v>
      </c>
      <c r="K137" s="3" t="s">
        <v>209</v>
      </c>
      <c r="R137" s="111"/>
      <c r="S137" s="111"/>
      <c r="T137" s="111"/>
      <c r="U137" s="111"/>
      <c r="V137" s="57"/>
      <c r="W137" s="126"/>
      <c r="X137" s="126"/>
      <c r="Y137" s="126"/>
      <c r="Z137" s="126"/>
    </row>
    <row r="138" spans="1:26" s="3" customFormat="1" ht="20" x14ac:dyDescent="0.4">
      <c r="A138" s="57"/>
      <c r="B138" s="36"/>
      <c r="C138" s="36"/>
      <c r="D138" s="36"/>
      <c r="E138" s="37"/>
      <c r="F138" s="37"/>
      <c r="G138" s="37"/>
      <c r="H138" s="37"/>
      <c r="I138" s="37"/>
      <c r="J138" s="37"/>
      <c r="K138" s="3" t="s">
        <v>251</v>
      </c>
      <c r="R138" s="111"/>
      <c r="S138" s="111"/>
      <c r="T138" s="111"/>
      <c r="U138" s="111"/>
      <c r="V138" s="57"/>
      <c r="W138" s="126"/>
      <c r="X138" s="126"/>
      <c r="Y138" s="126"/>
      <c r="Z138" s="126"/>
    </row>
    <row r="139" spans="1:26" s="3" customFormat="1" ht="20" x14ac:dyDescent="0.4">
      <c r="A139" s="57"/>
      <c r="B139" s="3" t="s">
        <v>130</v>
      </c>
      <c r="D139" s="87">
        <v>2.5000000000000001E-3</v>
      </c>
      <c r="E139" s="88">
        <f t="shared" ref="E139:F140" si="172">D139</f>
        <v>2.5000000000000001E-3</v>
      </c>
      <c r="F139" s="88">
        <f t="shared" si="172"/>
        <v>2.5000000000000001E-3</v>
      </c>
      <c r="G139" s="88">
        <f t="shared" ref="G139:G140" si="173">F139</f>
        <v>2.5000000000000001E-3</v>
      </c>
      <c r="H139" s="88">
        <f t="shared" ref="H139:H140" si="174">G139</f>
        <v>2.5000000000000001E-3</v>
      </c>
      <c r="I139" s="88">
        <f t="shared" ref="I139:I140" si="175">H139</f>
        <v>2.5000000000000001E-3</v>
      </c>
      <c r="J139" s="88">
        <f t="shared" ref="J139:J140" si="176">I139</f>
        <v>2.5000000000000001E-3</v>
      </c>
      <c r="K139" s="3" t="s">
        <v>211</v>
      </c>
      <c r="R139" s="111"/>
      <c r="S139" s="111"/>
      <c r="T139" s="111"/>
      <c r="U139" s="111"/>
      <c r="V139" s="57"/>
      <c r="W139" s="126"/>
      <c r="X139" s="126"/>
      <c r="Y139" s="126"/>
      <c r="Z139" s="126"/>
    </row>
    <row r="140" spans="1:26" s="3" customFormat="1" ht="20" x14ac:dyDescent="0.4">
      <c r="A140" s="57"/>
      <c r="B140" s="3" t="s">
        <v>131</v>
      </c>
      <c r="D140" s="87">
        <v>1E-3</v>
      </c>
      <c r="E140" s="88">
        <f t="shared" si="172"/>
        <v>1E-3</v>
      </c>
      <c r="F140" s="88">
        <f t="shared" si="172"/>
        <v>1E-3</v>
      </c>
      <c r="G140" s="88">
        <f t="shared" si="173"/>
        <v>1E-3</v>
      </c>
      <c r="H140" s="88">
        <f t="shared" si="174"/>
        <v>1E-3</v>
      </c>
      <c r="I140" s="88">
        <f t="shared" si="175"/>
        <v>1E-3</v>
      </c>
      <c r="J140" s="88">
        <f t="shared" si="176"/>
        <v>1E-3</v>
      </c>
      <c r="K140" s="3" t="s">
        <v>210</v>
      </c>
      <c r="R140" s="111"/>
      <c r="S140" s="111"/>
      <c r="T140" s="111"/>
      <c r="U140" s="111"/>
      <c r="V140" s="57"/>
      <c r="W140" s="126"/>
      <c r="X140" s="126"/>
      <c r="Y140" s="126"/>
      <c r="Z140" s="126"/>
    </row>
    <row r="141" spans="1:26" s="3" customFormat="1" ht="21.5" x14ac:dyDescent="0.55000000000000004">
      <c r="A141" s="57"/>
      <c r="B141" s="36"/>
      <c r="C141" s="36"/>
      <c r="D141" s="36"/>
      <c r="E141" s="37"/>
      <c r="F141" s="37"/>
      <c r="G141" s="37"/>
      <c r="H141" s="37"/>
      <c r="I141" s="37"/>
      <c r="J141" s="37"/>
      <c r="K141" s="122" t="s">
        <v>102</v>
      </c>
      <c r="L141" s="122"/>
      <c r="R141" s="111"/>
      <c r="S141" s="111"/>
      <c r="T141" s="111"/>
      <c r="U141" s="111"/>
      <c r="V141" s="57"/>
      <c r="W141" s="126"/>
      <c r="X141" s="126"/>
      <c r="Y141" s="126"/>
      <c r="Z141" s="126"/>
    </row>
    <row r="142" spans="1:26" s="3" customFormat="1" ht="20" x14ac:dyDescent="0.4">
      <c r="A142" s="57"/>
      <c r="B142" s="13" t="s">
        <v>132</v>
      </c>
      <c r="C142" s="36"/>
      <c r="D142" s="36"/>
      <c r="E142" s="37"/>
      <c r="F142" s="37"/>
      <c r="G142" s="37"/>
      <c r="H142" s="37"/>
      <c r="I142" s="37"/>
      <c r="J142" s="37"/>
      <c r="K142" s="121">
        <v>2021</v>
      </c>
      <c r="M142" s="123"/>
      <c r="N142" s="123" t="s">
        <v>137</v>
      </c>
      <c r="O142" s="121"/>
      <c r="P142" s="121"/>
      <c r="R142" s="111"/>
      <c r="S142" s="111"/>
      <c r="T142" s="111"/>
      <c r="U142" s="111"/>
      <c r="V142" s="57"/>
      <c r="W142" s="126"/>
      <c r="X142" s="126"/>
      <c r="Y142" s="126"/>
      <c r="Z142" s="126"/>
    </row>
    <row r="143" spans="1:26" s="3" customFormat="1" ht="20" x14ac:dyDescent="0.4">
      <c r="A143" s="57"/>
      <c r="B143" s="3" t="s">
        <v>120</v>
      </c>
      <c r="C143" s="120" t="str">
        <f t="shared" ref="C143:C146" ca="1" si="177">_xlfn.FORMULATEXT(F143)</f>
        <v>=F131</v>
      </c>
      <c r="D143" s="63"/>
      <c r="E143" s="70"/>
      <c r="F143" s="106">
        <f ca="1">F131</f>
        <v>345.72004285567471</v>
      </c>
      <c r="G143" s="106">
        <f t="shared" ref="G143:J143" ca="1" si="178">G131</f>
        <v>332.76863224877212</v>
      </c>
      <c r="H143" s="106">
        <f t="shared" ca="1" si="178"/>
        <v>318.45957189770974</v>
      </c>
      <c r="I143" s="106">
        <f t="shared" ca="1" si="178"/>
        <v>302.66550726735761</v>
      </c>
      <c r="J143" s="106">
        <f t="shared" ca="1" si="178"/>
        <v>285.66553612933012</v>
      </c>
      <c r="K143" s="111" t="str">
        <f ca="1">_xlfn.FORMULATEXT(F143)</f>
        <v>=F131</v>
      </c>
      <c r="M143" s="3" t="s">
        <v>212</v>
      </c>
      <c r="R143" s="111"/>
      <c r="S143" s="111"/>
      <c r="T143" s="111"/>
      <c r="U143" s="111"/>
      <c r="V143" s="57"/>
      <c r="W143" s="126"/>
      <c r="X143" s="126"/>
      <c r="Y143" s="126"/>
      <c r="Z143" s="126"/>
    </row>
    <row r="144" spans="1:26" s="3" customFormat="1" ht="20" x14ac:dyDescent="0.4">
      <c r="A144" s="57"/>
      <c r="B144" s="3" t="str">
        <f>$B$189</f>
        <v>Net Interest Income / (Expense)</v>
      </c>
      <c r="C144" s="120" t="str">
        <f t="shared" ca="1" si="177"/>
        <v>=F60</v>
      </c>
      <c r="D144" s="63"/>
      <c r="E144" s="70"/>
      <c r="F144" s="106">
        <f ca="1">F60</f>
        <v>-78.492179425356923</v>
      </c>
      <c r="G144" s="106">
        <f t="shared" ref="G144:J144" ca="1" si="179">G60</f>
        <v>-70.577315416585236</v>
      </c>
      <c r="H144" s="106">
        <f t="shared" ca="1" si="179"/>
        <v>-61.184947723304241</v>
      </c>
      <c r="I144" s="106">
        <f t="shared" ca="1" si="179"/>
        <v>-49.959821699436482</v>
      </c>
      <c r="J144" s="106">
        <f t="shared" ca="1" si="179"/>
        <v>-38.588292614917243</v>
      </c>
      <c r="K144" s="111" t="str">
        <f ca="1">_xlfn.FORMULATEXT(F144)</f>
        <v>=F60</v>
      </c>
      <c r="M144" s="3" t="s">
        <v>213</v>
      </c>
      <c r="R144" s="111"/>
      <c r="S144" s="111"/>
      <c r="T144" s="111"/>
      <c r="U144" s="111"/>
      <c r="V144" s="57"/>
      <c r="W144" s="126"/>
      <c r="X144" s="126"/>
      <c r="Y144" s="126"/>
      <c r="Z144" s="126"/>
    </row>
    <row r="145" spans="1:26" s="3" customFormat="1" ht="20" x14ac:dyDescent="0.4">
      <c r="A145" s="57"/>
      <c r="B145" s="12" t="str">
        <f>B112</f>
        <v>Cash Flow from / (to) Shareholders (CF(S))</v>
      </c>
      <c r="C145" s="120" t="str">
        <f t="shared" ca="1" si="177"/>
        <v>=F126</v>
      </c>
      <c r="D145" s="83"/>
      <c r="E145" s="84"/>
      <c r="F145" s="90">
        <f ca="1">F126</f>
        <v>-72.297908246854135</v>
      </c>
      <c r="G145" s="90">
        <f t="shared" ref="G145:J145" ca="1" si="180">G126</f>
        <v>-71.030344758495119</v>
      </c>
      <c r="H145" s="90">
        <f t="shared" ca="1" si="180"/>
        <v>-69.796275209732329</v>
      </c>
      <c r="I145" s="90">
        <f t="shared" ca="1" si="180"/>
        <v>-68.655821308802345</v>
      </c>
      <c r="J145" s="90">
        <f t="shared" ca="1" si="180"/>
        <v>-67.238177068916116</v>
      </c>
      <c r="K145" s="111" t="str">
        <f ca="1">_xlfn.FORMULATEXT(F145)</f>
        <v>=F126</v>
      </c>
      <c r="M145" s="3" t="s">
        <v>214</v>
      </c>
      <c r="R145" s="111"/>
      <c r="S145" s="111"/>
      <c r="T145" s="111"/>
      <c r="U145" s="111"/>
      <c r="V145" s="57"/>
      <c r="W145" s="126"/>
      <c r="X145" s="126"/>
      <c r="Y145" s="126"/>
      <c r="Z145" s="126"/>
    </row>
    <row r="146" spans="1:26" s="3" customFormat="1" ht="20" x14ac:dyDescent="0.4">
      <c r="A146" s="57"/>
      <c r="B146" s="39" t="str">
        <f>B142</f>
        <v>FCF for Discretionary Debt Retirement / (Issuance)</v>
      </c>
      <c r="C146" s="120" t="str">
        <f t="shared" ca="1" si="177"/>
        <v>=SUM(F143:F145)</v>
      </c>
      <c r="D146" s="85"/>
      <c r="E146" s="85"/>
      <c r="F146" s="89">
        <f ca="1">SUM(F143:F145)</f>
        <v>194.92995518346362</v>
      </c>
      <c r="G146" s="89">
        <f t="shared" ref="G146:J146" ca="1" si="181">SUM(G143:G145)</f>
        <v>191.16097207369177</v>
      </c>
      <c r="H146" s="89">
        <f t="shared" ca="1" si="181"/>
        <v>187.47834896467319</v>
      </c>
      <c r="I146" s="89">
        <f t="shared" ca="1" si="181"/>
        <v>184.04986425911881</v>
      </c>
      <c r="J146" s="89">
        <f t="shared" ca="1" si="181"/>
        <v>179.83906644549677</v>
      </c>
      <c r="K146" s="111" t="str">
        <f ca="1">_xlfn.FORMULATEXT(F146)</f>
        <v>=SUM(F143:F145)</v>
      </c>
      <c r="R146" s="111"/>
      <c r="S146" s="111"/>
      <c r="T146" s="111"/>
      <c r="U146" s="111"/>
      <c r="V146" s="57"/>
      <c r="W146" s="126"/>
      <c r="X146" s="126"/>
      <c r="Y146" s="126"/>
      <c r="Z146" s="126"/>
    </row>
    <row r="147" spans="1:26" s="3" customFormat="1" ht="20" x14ac:dyDescent="0.4">
      <c r="A147" s="57"/>
      <c r="B147" s="36"/>
      <c r="C147" s="36"/>
      <c r="D147" s="36"/>
      <c r="E147" s="37"/>
      <c r="F147" s="37"/>
      <c r="G147" s="37"/>
      <c r="H147" s="37"/>
      <c r="I147" s="37"/>
      <c r="J147" s="37"/>
      <c r="K147" s="111"/>
      <c r="R147" s="111"/>
      <c r="S147" s="111"/>
      <c r="T147" s="111"/>
      <c r="U147" s="111"/>
      <c r="V147" s="57"/>
      <c r="W147" s="126"/>
      <c r="X147" s="126"/>
      <c r="Y147" s="126"/>
      <c r="Z147" s="126"/>
    </row>
    <row r="148" spans="1:26" s="3" customFormat="1" ht="20" x14ac:dyDescent="0.4">
      <c r="A148" s="57"/>
      <c r="B148" s="13" t="s">
        <v>395</v>
      </c>
      <c r="C148" s="342" t="str">
        <f ca="1">_xlfn.FORMULATEXT(E152)</f>
        <v>=E426</v>
      </c>
      <c r="D148" s="36"/>
      <c r="E148" s="37"/>
      <c r="F148" s="37"/>
      <c r="G148" s="37"/>
      <c r="H148" s="37"/>
      <c r="I148" s="37"/>
      <c r="J148" s="37"/>
      <c r="K148" s="111"/>
      <c r="N148" s="3" t="s">
        <v>136</v>
      </c>
      <c r="R148" s="111"/>
      <c r="S148" s="111"/>
      <c r="T148" s="111"/>
      <c r="U148" s="111"/>
      <c r="V148" s="57"/>
      <c r="W148" s="126"/>
      <c r="X148" s="126"/>
      <c r="Y148" s="126"/>
      <c r="Z148" s="126"/>
    </row>
    <row r="149" spans="1:26" s="3" customFormat="1" ht="20" x14ac:dyDescent="0.4">
      <c r="A149" s="57"/>
      <c r="B149" s="3" t="s">
        <v>92</v>
      </c>
      <c r="C149" s="120" t="str">
        <f t="shared" ref="C149:C157" ca="1" si="182">_xlfn.FORMULATEXT(F149)</f>
        <v>=E152</v>
      </c>
      <c r="D149" s="63"/>
      <c r="E149" s="70"/>
      <c r="F149" s="343">
        <f>E152</f>
        <v>421.91703324559626</v>
      </c>
      <c r="G149" s="343">
        <f t="shared" ref="G149:J149" ca="1" si="183">F152</f>
        <v>226.98707806213264</v>
      </c>
      <c r="H149" s="343">
        <f t="shared" ca="1" si="183"/>
        <v>35.826105988440872</v>
      </c>
      <c r="I149" s="343">
        <f t="shared" ca="1" si="183"/>
        <v>0</v>
      </c>
      <c r="J149" s="343">
        <f t="shared" ca="1" si="183"/>
        <v>0</v>
      </c>
      <c r="K149" s="111" t="str">
        <f t="shared" ref="K149:K189" ca="1" si="184">_xlfn.FORMULATEXT(F149)</f>
        <v>=E152</v>
      </c>
      <c r="N149" s="3" t="s">
        <v>215</v>
      </c>
      <c r="R149" s="111"/>
      <c r="S149" s="111"/>
      <c r="T149" s="111"/>
      <c r="U149" s="111"/>
      <c r="V149" s="57"/>
      <c r="W149" s="126"/>
      <c r="X149" s="126"/>
      <c r="Y149" s="126"/>
      <c r="Z149" s="126"/>
    </row>
    <row r="150" spans="1:26" s="3" customFormat="1" ht="20" x14ac:dyDescent="0.4">
      <c r="A150" s="57"/>
      <c r="B150" s="3" t="s">
        <v>94</v>
      </c>
      <c r="C150" s="120" t="str">
        <f t="shared" ca="1" si="182"/>
        <v>=-MIN(F146,0)</v>
      </c>
      <c r="D150" s="63"/>
      <c r="E150" s="70"/>
      <c r="F150" s="93">
        <f ca="1">-MIN(F146,0)</f>
        <v>0</v>
      </c>
      <c r="G150" s="93">
        <f t="shared" ref="G150:J150" ca="1" si="185">-MIN(G146,0)</f>
        <v>0</v>
      </c>
      <c r="H150" s="93">
        <f t="shared" ca="1" si="185"/>
        <v>0</v>
      </c>
      <c r="I150" s="93">
        <f t="shared" ca="1" si="185"/>
        <v>0</v>
      </c>
      <c r="J150" s="93">
        <f t="shared" ca="1" si="185"/>
        <v>0</v>
      </c>
      <c r="K150" s="111" t="str">
        <f t="shared" ca="1" si="184"/>
        <v>=-MIN(F146,0)</v>
      </c>
      <c r="N150" s="3" t="s">
        <v>216</v>
      </c>
      <c r="R150" s="111"/>
      <c r="S150" s="111"/>
      <c r="T150" s="111"/>
      <c r="U150" s="111"/>
      <c r="V150" s="57"/>
      <c r="W150" s="126"/>
      <c r="X150" s="126"/>
      <c r="Y150" s="126"/>
      <c r="Z150" s="126"/>
    </row>
    <row r="151" spans="1:26" s="3" customFormat="1" ht="24" x14ac:dyDescent="0.8">
      <c r="A151" s="57"/>
      <c r="B151" s="12" t="s">
        <v>95</v>
      </c>
      <c r="C151" s="120" t="str">
        <f t="shared" ca="1" si="182"/>
        <v>=-IF(F146&gt;0,IF(F149&lt;F146,F149,F146),0)</v>
      </c>
      <c r="D151" s="83"/>
      <c r="E151" s="242" t="s">
        <v>339</v>
      </c>
      <c r="F151" s="91">
        <f ca="1">-IF(F146&gt;0,IF(F149&lt;F146,F149,F146),0)</f>
        <v>-194.92995518346362</v>
      </c>
      <c r="G151" s="91">
        <f t="shared" ref="G151:J151" ca="1" si="186">-IF(G146&gt;0,IF(G149&lt;G146,G149,G146),0)</f>
        <v>-191.16097207369177</v>
      </c>
      <c r="H151" s="91">
        <f t="shared" ca="1" si="186"/>
        <v>-35.826105988440872</v>
      </c>
      <c r="I151" s="91">
        <f t="shared" ca="1" si="186"/>
        <v>0</v>
      </c>
      <c r="J151" s="91">
        <f t="shared" ca="1" si="186"/>
        <v>0</v>
      </c>
      <c r="K151" s="111" t="str">
        <f t="shared" ca="1" si="184"/>
        <v>=-IF(F146&gt;0,IF(F149&lt;F146,F149,F146),0)</v>
      </c>
      <c r="N151" s="3" t="s">
        <v>219</v>
      </c>
      <c r="R151" s="111"/>
      <c r="S151" s="111"/>
      <c r="T151" s="111"/>
      <c r="U151" s="111"/>
      <c r="V151" s="57"/>
      <c r="W151" s="126"/>
      <c r="X151" s="126"/>
      <c r="Y151" s="126"/>
      <c r="Z151" s="126"/>
    </row>
    <row r="152" spans="1:26" s="3" customFormat="1" ht="20" x14ac:dyDescent="0.4">
      <c r="A152" s="57"/>
      <c r="B152" s="39" t="s">
        <v>93</v>
      </c>
      <c r="C152" s="120" t="str">
        <f t="shared" ca="1" si="182"/>
        <v>=SUM(F149:F151)</v>
      </c>
      <c r="D152" s="85">
        <f>D30</f>
        <v>126.81151548448899</v>
      </c>
      <c r="E152" s="344">
        <f>E426</f>
        <v>421.91703324559626</v>
      </c>
      <c r="F152" s="89">
        <f ca="1">SUM(F149:F151)</f>
        <v>226.98707806213264</v>
      </c>
      <c r="G152" s="89">
        <f t="shared" ref="G152:J152" ca="1" si="187">SUM(G149:G151)</f>
        <v>35.826105988440872</v>
      </c>
      <c r="H152" s="89">
        <f t="shared" ca="1" si="187"/>
        <v>0</v>
      </c>
      <c r="I152" s="89">
        <f t="shared" ca="1" si="187"/>
        <v>0</v>
      </c>
      <c r="J152" s="89">
        <f t="shared" ca="1" si="187"/>
        <v>0</v>
      </c>
      <c r="K152" s="111" t="str">
        <f t="shared" ca="1" si="184"/>
        <v>=SUM(F149:F151)</v>
      </c>
      <c r="N152" s="3" t="s">
        <v>218</v>
      </c>
      <c r="O152" s="54"/>
      <c r="P152" s="54"/>
      <c r="R152" s="111"/>
      <c r="S152" s="111"/>
      <c r="T152" s="111"/>
      <c r="U152" s="111"/>
      <c r="V152" s="57"/>
      <c r="W152" s="126"/>
      <c r="X152" s="126"/>
      <c r="Y152" s="126"/>
      <c r="Z152" s="126"/>
    </row>
    <row r="153" spans="1:26" s="3" customFormat="1" ht="20" x14ac:dyDescent="0.4">
      <c r="A153" s="57"/>
      <c r="B153" s="3" t="s">
        <v>134</v>
      </c>
      <c r="C153" s="120" t="str">
        <f t="shared" ca="1" si="182"/>
        <v>=AVERAGE(E152:F152)</v>
      </c>
      <c r="D153" s="63"/>
      <c r="E153" s="70"/>
      <c r="F153" s="93">
        <f ca="1">AVERAGE(E152:F152)</f>
        <v>324.45205565386448</v>
      </c>
      <c r="G153" s="93">
        <f t="shared" ref="G153:J153" ca="1" si="188">AVERAGE(F152:G152)</f>
        <v>131.40659202528676</v>
      </c>
      <c r="H153" s="93">
        <f t="shared" ca="1" si="188"/>
        <v>17.913052994220436</v>
      </c>
      <c r="I153" s="93">
        <f t="shared" ca="1" si="188"/>
        <v>0</v>
      </c>
      <c r="J153" s="93">
        <f t="shared" ca="1" si="188"/>
        <v>0</v>
      </c>
      <c r="K153" s="111" t="str">
        <f t="shared" ca="1" si="184"/>
        <v>=AVERAGE(E152:F152)</v>
      </c>
      <c r="N153" s="3" t="s">
        <v>220</v>
      </c>
      <c r="O153" s="54"/>
      <c r="P153" s="54"/>
      <c r="R153" s="111"/>
      <c r="S153" s="111"/>
      <c r="T153" s="111"/>
      <c r="U153" s="111"/>
      <c r="V153" s="57"/>
      <c r="W153" s="126"/>
      <c r="X153" s="126"/>
      <c r="Y153" s="126"/>
      <c r="Z153" s="126"/>
    </row>
    <row r="154" spans="1:26" s="3" customFormat="1" ht="20" x14ac:dyDescent="0.4">
      <c r="A154" s="57"/>
      <c r="B154" s="3" t="s">
        <v>97</v>
      </c>
      <c r="C154" s="120" t="str">
        <f t="shared" ca="1" si="182"/>
        <v>=F$140+$D154</v>
      </c>
      <c r="D154" s="92">
        <v>0.04</v>
      </c>
      <c r="F154" s="107">
        <f>F$140+$D154</f>
        <v>4.1000000000000002E-2</v>
      </c>
      <c r="G154" s="107">
        <f t="shared" ref="G154:J154" si="189">G$140+$D154</f>
        <v>4.1000000000000002E-2</v>
      </c>
      <c r="H154" s="107">
        <f t="shared" si="189"/>
        <v>4.1000000000000002E-2</v>
      </c>
      <c r="I154" s="107">
        <f t="shared" si="189"/>
        <v>4.1000000000000002E-2</v>
      </c>
      <c r="J154" s="107">
        <f t="shared" si="189"/>
        <v>4.1000000000000002E-2</v>
      </c>
      <c r="K154" s="111" t="str">
        <f t="shared" ca="1" si="184"/>
        <v>=F$140+$D154</v>
      </c>
      <c r="N154" s="3" t="s">
        <v>221</v>
      </c>
      <c r="O154" s="54"/>
      <c r="P154" s="54"/>
      <c r="R154" s="111"/>
      <c r="S154" s="111"/>
      <c r="T154" s="111"/>
      <c r="U154" s="111"/>
      <c r="V154" s="57"/>
      <c r="W154" s="126"/>
      <c r="X154" s="126"/>
      <c r="Y154" s="126"/>
      <c r="Z154" s="126"/>
    </row>
    <row r="155" spans="1:26" s="3" customFormat="1" ht="20" x14ac:dyDescent="0.4">
      <c r="A155" s="57"/>
      <c r="B155" s="3" t="s">
        <v>133</v>
      </c>
      <c r="C155" s="120" t="str">
        <f t="shared" ca="1" si="182"/>
        <v>=F153*-F154</v>
      </c>
      <c r="D155" s="86"/>
      <c r="E155" s="70"/>
      <c r="F155" s="93">
        <f ca="1">F153*-F154</f>
        <v>-13.302534281808445</v>
      </c>
      <c r="G155" s="93">
        <f t="shared" ref="G155:J155" ca="1" si="190">G153*-G154</f>
        <v>-5.3876702730367576</v>
      </c>
      <c r="H155" s="93">
        <f t="shared" ca="1" si="190"/>
        <v>-0.73443517276303794</v>
      </c>
      <c r="I155" s="93">
        <f t="shared" ca="1" si="190"/>
        <v>0</v>
      </c>
      <c r="J155" s="93">
        <f t="shared" ca="1" si="190"/>
        <v>0</v>
      </c>
      <c r="K155" s="111" t="str">
        <f t="shared" ca="1" si="184"/>
        <v>=F153*-F154</v>
      </c>
      <c r="M155" s="54"/>
      <c r="N155" s="54"/>
      <c r="O155" s="54"/>
      <c r="P155" s="54"/>
      <c r="R155" s="111"/>
      <c r="S155" s="111"/>
      <c r="T155" s="111"/>
      <c r="U155" s="111"/>
      <c r="V155" s="57"/>
      <c r="W155" s="126"/>
      <c r="X155" s="126"/>
      <c r="Y155" s="126"/>
      <c r="Z155" s="126"/>
    </row>
    <row r="156" spans="1:26" s="3" customFormat="1" ht="20" x14ac:dyDescent="0.4">
      <c r="A156" s="57"/>
      <c r="D156" s="63"/>
      <c r="E156" s="70"/>
      <c r="F156" s="30"/>
      <c r="G156" s="30"/>
      <c r="H156" s="30"/>
      <c r="I156" s="30"/>
      <c r="J156" s="30"/>
      <c r="K156" s="111" t="e">
        <f t="shared" ca="1" si="184"/>
        <v>#N/A</v>
      </c>
      <c r="M156" s="54"/>
      <c r="N156" s="54"/>
      <c r="O156" s="54"/>
      <c r="P156" s="54"/>
      <c r="R156" s="111"/>
      <c r="S156" s="111"/>
      <c r="T156" s="111"/>
      <c r="U156" s="111"/>
      <c r="V156" s="57"/>
      <c r="W156" s="126"/>
      <c r="X156" s="126"/>
      <c r="Y156" s="126"/>
      <c r="Z156" s="126"/>
    </row>
    <row r="157" spans="1:26" s="3" customFormat="1" ht="20" x14ac:dyDescent="0.4">
      <c r="A157" s="57"/>
      <c r="B157" s="61" t="str">
        <f>$B$146&amp;" After "&amp;B148</f>
        <v xml:space="preserve">FCF for Discretionary Debt Retirement / (Issuance) After Short-term Debt: </v>
      </c>
      <c r="C157" s="120" t="str">
        <f t="shared" ca="1" si="182"/>
        <v>=F146+F150+F151</v>
      </c>
      <c r="D157" s="84"/>
      <c r="E157" s="84"/>
      <c r="F157" s="91">
        <f ca="1">F146+F150+F151</f>
        <v>0</v>
      </c>
      <c r="G157" s="91">
        <f t="shared" ref="G157:J157" ca="1" si="191">G146+G150+G151</f>
        <v>0</v>
      </c>
      <c r="H157" s="91">
        <f t="shared" ca="1" si="191"/>
        <v>151.65224297623232</v>
      </c>
      <c r="I157" s="91">
        <f t="shared" ca="1" si="191"/>
        <v>184.04986425911881</v>
      </c>
      <c r="J157" s="91">
        <f t="shared" ca="1" si="191"/>
        <v>179.83906644549677</v>
      </c>
      <c r="K157" s="111" t="str">
        <f t="shared" ca="1" si="184"/>
        <v>=F146+F150+F151</v>
      </c>
      <c r="M157" s="54"/>
      <c r="N157" s="3" t="s">
        <v>217</v>
      </c>
      <c r="O157" s="54"/>
      <c r="P157" s="54"/>
      <c r="R157" s="111"/>
      <c r="S157" s="111"/>
      <c r="T157" s="111"/>
      <c r="U157" s="111"/>
      <c r="V157" s="57"/>
      <c r="W157" s="126"/>
      <c r="X157" s="126"/>
      <c r="Y157" s="126"/>
      <c r="Z157" s="126"/>
    </row>
    <row r="158" spans="1:26" s="3" customFormat="1" ht="20" x14ac:dyDescent="0.4">
      <c r="A158" s="57"/>
      <c r="D158" s="63"/>
      <c r="E158" s="70"/>
      <c r="F158" s="30"/>
      <c r="G158" s="30"/>
      <c r="H158" s="30"/>
      <c r="I158" s="30"/>
      <c r="J158" s="30"/>
      <c r="K158" s="111" t="e">
        <f t="shared" ca="1" si="184"/>
        <v>#N/A</v>
      </c>
      <c r="M158" s="54"/>
      <c r="N158" s="54"/>
      <c r="O158" s="54"/>
      <c r="P158" s="54"/>
      <c r="R158" s="111"/>
      <c r="S158" s="111"/>
      <c r="T158" s="111"/>
      <c r="U158" s="111"/>
      <c r="V158" s="57"/>
      <c r="W158" s="126"/>
      <c r="X158" s="126"/>
      <c r="Y158" s="126"/>
      <c r="Z158" s="126"/>
    </row>
    <row r="159" spans="1:26" s="3" customFormat="1" ht="20" x14ac:dyDescent="0.4">
      <c r="A159" s="57"/>
      <c r="B159" s="13" t="s">
        <v>98</v>
      </c>
      <c r="C159" s="342" t="str">
        <f ca="1">_xlfn.FORMULATEXT(E163)</f>
        <v>=E427</v>
      </c>
      <c r="D159" s="36"/>
      <c r="E159" s="37"/>
      <c r="F159" s="37"/>
      <c r="G159" s="37"/>
      <c r="H159" s="37"/>
      <c r="I159" s="37"/>
      <c r="J159" s="37"/>
      <c r="K159" s="111" t="e">
        <f t="shared" ca="1" si="184"/>
        <v>#N/A</v>
      </c>
      <c r="R159" s="111"/>
      <c r="S159" s="111"/>
      <c r="T159" s="111"/>
      <c r="U159" s="111"/>
      <c r="V159" s="57"/>
      <c r="W159" s="126"/>
      <c r="X159" s="126"/>
      <c r="Y159" s="126"/>
      <c r="Z159" s="126"/>
    </row>
    <row r="160" spans="1:26" s="3" customFormat="1" ht="20" x14ac:dyDescent="0.4">
      <c r="A160" s="57"/>
      <c r="B160" s="3" t="str">
        <f>B149</f>
        <v>Beginning Balance</v>
      </c>
      <c r="C160" s="120" t="str">
        <f t="shared" ref="C160:C168" ca="1" si="192">_xlfn.FORMULATEXT(F160)</f>
        <v>=E163</v>
      </c>
      <c r="D160" s="63"/>
      <c r="E160" s="70"/>
      <c r="F160" s="343">
        <f>E163</f>
        <v>960.70211918596351</v>
      </c>
      <c r="G160" s="343">
        <f t="shared" ref="G160:J160" ca="1" si="193">F163</f>
        <v>960.70211918596351</v>
      </c>
      <c r="H160" s="343">
        <f t="shared" ca="1" si="193"/>
        <v>960.70211918596351</v>
      </c>
      <c r="I160" s="343">
        <f t="shared" ca="1" si="193"/>
        <v>809.04987620973122</v>
      </c>
      <c r="J160" s="343">
        <f t="shared" ca="1" si="193"/>
        <v>625.00001195061236</v>
      </c>
      <c r="K160" s="111" t="str">
        <f t="shared" ca="1" si="184"/>
        <v>=E163</v>
      </c>
      <c r="R160" s="111"/>
      <c r="S160" s="111"/>
      <c r="T160" s="111"/>
      <c r="U160" s="111"/>
      <c r="V160" s="57"/>
      <c r="W160" s="126"/>
      <c r="X160" s="126"/>
      <c r="Y160" s="126"/>
      <c r="Z160" s="126"/>
    </row>
    <row r="161" spans="1:26" s="3" customFormat="1" ht="20" x14ac:dyDescent="0.4">
      <c r="A161" s="57"/>
      <c r="B161" s="3" t="str">
        <f t="shared" ref="B161:B166" si="194">B150</f>
        <v>Issuance</v>
      </c>
      <c r="C161" s="120" t="str">
        <f t="shared" ca="1" si="192"/>
        <v>=-MIN(F157,0)</v>
      </c>
      <c r="D161" s="63"/>
      <c r="E161" s="70"/>
      <c r="F161" s="93">
        <f ca="1">-MIN(F157,0)</f>
        <v>0</v>
      </c>
      <c r="G161" s="93">
        <f t="shared" ref="G161:J161" ca="1" si="195">-MIN(G157,0)</f>
        <v>0</v>
      </c>
      <c r="H161" s="93">
        <f t="shared" ca="1" si="195"/>
        <v>0</v>
      </c>
      <c r="I161" s="93">
        <f t="shared" ca="1" si="195"/>
        <v>0</v>
      </c>
      <c r="J161" s="93">
        <f t="shared" ca="1" si="195"/>
        <v>0</v>
      </c>
      <c r="K161" s="111" t="str">
        <f t="shared" ca="1" si="184"/>
        <v>=-MIN(F157,0)</v>
      </c>
      <c r="N161" s="3" t="s">
        <v>222</v>
      </c>
      <c r="R161" s="111"/>
      <c r="S161" s="111"/>
      <c r="T161" s="111"/>
      <c r="U161" s="111"/>
      <c r="V161" s="57"/>
      <c r="W161" s="126"/>
      <c r="X161" s="126"/>
      <c r="Y161" s="126"/>
      <c r="Z161" s="126"/>
    </row>
    <row r="162" spans="1:26" s="3" customFormat="1" ht="24" x14ac:dyDescent="0.8">
      <c r="A162" s="57"/>
      <c r="B162" s="12" t="str">
        <f t="shared" si="194"/>
        <v>(Retirement)</v>
      </c>
      <c r="C162" s="120" t="str">
        <f t="shared" ca="1" si="192"/>
        <v>=-IF(F157&gt;0,IF(F160&lt;F157,F160,F157),0)</v>
      </c>
      <c r="D162" s="83"/>
      <c r="E162" s="242" t="s">
        <v>339</v>
      </c>
      <c r="F162" s="91">
        <f ca="1">-IF(F157&gt;0,IF(F160&lt;F157,F160,F157),0)</f>
        <v>0</v>
      </c>
      <c r="G162" s="91">
        <f t="shared" ref="G162:J162" ca="1" si="196">-IF(G157&gt;0,IF(G160&lt;G157,G160,G157),0)</f>
        <v>0</v>
      </c>
      <c r="H162" s="91">
        <f t="shared" ca="1" si="196"/>
        <v>-151.65224297623232</v>
      </c>
      <c r="I162" s="91">
        <f t="shared" ca="1" si="196"/>
        <v>-184.04986425911881</v>
      </c>
      <c r="J162" s="91">
        <f t="shared" ca="1" si="196"/>
        <v>-179.83906644549677</v>
      </c>
      <c r="K162" s="111" t="str">
        <f t="shared" ca="1" si="184"/>
        <v>=-IF(F157&gt;0,IF(F160&lt;F157,F160,F157),0)</v>
      </c>
      <c r="R162" s="111"/>
      <c r="S162" s="111"/>
      <c r="T162" s="111"/>
      <c r="U162" s="111"/>
      <c r="V162" s="57"/>
      <c r="W162" s="126"/>
      <c r="X162" s="126"/>
      <c r="Y162" s="126"/>
      <c r="Z162" s="126"/>
    </row>
    <row r="163" spans="1:26" s="3" customFormat="1" ht="20" x14ac:dyDescent="0.4">
      <c r="A163" s="57"/>
      <c r="B163" s="39" t="str">
        <f t="shared" si="194"/>
        <v>Ending Balance</v>
      </c>
      <c r="C163" s="120" t="str">
        <f t="shared" ca="1" si="192"/>
        <v>=SUM(F160:F162)</v>
      </c>
      <c r="D163" s="85">
        <f>D35</f>
        <v>115.919834301116</v>
      </c>
      <c r="E163" s="345">
        <f>E427</f>
        <v>960.70211918596351</v>
      </c>
      <c r="F163" s="89">
        <f ca="1">SUM(F160:F162)</f>
        <v>960.70211918596351</v>
      </c>
      <c r="G163" s="89">
        <f t="shared" ref="G163:J163" ca="1" si="197">SUM(G160:G162)</f>
        <v>960.70211918596351</v>
      </c>
      <c r="H163" s="89">
        <f t="shared" ca="1" si="197"/>
        <v>809.04987620973122</v>
      </c>
      <c r="I163" s="89">
        <f t="shared" ca="1" si="197"/>
        <v>625.00001195061236</v>
      </c>
      <c r="J163" s="89">
        <f t="shared" ca="1" si="197"/>
        <v>445.16094550511559</v>
      </c>
      <c r="K163" s="111" t="str">
        <f t="shared" ca="1" si="184"/>
        <v>=SUM(F160:F162)</v>
      </c>
      <c r="M163" s="54"/>
      <c r="N163" s="54"/>
      <c r="O163" s="54"/>
      <c r="P163" s="54"/>
      <c r="R163" s="111"/>
      <c r="S163" s="111"/>
      <c r="T163" s="111"/>
      <c r="U163" s="111"/>
      <c r="V163" s="57"/>
      <c r="W163" s="126"/>
      <c r="X163" s="126"/>
      <c r="Y163" s="126"/>
      <c r="Z163" s="126"/>
    </row>
    <row r="164" spans="1:26" s="3" customFormat="1" ht="20" x14ac:dyDescent="0.4">
      <c r="A164" s="57"/>
      <c r="B164" s="3" t="str">
        <f t="shared" si="194"/>
        <v>Average Balance (beginning and ending)</v>
      </c>
      <c r="C164" s="120" t="str">
        <f t="shared" ca="1" si="192"/>
        <v>=AVERAGE(E163:F163)</v>
      </c>
      <c r="D164" s="63"/>
      <c r="E164" s="70"/>
      <c r="F164" s="93">
        <f ca="1">AVERAGE(E163:F163)</f>
        <v>960.70211918596351</v>
      </c>
      <c r="G164" s="93">
        <f t="shared" ref="G164:J164" ca="1" si="198">AVERAGE(F163:G163)</f>
        <v>960.70211918596351</v>
      </c>
      <c r="H164" s="93">
        <f t="shared" ca="1" si="198"/>
        <v>884.87599769784742</v>
      </c>
      <c r="I164" s="93">
        <f t="shared" ca="1" si="198"/>
        <v>717.02494408017174</v>
      </c>
      <c r="J164" s="93">
        <f t="shared" ca="1" si="198"/>
        <v>535.08047872786392</v>
      </c>
      <c r="K164" s="111" t="str">
        <f t="shared" ca="1" si="184"/>
        <v>=AVERAGE(E163:F163)</v>
      </c>
      <c r="M164" s="54"/>
      <c r="N164" s="54"/>
      <c r="O164" s="54"/>
      <c r="P164" s="54"/>
      <c r="R164" s="111"/>
      <c r="S164" s="111"/>
      <c r="T164" s="111"/>
      <c r="U164" s="111"/>
      <c r="V164" s="57"/>
      <c r="W164" s="126"/>
      <c r="X164" s="126"/>
      <c r="Y164" s="126"/>
      <c r="Z164" s="126"/>
    </row>
    <row r="165" spans="1:26" s="3" customFormat="1" ht="20" x14ac:dyDescent="0.4">
      <c r="A165" s="57"/>
      <c r="B165" s="3" t="str">
        <f t="shared" si="194"/>
        <v>Interest Rate</v>
      </c>
      <c r="C165" s="120" t="str">
        <f t="shared" ca="1" si="192"/>
        <v>=F$139+$D165</v>
      </c>
      <c r="D165" s="86">
        <v>0.06</v>
      </c>
      <c r="E165" s="70"/>
      <c r="F165" s="107">
        <f>F$139+$D165</f>
        <v>6.25E-2</v>
      </c>
      <c r="G165" s="107">
        <f t="shared" ref="G165:J165" si="199">G$139+$D165</f>
        <v>6.25E-2</v>
      </c>
      <c r="H165" s="107">
        <f t="shared" si="199"/>
        <v>6.25E-2</v>
      </c>
      <c r="I165" s="107">
        <f t="shared" si="199"/>
        <v>6.25E-2</v>
      </c>
      <c r="J165" s="107">
        <f t="shared" si="199"/>
        <v>6.25E-2</v>
      </c>
      <c r="K165" s="111" t="str">
        <f t="shared" ca="1" si="184"/>
        <v>=F$139+$D165</v>
      </c>
      <c r="M165" s="54"/>
      <c r="N165" s="54"/>
      <c r="O165" s="54"/>
      <c r="P165" s="54"/>
      <c r="R165" s="111"/>
      <c r="S165" s="111"/>
      <c r="T165" s="111"/>
      <c r="U165" s="111"/>
      <c r="V165" s="57"/>
      <c r="W165" s="126"/>
      <c r="X165" s="126"/>
      <c r="Y165" s="126"/>
      <c r="Z165" s="126"/>
    </row>
    <row r="166" spans="1:26" s="3" customFormat="1" ht="20" x14ac:dyDescent="0.4">
      <c r="A166" s="57"/>
      <c r="B166" s="3" t="str">
        <f t="shared" si="194"/>
        <v>Interest (Expense)</v>
      </c>
      <c r="C166" s="120" t="str">
        <f t="shared" ca="1" si="192"/>
        <v>=F164*-F165</v>
      </c>
      <c r="D166" s="86"/>
      <c r="E166" s="70"/>
      <c r="F166" s="93">
        <f ca="1">F164*-F165</f>
        <v>-60.043882449122719</v>
      </c>
      <c r="G166" s="93">
        <f t="shared" ref="G166:J166" ca="1" si="200">G164*-G165</f>
        <v>-60.043882449122719</v>
      </c>
      <c r="H166" s="93">
        <f t="shared" ca="1" si="200"/>
        <v>-55.304749856115464</v>
      </c>
      <c r="I166" s="93">
        <f t="shared" ca="1" si="200"/>
        <v>-44.814059005010733</v>
      </c>
      <c r="J166" s="93">
        <f t="shared" ca="1" si="200"/>
        <v>-33.442529920491495</v>
      </c>
      <c r="K166" s="111" t="str">
        <f t="shared" ca="1" si="184"/>
        <v>=F164*-F165</v>
      </c>
      <c r="M166" s="54"/>
      <c r="N166" s="54"/>
      <c r="O166" s="54"/>
      <c r="P166" s="54"/>
      <c r="R166" s="111"/>
      <c r="S166" s="111"/>
      <c r="T166" s="111"/>
      <c r="U166" s="111"/>
      <c r="V166" s="57"/>
      <c r="W166" s="126"/>
      <c r="X166" s="126"/>
      <c r="Y166" s="126"/>
      <c r="Z166" s="126"/>
    </row>
    <row r="167" spans="1:26" s="3" customFormat="1" ht="20" x14ac:dyDescent="0.4">
      <c r="A167" s="57"/>
      <c r="D167" s="63"/>
      <c r="E167" s="70"/>
      <c r="F167" s="30"/>
      <c r="G167" s="30"/>
      <c r="H167" s="30"/>
      <c r="I167" s="30"/>
      <c r="J167" s="30"/>
      <c r="K167" s="111" t="e">
        <f t="shared" ca="1" si="184"/>
        <v>#N/A</v>
      </c>
      <c r="M167" s="54"/>
      <c r="N167" s="54"/>
      <c r="O167" s="54"/>
      <c r="P167" s="54"/>
      <c r="R167" s="111"/>
      <c r="S167" s="111"/>
      <c r="T167" s="111"/>
      <c r="U167" s="111"/>
      <c r="V167" s="57"/>
      <c r="W167" s="126"/>
      <c r="X167" s="126"/>
      <c r="Y167" s="126"/>
      <c r="Z167" s="126"/>
    </row>
    <row r="168" spans="1:26" s="3" customFormat="1" ht="20" x14ac:dyDescent="0.4">
      <c r="A168" s="57"/>
      <c r="B168" s="61" t="str">
        <f>$B$146&amp;" After "&amp;B159</f>
        <v>FCF for Discretionary Debt Retirement / (Issuance) After Long-term Debt:</v>
      </c>
      <c r="C168" s="120" t="str">
        <f t="shared" ca="1" si="192"/>
        <v>=F157+F161+F162</v>
      </c>
      <c r="D168" s="84"/>
      <c r="E168" s="84"/>
      <c r="F168" s="91">
        <f ca="1">F157+F161+F162</f>
        <v>0</v>
      </c>
      <c r="G168" s="91">
        <f t="shared" ref="G168:J168" ca="1" si="201">G157+G161+G162</f>
        <v>0</v>
      </c>
      <c r="H168" s="91">
        <f t="shared" ca="1" si="201"/>
        <v>0</v>
      </c>
      <c r="I168" s="91">
        <f t="shared" ca="1" si="201"/>
        <v>0</v>
      </c>
      <c r="J168" s="91">
        <f t="shared" ca="1" si="201"/>
        <v>0</v>
      </c>
      <c r="K168" s="111" t="str">
        <f t="shared" ca="1" si="184"/>
        <v>=F157+F161+F162</v>
      </c>
      <c r="M168" s="54"/>
      <c r="N168" s="54"/>
      <c r="O168" s="54"/>
      <c r="P168" s="54"/>
      <c r="R168" s="111"/>
      <c r="S168" s="111"/>
      <c r="T168" s="111"/>
      <c r="U168" s="111"/>
      <c r="V168" s="57"/>
      <c r="W168" s="126"/>
      <c r="X168" s="126"/>
      <c r="Y168" s="126"/>
      <c r="Z168" s="126"/>
    </row>
    <row r="169" spans="1:26" s="3" customFormat="1" ht="20" x14ac:dyDescent="0.4">
      <c r="A169" s="57"/>
      <c r="D169" s="63"/>
      <c r="E169" s="70"/>
      <c r="F169" s="30"/>
      <c r="G169" s="30"/>
      <c r="H169" s="30"/>
      <c r="I169" s="30"/>
      <c r="J169" s="30"/>
      <c r="K169" s="111" t="e">
        <f t="shared" ca="1" si="184"/>
        <v>#N/A</v>
      </c>
      <c r="M169" s="54"/>
      <c r="N169" s="54"/>
      <c r="O169" s="54"/>
      <c r="P169" s="54"/>
      <c r="R169" s="111"/>
      <c r="S169" s="111"/>
      <c r="T169" s="111"/>
      <c r="U169" s="111"/>
      <c r="V169" s="57"/>
      <c r="W169" s="126"/>
      <c r="X169" s="126"/>
      <c r="Y169" s="126"/>
      <c r="Z169" s="126"/>
    </row>
    <row r="170" spans="1:26" s="3" customFormat="1" ht="20" x14ac:dyDescent="0.4">
      <c r="A170" s="57"/>
      <c r="B170" s="13" t="s">
        <v>138</v>
      </c>
      <c r="C170" s="342" t="str">
        <f ca="1">_xlfn.FORMULATEXT(E174)</f>
        <v>=E428</v>
      </c>
      <c r="D170" s="36"/>
      <c r="E170" s="37"/>
      <c r="F170" s="37"/>
      <c r="G170" s="37"/>
      <c r="H170" s="37"/>
      <c r="I170" s="37"/>
      <c r="J170" s="37"/>
      <c r="K170" s="111" t="e">
        <f t="shared" ca="1" si="184"/>
        <v>#N/A</v>
      </c>
      <c r="R170" s="111"/>
      <c r="S170" s="111"/>
      <c r="T170" s="111"/>
      <c r="U170" s="111"/>
      <c r="V170" s="57"/>
      <c r="W170" s="126"/>
      <c r="X170" s="126"/>
      <c r="Y170" s="126"/>
      <c r="Z170" s="126"/>
    </row>
    <row r="171" spans="1:26" s="3" customFormat="1" ht="20" x14ac:dyDescent="0.4">
      <c r="A171" s="57"/>
      <c r="B171" s="3" t="str">
        <f t="shared" ref="B171:B177" si="202">B149</f>
        <v>Beginning Balance</v>
      </c>
      <c r="C171" s="120" t="str">
        <f t="shared" ref="C171:C179" ca="1" si="203">_xlfn.FORMULATEXT(F171)</f>
        <v>=E174</v>
      </c>
      <c r="D171" s="63"/>
      <c r="E171" s="70"/>
      <c r="F171" s="343">
        <f>E174</f>
        <v>93.693910373719916</v>
      </c>
      <c r="G171" s="343">
        <f t="shared" ref="G171:J171" ca="1" si="204">F174</f>
        <v>93.693910373719916</v>
      </c>
      <c r="H171" s="343">
        <f t="shared" ca="1" si="204"/>
        <v>93.693910373719916</v>
      </c>
      <c r="I171" s="343">
        <f t="shared" ca="1" si="204"/>
        <v>93.693910373719916</v>
      </c>
      <c r="J171" s="343">
        <f t="shared" ca="1" si="204"/>
        <v>93.693910373719916</v>
      </c>
      <c r="K171" s="111" t="str">
        <f t="shared" ca="1" si="184"/>
        <v>=E174</v>
      </c>
      <c r="R171" s="111"/>
      <c r="S171" s="111"/>
      <c r="T171" s="111"/>
      <c r="U171" s="111"/>
      <c r="V171" s="57"/>
      <c r="W171" s="126"/>
      <c r="X171" s="126"/>
      <c r="Y171" s="126"/>
      <c r="Z171" s="126"/>
    </row>
    <row r="172" spans="1:26" s="3" customFormat="1" ht="20" x14ac:dyDescent="0.4">
      <c r="A172" s="57"/>
      <c r="B172" s="3" t="str">
        <f t="shared" si="202"/>
        <v>Issuance</v>
      </c>
      <c r="C172" s="120" t="str">
        <f t="shared" ca="1" si="203"/>
        <v>=-MIN(F168,0)</v>
      </c>
      <c r="D172" s="63"/>
      <c r="E172" s="70"/>
      <c r="F172" s="93">
        <f ca="1">-MIN(F168,0)</f>
        <v>0</v>
      </c>
      <c r="G172" s="93">
        <f t="shared" ref="G172:J172" ca="1" si="205">-MIN(G168,0)</f>
        <v>0</v>
      </c>
      <c r="H172" s="93">
        <f t="shared" ca="1" si="205"/>
        <v>0</v>
      </c>
      <c r="I172" s="93">
        <f t="shared" ca="1" si="205"/>
        <v>0</v>
      </c>
      <c r="J172" s="93">
        <f t="shared" ca="1" si="205"/>
        <v>0</v>
      </c>
      <c r="K172" s="111" t="str">
        <f t="shared" ca="1" si="184"/>
        <v>=-MIN(F168,0)</v>
      </c>
      <c r="R172" s="111"/>
      <c r="S172" s="111"/>
      <c r="T172" s="111"/>
      <c r="U172" s="111"/>
      <c r="V172" s="57"/>
      <c r="W172" s="126"/>
      <c r="X172" s="126"/>
      <c r="Y172" s="126"/>
      <c r="Z172" s="126"/>
    </row>
    <row r="173" spans="1:26" s="3" customFormat="1" ht="24" x14ac:dyDescent="0.8">
      <c r="A173" s="57"/>
      <c r="B173" s="12" t="str">
        <f t="shared" si="202"/>
        <v>(Retirement)</v>
      </c>
      <c r="C173" s="120" t="str">
        <f t="shared" ca="1" si="203"/>
        <v>=-IF(F168&gt;0,IF(F171&lt;F168,F171,F168),0)</v>
      </c>
      <c r="D173" s="83"/>
      <c r="E173" s="242" t="s">
        <v>339</v>
      </c>
      <c r="F173" s="91">
        <f ca="1">-IF(F168&gt;0,IF(F171&lt;F168,F171,F168),0)</f>
        <v>0</v>
      </c>
      <c r="G173" s="91">
        <f t="shared" ref="G173:J173" ca="1" si="206">-IF(G168&gt;0,IF(G171&lt;G168,G171,G168),0)</f>
        <v>0</v>
      </c>
      <c r="H173" s="91">
        <f t="shared" ca="1" si="206"/>
        <v>0</v>
      </c>
      <c r="I173" s="91">
        <f t="shared" ca="1" si="206"/>
        <v>0</v>
      </c>
      <c r="J173" s="91">
        <f t="shared" ca="1" si="206"/>
        <v>0</v>
      </c>
      <c r="K173" s="111" t="str">
        <f t="shared" ca="1" si="184"/>
        <v>=-IF(F168&gt;0,IF(F171&lt;F168,F171,F168),0)</v>
      </c>
      <c r="R173" s="111"/>
      <c r="S173" s="111"/>
      <c r="T173" s="111"/>
      <c r="U173" s="111"/>
      <c r="V173" s="57"/>
      <c r="W173" s="126"/>
      <c r="X173" s="126"/>
      <c r="Y173" s="126"/>
      <c r="Z173" s="126"/>
    </row>
    <row r="174" spans="1:26" s="3" customFormat="1" ht="20" x14ac:dyDescent="0.4">
      <c r="A174" s="57"/>
      <c r="B174" s="39" t="str">
        <f t="shared" si="202"/>
        <v>Ending Balance</v>
      </c>
      <c r="C174" s="120" t="str">
        <f t="shared" ca="1" si="203"/>
        <v>=SUM(F171:F173)</v>
      </c>
      <c r="D174" s="85">
        <f>D36</f>
        <v>27.600445486033578</v>
      </c>
      <c r="E174" s="345">
        <f>E428</f>
        <v>93.693910373719916</v>
      </c>
      <c r="F174" s="89">
        <f ca="1">SUM(F171:F173)</f>
        <v>93.693910373719916</v>
      </c>
      <c r="G174" s="89">
        <f t="shared" ref="G174:J174" ca="1" si="207">SUM(G171:G173)</f>
        <v>93.693910373719916</v>
      </c>
      <c r="H174" s="89">
        <f t="shared" ca="1" si="207"/>
        <v>93.693910373719916</v>
      </c>
      <c r="I174" s="89">
        <f t="shared" ca="1" si="207"/>
        <v>93.693910373719916</v>
      </c>
      <c r="J174" s="89">
        <f t="shared" ca="1" si="207"/>
        <v>93.693910373719916</v>
      </c>
      <c r="K174" s="111" t="str">
        <f t="shared" ca="1" si="184"/>
        <v>=SUM(F171:F173)</v>
      </c>
      <c r="M174" s="54"/>
      <c r="N174" s="54"/>
      <c r="O174" s="54"/>
      <c r="P174" s="54"/>
      <c r="R174" s="111"/>
      <c r="S174" s="111"/>
      <c r="T174" s="111"/>
      <c r="U174" s="111"/>
      <c r="V174" s="57"/>
      <c r="W174" s="126"/>
      <c r="X174" s="126"/>
      <c r="Y174" s="126"/>
      <c r="Z174" s="126"/>
    </row>
    <row r="175" spans="1:26" s="3" customFormat="1" ht="20" x14ac:dyDescent="0.4">
      <c r="A175" s="57"/>
      <c r="B175" s="3" t="str">
        <f t="shared" si="202"/>
        <v>Average Balance (beginning and ending)</v>
      </c>
      <c r="C175" s="120" t="str">
        <f t="shared" ca="1" si="203"/>
        <v>=AVERAGE(E174:F174)</v>
      </c>
      <c r="D175" s="63"/>
      <c r="E175" s="70"/>
      <c r="F175" s="93">
        <f ca="1">AVERAGE(E174:F174)</f>
        <v>93.693910373719916</v>
      </c>
      <c r="G175" s="93">
        <f t="shared" ref="G175:J175" ca="1" si="208">AVERAGE(F174:G174)</f>
        <v>93.693910373719916</v>
      </c>
      <c r="H175" s="93">
        <f t="shared" ca="1" si="208"/>
        <v>93.693910373719916</v>
      </c>
      <c r="I175" s="93">
        <f t="shared" ca="1" si="208"/>
        <v>93.693910373719916</v>
      </c>
      <c r="J175" s="93">
        <f t="shared" ca="1" si="208"/>
        <v>93.693910373719916</v>
      </c>
      <c r="K175" s="111" t="str">
        <f t="shared" ca="1" si="184"/>
        <v>=AVERAGE(E174:F174)</v>
      </c>
      <c r="M175" s="54"/>
      <c r="N175" s="54"/>
      <c r="O175" s="54"/>
      <c r="P175" s="54"/>
      <c r="R175" s="111"/>
      <c r="S175" s="111"/>
      <c r="T175" s="111"/>
      <c r="U175" s="111"/>
      <c r="V175" s="57"/>
      <c r="W175" s="126"/>
      <c r="X175" s="126"/>
      <c r="Y175" s="126"/>
      <c r="Z175" s="126"/>
    </row>
    <row r="176" spans="1:26" s="3" customFormat="1" ht="20" x14ac:dyDescent="0.4">
      <c r="A176" s="57"/>
      <c r="B176" s="3" t="str">
        <f t="shared" si="202"/>
        <v>Interest Rate</v>
      </c>
      <c r="C176" s="120" t="str">
        <f t="shared" ca="1" si="203"/>
        <v>=F$139+$D176</v>
      </c>
      <c r="D176" s="86">
        <v>0.06</v>
      </c>
      <c r="E176" s="70"/>
      <c r="F176" s="107">
        <f>F$139+$D176</f>
        <v>6.25E-2</v>
      </c>
      <c r="G176" s="107">
        <f t="shared" ref="G176:J176" si="209">G$139+$D176</f>
        <v>6.25E-2</v>
      </c>
      <c r="H176" s="107">
        <f t="shared" si="209"/>
        <v>6.25E-2</v>
      </c>
      <c r="I176" s="107">
        <f t="shared" si="209"/>
        <v>6.25E-2</v>
      </c>
      <c r="J176" s="107">
        <f t="shared" si="209"/>
        <v>6.25E-2</v>
      </c>
      <c r="K176" s="111" t="str">
        <f t="shared" ca="1" si="184"/>
        <v>=F$139+$D176</v>
      </c>
      <c r="M176" s="54"/>
      <c r="N176" s="54"/>
      <c r="O176" s="54"/>
      <c r="P176" s="54"/>
      <c r="R176" s="111"/>
      <c r="S176" s="111"/>
      <c r="T176" s="111"/>
      <c r="U176" s="111"/>
      <c r="V176" s="57"/>
      <c r="W176" s="126"/>
      <c r="X176" s="126"/>
      <c r="Y176" s="126"/>
      <c r="Z176" s="126"/>
    </row>
    <row r="177" spans="1:26" s="3" customFormat="1" ht="20" x14ac:dyDescent="0.4">
      <c r="A177" s="57"/>
      <c r="B177" s="3" t="str">
        <f t="shared" si="202"/>
        <v>Interest (Expense)</v>
      </c>
      <c r="C177" s="120" t="str">
        <f t="shared" ca="1" si="203"/>
        <v>=F175*-F176</v>
      </c>
      <c r="D177" s="86"/>
      <c r="E177" s="70"/>
      <c r="F177" s="93">
        <f ca="1">F175*-F176</f>
        <v>-5.8558693983574948</v>
      </c>
      <c r="G177" s="93">
        <f t="shared" ref="G177:J177" ca="1" si="210">G175*-G176</f>
        <v>-5.8558693983574948</v>
      </c>
      <c r="H177" s="93">
        <f t="shared" ca="1" si="210"/>
        <v>-5.8558693983574948</v>
      </c>
      <c r="I177" s="93">
        <f t="shared" ca="1" si="210"/>
        <v>-5.8558693983574948</v>
      </c>
      <c r="J177" s="93">
        <f t="shared" ca="1" si="210"/>
        <v>-5.8558693983574948</v>
      </c>
      <c r="K177" s="111" t="str">
        <f t="shared" ca="1" si="184"/>
        <v>=F175*-F176</v>
      </c>
      <c r="M177" s="54"/>
      <c r="N177" s="54"/>
      <c r="O177" s="54"/>
      <c r="P177" s="54"/>
      <c r="R177" s="111"/>
      <c r="S177" s="111"/>
      <c r="T177" s="111"/>
      <c r="U177" s="111"/>
      <c r="V177" s="57"/>
      <c r="W177" s="126"/>
      <c r="X177" s="126"/>
      <c r="Y177" s="126"/>
      <c r="Z177" s="126"/>
    </row>
    <row r="178" spans="1:26" s="3" customFormat="1" ht="20" x14ac:dyDescent="0.4">
      <c r="A178" s="57"/>
      <c r="F178" s="30"/>
      <c r="G178" s="30"/>
      <c r="H178" s="30"/>
      <c r="I178" s="30"/>
      <c r="J178" s="30"/>
      <c r="K178" s="111" t="e">
        <f t="shared" ca="1" si="184"/>
        <v>#N/A</v>
      </c>
      <c r="M178" s="64"/>
      <c r="N178" s="64"/>
      <c r="O178" s="64"/>
      <c r="P178" s="64"/>
      <c r="R178" s="111"/>
      <c r="S178" s="111"/>
      <c r="T178" s="111"/>
      <c r="U178" s="111"/>
      <c r="V178" s="57"/>
      <c r="W178" s="126"/>
      <c r="X178" s="126"/>
      <c r="Y178" s="126"/>
      <c r="Z178" s="126"/>
    </row>
    <row r="179" spans="1:26" s="3" customFormat="1" ht="20" x14ac:dyDescent="0.4">
      <c r="A179" s="57"/>
      <c r="B179" s="61" t="str">
        <f>$B$146&amp;" After "&amp;B170</f>
        <v>FCF for Discretionary Debt Retirement / (Issuance) After Leases/LT Liab.</v>
      </c>
      <c r="C179" s="120" t="str">
        <f t="shared" ca="1" si="203"/>
        <v>=F168+F172+F173</v>
      </c>
      <c r="D179" s="84"/>
      <c r="E179" s="84"/>
      <c r="F179" s="91">
        <f ca="1">F168+F172+F173</f>
        <v>0</v>
      </c>
      <c r="G179" s="91">
        <f t="shared" ref="G179:J179" ca="1" si="211">G168+G172+G173</f>
        <v>0</v>
      </c>
      <c r="H179" s="91">
        <f t="shared" ca="1" si="211"/>
        <v>0</v>
      </c>
      <c r="I179" s="91">
        <f t="shared" ca="1" si="211"/>
        <v>0</v>
      </c>
      <c r="J179" s="91">
        <f t="shared" ca="1" si="211"/>
        <v>0</v>
      </c>
      <c r="K179" s="111" t="str">
        <f t="shared" ca="1" si="184"/>
        <v>=F168+F172+F173</v>
      </c>
      <c r="M179" s="54"/>
      <c r="N179" s="54"/>
      <c r="O179" s="54"/>
      <c r="P179" s="54"/>
      <c r="R179" s="111"/>
      <c r="S179" s="111"/>
      <c r="T179" s="111"/>
      <c r="U179" s="111"/>
      <c r="V179" s="57"/>
      <c r="W179" s="126"/>
      <c r="X179" s="126"/>
      <c r="Y179" s="126"/>
      <c r="Z179" s="126"/>
    </row>
    <row r="180" spans="1:26" s="3" customFormat="1" ht="20" x14ac:dyDescent="0.4">
      <c r="A180" s="57"/>
      <c r="D180" s="63"/>
      <c r="E180" s="70"/>
      <c r="F180" s="30"/>
      <c r="G180" s="30"/>
      <c r="H180" s="30"/>
      <c r="I180" s="30"/>
      <c r="J180" s="30"/>
      <c r="K180" s="111" t="e">
        <f t="shared" ca="1" si="184"/>
        <v>#N/A</v>
      </c>
      <c r="M180" s="54"/>
      <c r="N180" s="54"/>
      <c r="O180" s="54"/>
      <c r="P180" s="54"/>
      <c r="R180" s="111"/>
      <c r="S180" s="111"/>
      <c r="T180" s="111"/>
      <c r="U180" s="111"/>
      <c r="V180" s="57"/>
      <c r="W180" s="126"/>
      <c r="X180" s="126"/>
      <c r="Y180" s="126"/>
      <c r="Z180" s="126"/>
    </row>
    <row r="181" spans="1:26" s="3" customFormat="1" ht="20" x14ac:dyDescent="0.4">
      <c r="A181" s="57"/>
      <c r="B181" s="13" t="s">
        <v>36</v>
      </c>
      <c r="C181" s="36"/>
      <c r="D181" s="36"/>
      <c r="E181" s="37"/>
      <c r="F181" s="37"/>
      <c r="G181" s="37"/>
      <c r="H181" s="37"/>
      <c r="I181" s="37"/>
      <c r="J181" s="37"/>
      <c r="K181" s="111" t="e">
        <f t="shared" ca="1" si="184"/>
        <v>#N/A</v>
      </c>
      <c r="R181" s="111"/>
      <c r="S181" s="111"/>
      <c r="T181" s="111"/>
      <c r="U181" s="111"/>
      <c r="V181" s="57"/>
      <c r="W181" s="126"/>
      <c r="X181" s="126"/>
      <c r="Y181" s="126"/>
      <c r="Z181" s="126"/>
    </row>
    <row r="182" spans="1:26" s="3" customFormat="1" ht="20" x14ac:dyDescent="0.4">
      <c r="A182" s="57"/>
      <c r="B182" s="3" t="s">
        <v>92</v>
      </c>
      <c r="C182" s="120" t="str">
        <f t="shared" ref="C182:C189" ca="1" si="212">_xlfn.FORMULATEXT(F182)</f>
        <v>=E184</v>
      </c>
      <c r="D182" s="63"/>
      <c r="E182" s="70"/>
      <c r="F182" s="106">
        <f>E184</f>
        <v>64.555154902886215</v>
      </c>
      <c r="G182" s="106">
        <f t="shared" ref="G182:J182" ca="1" si="213">F184</f>
        <v>64.555154902886215</v>
      </c>
      <c r="H182" s="106">
        <f t="shared" ca="1" si="213"/>
        <v>64.555154902886215</v>
      </c>
      <c r="I182" s="106">
        <f t="shared" ca="1" si="213"/>
        <v>64.555154902886215</v>
      </c>
      <c r="J182" s="106">
        <f t="shared" ca="1" si="213"/>
        <v>64.555154902886215</v>
      </c>
      <c r="K182" s="111" t="str">
        <f t="shared" ca="1" si="184"/>
        <v>=E184</v>
      </c>
      <c r="M182" s="3" t="s">
        <v>223</v>
      </c>
      <c r="R182" s="111"/>
      <c r="S182" s="111"/>
      <c r="T182" s="111"/>
      <c r="U182" s="111"/>
      <c r="V182" s="57"/>
      <c r="W182" s="126"/>
      <c r="X182" s="126"/>
      <c r="Y182" s="126"/>
      <c r="Z182" s="126"/>
    </row>
    <row r="183" spans="1:26" s="3" customFormat="1" ht="20" x14ac:dyDescent="0.4">
      <c r="A183" s="57"/>
      <c r="B183" s="3" t="s">
        <v>101</v>
      </c>
      <c r="C183" s="120" t="str">
        <f t="shared" ca="1" si="212"/>
        <v>=F179</v>
      </c>
      <c r="D183" s="63"/>
      <c r="E183" s="70"/>
      <c r="F183" s="106">
        <f ca="1">F179</f>
        <v>0</v>
      </c>
      <c r="G183" s="106">
        <f t="shared" ref="G183:J183" ca="1" si="214">G179</f>
        <v>0</v>
      </c>
      <c r="H183" s="106">
        <f t="shared" ca="1" si="214"/>
        <v>0</v>
      </c>
      <c r="I183" s="106">
        <f t="shared" ca="1" si="214"/>
        <v>0</v>
      </c>
      <c r="J183" s="106">
        <f t="shared" ca="1" si="214"/>
        <v>0</v>
      </c>
      <c r="K183" s="111" t="str">
        <f t="shared" ca="1" si="184"/>
        <v>=F179</v>
      </c>
      <c r="M183" s="3" t="s">
        <v>224</v>
      </c>
      <c r="R183" s="111"/>
      <c r="S183" s="111"/>
      <c r="T183" s="111"/>
      <c r="U183" s="111"/>
      <c r="V183" s="57"/>
      <c r="W183" s="126"/>
      <c r="X183" s="126"/>
      <c r="Y183" s="126"/>
      <c r="Z183" s="126"/>
    </row>
    <row r="184" spans="1:26" s="3" customFormat="1" ht="20" x14ac:dyDescent="0.4">
      <c r="A184" s="57"/>
      <c r="B184" s="39" t="s">
        <v>93</v>
      </c>
      <c r="C184" s="120" t="str">
        <f t="shared" ca="1" si="212"/>
        <v>=SUM(F182:F183)</v>
      </c>
      <c r="D184" s="85">
        <f>D15</f>
        <v>91.064395968189473</v>
      </c>
      <c r="E184" s="85">
        <f>E15</f>
        <v>64.555154902886215</v>
      </c>
      <c r="F184" s="89">
        <f ca="1">SUM(F182:F183)</f>
        <v>64.555154902886215</v>
      </c>
      <c r="G184" s="89">
        <f t="shared" ref="G184:J184" ca="1" si="215">SUM(G182:G183)</f>
        <v>64.555154902886215</v>
      </c>
      <c r="H184" s="89">
        <f t="shared" ca="1" si="215"/>
        <v>64.555154902886215</v>
      </c>
      <c r="I184" s="89">
        <f t="shared" ca="1" si="215"/>
        <v>64.555154902886215</v>
      </c>
      <c r="J184" s="89">
        <f t="shared" ca="1" si="215"/>
        <v>64.555154902886215</v>
      </c>
      <c r="K184" s="111" t="str">
        <f t="shared" ca="1" si="184"/>
        <v>=SUM(F182:F183)</v>
      </c>
      <c r="M184" s="54"/>
      <c r="N184" s="54"/>
      <c r="O184" s="54"/>
      <c r="P184" s="54"/>
      <c r="R184" s="111"/>
      <c r="S184" s="111"/>
      <c r="T184" s="111"/>
      <c r="U184" s="111"/>
      <c r="V184" s="57"/>
      <c r="W184" s="126"/>
      <c r="X184" s="126"/>
      <c r="Y184" s="126"/>
      <c r="Z184" s="126"/>
    </row>
    <row r="185" spans="1:26" s="3" customFormat="1" ht="20" x14ac:dyDescent="0.4">
      <c r="A185" s="57"/>
      <c r="B185" s="3" t="s">
        <v>96</v>
      </c>
      <c r="C185" s="120" t="str">
        <f t="shared" ca="1" si="212"/>
        <v>=AVERAGE(E184:F184)</v>
      </c>
      <c r="D185" s="63"/>
      <c r="E185" s="70"/>
      <c r="F185" s="93">
        <f ca="1">AVERAGE(E184:F184)</f>
        <v>64.555154902886215</v>
      </c>
      <c r="G185" s="93">
        <f t="shared" ref="G185:J185" ca="1" si="216">AVERAGE(F184:G184)</f>
        <v>64.555154902886215</v>
      </c>
      <c r="H185" s="93">
        <f t="shared" ca="1" si="216"/>
        <v>64.555154902886215</v>
      </c>
      <c r="I185" s="93">
        <f t="shared" ca="1" si="216"/>
        <v>64.555154902886215</v>
      </c>
      <c r="J185" s="93">
        <f t="shared" ca="1" si="216"/>
        <v>64.555154902886215</v>
      </c>
      <c r="K185" s="111" t="str">
        <f t="shared" ca="1" si="184"/>
        <v>=AVERAGE(E184:F184)</v>
      </c>
      <c r="M185" s="54"/>
      <c r="N185" s="54"/>
      <c r="O185" s="54"/>
      <c r="P185" s="54"/>
      <c r="R185" s="111"/>
      <c r="S185" s="111"/>
      <c r="T185" s="111"/>
      <c r="U185" s="111"/>
      <c r="V185" s="57"/>
      <c r="W185" s="126"/>
      <c r="X185" s="126"/>
      <c r="Y185" s="126"/>
      <c r="Z185" s="126"/>
    </row>
    <row r="186" spans="1:26" s="3" customFormat="1" ht="20" x14ac:dyDescent="0.4">
      <c r="A186" s="57"/>
      <c r="B186" s="3" t="s">
        <v>97</v>
      </c>
      <c r="C186" s="120" t="str">
        <f t="shared" ca="1" si="212"/>
        <v>=F$140+$D186</v>
      </c>
      <c r="D186" s="92">
        <v>0.01</v>
      </c>
      <c r="E186" s="70"/>
      <c r="F186" s="107">
        <f>F$140+$D186</f>
        <v>1.0999999999999999E-2</v>
      </c>
      <c r="G186" s="107">
        <f t="shared" ref="G186:J186" si="217">G$140+$D186</f>
        <v>1.0999999999999999E-2</v>
      </c>
      <c r="H186" s="107">
        <f t="shared" si="217"/>
        <v>1.0999999999999999E-2</v>
      </c>
      <c r="I186" s="107">
        <f t="shared" si="217"/>
        <v>1.0999999999999999E-2</v>
      </c>
      <c r="J186" s="107">
        <f t="shared" si="217"/>
        <v>1.0999999999999999E-2</v>
      </c>
      <c r="K186" s="111" t="str">
        <f t="shared" ca="1" si="184"/>
        <v>=F$140+$D186</v>
      </c>
      <c r="M186" s="54"/>
      <c r="N186" s="54"/>
      <c r="O186" s="54"/>
      <c r="P186" s="54"/>
      <c r="R186" s="111"/>
      <c r="S186" s="111"/>
      <c r="T186" s="111"/>
      <c r="U186" s="111"/>
      <c r="V186" s="57"/>
      <c r="W186" s="126"/>
      <c r="X186" s="126"/>
      <c r="Y186" s="126"/>
      <c r="Z186" s="126"/>
    </row>
    <row r="187" spans="1:26" s="3" customFormat="1" ht="20" x14ac:dyDescent="0.4">
      <c r="A187" s="57"/>
      <c r="B187" s="3" t="s">
        <v>99</v>
      </c>
      <c r="C187" s="120" t="str">
        <f t="shared" ca="1" si="212"/>
        <v>=F185*F186</v>
      </c>
      <c r="D187" s="86"/>
      <c r="E187" s="70"/>
      <c r="F187" s="93">
        <f ca="1">F185*F186</f>
        <v>0.71010670393174835</v>
      </c>
      <c r="G187" s="93">
        <f t="shared" ref="G187:J187" ca="1" si="218">G185*G186</f>
        <v>0.71010670393174835</v>
      </c>
      <c r="H187" s="93">
        <f t="shared" ca="1" si="218"/>
        <v>0.71010670393174835</v>
      </c>
      <c r="I187" s="93">
        <f t="shared" ca="1" si="218"/>
        <v>0.71010670393174835</v>
      </c>
      <c r="J187" s="93">
        <f t="shared" ca="1" si="218"/>
        <v>0.71010670393174835</v>
      </c>
      <c r="K187" s="111" t="str">
        <f t="shared" ca="1" si="184"/>
        <v>=F185*F186</v>
      </c>
      <c r="M187" s="54"/>
      <c r="N187" s="54"/>
      <c r="O187" s="54"/>
      <c r="P187" s="54"/>
      <c r="R187" s="111"/>
      <c r="S187" s="111"/>
      <c r="T187" s="111"/>
      <c r="U187" s="111"/>
      <c r="V187" s="57"/>
      <c r="W187" s="126"/>
      <c r="X187" s="126"/>
      <c r="Y187" s="126"/>
      <c r="Z187" s="126"/>
    </row>
    <row r="188" spans="1:26" s="3" customFormat="1" ht="20" x14ac:dyDescent="0.4">
      <c r="A188" s="57"/>
      <c r="B188" s="36"/>
      <c r="C188" s="36"/>
      <c r="D188" s="36"/>
      <c r="E188" s="37"/>
      <c r="F188" s="37"/>
      <c r="G188" s="37"/>
      <c r="H188" s="37"/>
      <c r="I188" s="37"/>
      <c r="J188" s="37"/>
      <c r="K188" s="111" t="e">
        <f t="shared" ca="1" si="184"/>
        <v>#N/A</v>
      </c>
      <c r="R188" s="111"/>
      <c r="S188" s="111"/>
      <c r="T188" s="111"/>
      <c r="U188" s="111"/>
      <c r="V188" s="57"/>
      <c r="W188" s="126"/>
      <c r="X188" s="126"/>
      <c r="Y188" s="126"/>
      <c r="Z188" s="126"/>
    </row>
    <row r="189" spans="1:26" s="3" customFormat="1" ht="20" x14ac:dyDescent="0.4">
      <c r="A189" s="57"/>
      <c r="B189" s="3" t="s">
        <v>100</v>
      </c>
      <c r="C189" s="120" t="str">
        <f t="shared" ca="1" si="212"/>
        <v>=F155+F166+F177+F187</v>
      </c>
      <c r="D189" s="86"/>
      <c r="E189" s="70"/>
      <c r="F189" s="93">
        <f ca="1">F155+F166+F177+F187</f>
        <v>-78.492179425356923</v>
      </c>
      <c r="G189" s="93">
        <f t="shared" ref="G189:J189" ca="1" si="219">G155+G166+G177+G187</f>
        <v>-70.577315416585236</v>
      </c>
      <c r="H189" s="93">
        <f t="shared" ca="1" si="219"/>
        <v>-61.184947723304241</v>
      </c>
      <c r="I189" s="93">
        <f t="shared" ca="1" si="219"/>
        <v>-49.959821699436482</v>
      </c>
      <c r="J189" s="93">
        <f t="shared" ca="1" si="219"/>
        <v>-38.588292614917243</v>
      </c>
      <c r="K189" s="111" t="str">
        <f t="shared" ca="1" si="184"/>
        <v>=F155+F166+F177+F187</v>
      </c>
      <c r="R189" s="111"/>
      <c r="S189" s="111"/>
      <c r="T189" s="111"/>
      <c r="U189" s="111"/>
      <c r="V189" s="57"/>
      <c r="W189" s="126"/>
      <c r="X189" s="126"/>
      <c r="Y189" s="126"/>
      <c r="Z189" s="126"/>
    </row>
    <row r="190" spans="1:26" s="3" customFormat="1" ht="20" x14ac:dyDescent="0.4">
      <c r="A190" s="57"/>
      <c r="B190" s="36"/>
      <c r="C190" s="36"/>
      <c r="D190" s="36"/>
      <c r="E190" s="37"/>
      <c r="F190" s="37"/>
      <c r="G190" s="37"/>
      <c r="H190" s="37"/>
      <c r="I190" s="37"/>
      <c r="J190" s="37"/>
      <c r="R190" s="111"/>
      <c r="S190" s="111"/>
      <c r="T190" s="111"/>
      <c r="U190" s="111"/>
      <c r="V190" s="57"/>
      <c r="W190" s="126"/>
      <c r="X190" s="126"/>
      <c r="Y190" s="126"/>
      <c r="Z190" s="126"/>
    </row>
    <row r="191" spans="1:26" s="3" customFormat="1" ht="24" x14ac:dyDescent="0.8">
      <c r="A191" s="57"/>
      <c r="B191" s="337" t="s">
        <v>390</v>
      </c>
      <c r="C191" s="51"/>
      <c r="D191" s="8" t="str">
        <f>D$11</f>
        <v>Historical</v>
      </c>
      <c r="E191" s="8"/>
      <c r="F191" s="8" t="str">
        <f>F$11</f>
        <v>Forecast</v>
      </c>
      <c r="G191" s="8"/>
      <c r="H191" s="8"/>
      <c r="I191" s="8"/>
      <c r="J191" s="8"/>
      <c r="K191" s="80"/>
      <c r="L191" s="9"/>
      <c r="M191" s="9"/>
      <c r="N191" s="9"/>
      <c r="O191" s="9"/>
      <c r="P191" s="9"/>
      <c r="R191" s="111"/>
      <c r="S191" s="111"/>
      <c r="T191" s="111"/>
      <c r="U191" s="111"/>
      <c r="V191" s="57"/>
      <c r="W191" s="126"/>
      <c r="X191" s="126"/>
      <c r="Y191" s="126"/>
      <c r="Z191" s="126"/>
    </row>
    <row r="192" spans="1:26" s="3" customFormat="1" ht="20.5" thickBot="1" x14ac:dyDescent="0.45">
      <c r="A192" s="57" t="s">
        <v>67</v>
      </c>
      <c r="B192" s="4" t="s">
        <v>66</v>
      </c>
      <c r="C192" s="4"/>
      <c r="D192" s="72">
        <f t="shared" ref="D192:J194" si="220">D$12</f>
        <v>2019</v>
      </c>
      <c r="E192" s="72">
        <f t="shared" si="220"/>
        <v>2020</v>
      </c>
      <c r="F192" s="72">
        <f t="shared" si="220"/>
        <v>2021</v>
      </c>
      <c r="G192" s="72">
        <f t="shared" si="220"/>
        <v>2022</v>
      </c>
      <c r="H192" s="72">
        <f t="shared" si="220"/>
        <v>2023</v>
      </c>
      <c r="I192" s="72">
        <f t="shared" si="220"/>
        <v>2024</v>
      </c>
      <c r="J192" s="72">
        <f t="shared" si="220"/>
        <v>2025</v>
      </c>
      <c r="R192" s="111"/>
      <c r="S192" s="111"/>
      <c r="T192" s="111"/>
      <c r="U192" s="111"/>
      <c r="V192" s="57"/>
      <c r="W192" s="126"/>
      <c r="X192" s="126"/>
      <c r="Y192" s="126"/>
      <c r="Z192" s="126"/>
    </row>
    <row r="193" spans="1:26" s="3" customFormat="1" ht="20" x14ac:dyDescent="0.4">
      <c r="A193" s="57"/>
      <c r="R193" s="111"/>
      <c r="S193" s="111"/>
      <c r="T193" s="111"/>
      <c r="U193" s="111"/>
      <c r="V193" s="57"/>
      <c r="W193" s="126"/>
      <c r="X193" s="126"/>
      <c r="Y193" s="126"/>
      <c r="Z193" s="126"/>
    </row>
    <row r="194" spans="1:26" s="3" customFormat="1" ht="20.5" thickBot="1" x14ac:dyDescent="0.45">
      <c r="A194" s="57"/>
      <c r="B194" s="4" t="s">
        <v>27</v>
      </c>
      <c r="C194" s="4"/>
      <c r="D194" s="72">
        <f t="shared" si="220"/>
        <v>2019</v>
      </c>
      <c r="E194" s="72">
        <f t="shared" si="220"/>
        <v>2020</v>
      </c>
      <c r="F194" s="72">
        <f t="shared" si="220"/>
        <v>2021</v>
      </c>
      <c r="G194" s="72">
        <f t="shared" si="220"/>
        <v>2022</v>
      </c>
      <c r="H194" s="72">
        <f t="shared" si="220"/>
        <v>2023</v>
      </c>
      <c r="I194" s="72">
        <f t="shared" si="220"/>
        <v>2024</v>
      </c>
      <c r="J194" s="72">
        <f t="shared" si="220"/>
        <v>2025</v>
      </c>
      <c r="R194" s="111"/>
      <c r="S194" s="111"/>
      <c r="T194" s="111"/>
      <c r="U194" s="111"/>
      <c r="V194" s="57"/>
      <c r="W194" s="126"/>
      <c r="X194" s="126"/>
      <c r="Y194" s="126"/>
      <c r="Z194" s="126"/>
    </row>
    <row r="195" spans="1:26" s="3" customFormat="1" ht="20" x14ac:dyDescent="0.4">
      <c r="A195" s="57"/>
      <c r="B195" s="10"/>
      <c r="C195" s="10"/>
      <c r="D195" s="11"/>
      <c r="E195" s="11"/>
      <c r="F195" s="11"/>
      <c r="G195" s="11"/>
      <c r="H195" s="11"/>
      <c r="I195" s="11"/>
      <c r="J195" s="11"/>
      <c r="R195" s="111"/>
      <c r="S195" s="111"/>
      <c r="T195" s="111"/>
      <c r="U195" s="111"/>
      <c r="V195" s="57"/>
      <c r="W195" s="126"/>
      <c r="X195" s="126"/>
      <c r="Y195" s="126"/>
      <c r="Z195" s="126"/>
    </row>
    <row r="196" spans="1:26" s="3" customFormat="1" ht="21.5" x14ac:dyDescent="0.55000000000000004">
      <c r="A196" s="57"/>
      <c r="B196" s="13" t="s">
        <v>25</v>
      </c>
      <c r="C196" s="13"/>
      <c r="D196" s="14"/>
      <c r="E196" s="15"/>
      <c r="F196" s="15"/>
      <c r="G196" s="15"/>
      <c r="H196" s="15"/>
      <c r="I196" s="15"/>
      <c r="J196" s="15"/>
      <c r="K196" s="122" t="s">
        <v>102</v>
      </c>
      <c r="L196" s="122"/>
      <c r="M196" s="122"/>
      <c r="R196" s="111"/>
      <c r="S196" s="111"/>
      <c r="T196" s="111"/>
      <c r="U196" s="111"/>
      <c r="V196" s="57"/>
      <c r="W196" s="126"/>
      <c r="X196" s="126"/>
      <c r="Y196" s="126"/>
      <c r="Z196" s="126"/>
    </row>
    <row r="197" spans="1:26" s="3" customFormat="1" ht="20" x14ac:dyDescent="0.4">
      <c r="A197" s="57"/>
      <c r="D197" s="16"/>
      <c r="E197" s="16"/>
      <c r="F197" s="16"/>
      <c r="G197" s="16"/>
      <c r="H197" s="16"/>
      <c r="I197" s="16"/>
      <c r="J197" s="16"/>
      <c r="K197" s="121">
        <v>2020</v>
      </c>
      <c r="L197" s="121" t="s">
        <v>207</v>
      </c>
      <c r="M197" s="121">
        <v>2021</v>
      </c>
      <c r="N197" s="123"/>
      <c r="O197" s="123" t="s">
        <v>137</v>
      </c>
      <c r="P197" s="123"/>
      <c r="R197" s="111"/>
      <c r="S197" s="111"/>
      <c r="T197" s="111"/>
      <c r="U197" s="111"/>
      <c r="V197" s="57"/>
      <c r="W197" s="126"/>
      <c r="X197" s="126"/>
      <c r="Y197" s="126"/>
      <c r="Z197" s="126"/>
    </row>
    <row r="198" spans="1:26" s="3" customFormat="1" ht="20" x14ac:dyDescent="0.4">
      <c r="A198" s="57"/>
      <c r="B198" s="3" t="s">
        <v>73</v>
      </c>
      <c r="D198" s="108">
        <f>D16/D$52</f>
        <v>2.7285571200110981E-2</v>
      </c>
      <c r="E198" s="108">
        <f>E16/E$52</f>
        <v>3.110347538838731E-2</v>
      </c>
      <c r="F198" s="104">
        <f ca="1">OFFSET(F198,$D$5,0)</f>
        <v>3.110347538838731E-2</v>
      </c>
      <c r="G198" s="104">
        <f ca="1">OFFSET(G198,$D$5,0)</f>
        <v>3.110347538838731E-2</v>
      </c>
      <c r="H198" s="104">
        <f ca="1">OFFSET(H198,$D$5,0)</f>
        <v>3.110347538838731E-2</v>
      </c>
      <c r="I198" s="104">
        <f ca="1">OFFSET(I198,$D$5,0)</f>
        <v>3.110347538838731E-2</v>
      </c>
      <c r="J198" s="104">
        <f ca="1">OFFSET(J198,$D$5,0)</f>
        <v>3.110347538838731E-2</v>
      </c>
      <c r="K198" s="111" t="str">
        <f ca="1">_xlfn.FORMULATEXT(E198)</f>
        <v>=E16/E$52</v>
      </c>
      <c r="M198" s="111" t="str">
        <f ca="1">_xlfn.FORMULATEXT(F198)</f>
        <v>=OFFSET(F198,$D$5,0)</v>
      </c>
      <c r="O198" s="113"/>
      <c r="P198" s="113"/>
      <c r="R198" s="111"/>
      <c r="S198" s="111"/>
      <c r="T198" s="111"/>
      <c r="U198" s="111"/>
      <c r="V198" s="57"/>
      <c r="W198" s="126"/>
      <c r="X198" s="126"/>
      <c r="Y198" s="126"/>
      <c r="Z198" s="126"/>
    </row>
    <row r="199" spans="1:26" s="3" customFormat="1" ht="20" x14ac:dyDescent="0.4">
      <c r="A199" s="57"/>
      <c r="B199" s="79" t="str">
        <f>$D$7</f>
        <v>Base</v>
      </c>
      <c r="E199" s="350">
        <f>E198</f>
        <v>3.110347538838731E-2</v>
      </c>
      <c r="F199" s="105">
        <f>E199</f>
        <v>3.110347538838731E-2</v>
      </c>
      <c r="G199" s="105">
        <f>F199</f>
        <v>3.110347538838731E-2</v>
      </c>
      <c r="H199" s="105">
        <f>G199</f>
        <v>3.110347538838731E-2</v>
      </c>
      <c r="I199" s="105">
        <f>H199</f>
        <v>3.110347538838731E-2</v>
      </c>
      <c r="J199" s="105">
        <f>I199</f>
        <v>3.110347538838731E-2</v>
      </c>
      <c r="K199" s="111" t="str">
        <f ca="1">_xlfn.FORMULATEXT(E199)</f>
        <v>=E198</v>
      </c>
      <c r="M199" s="111" t="str">
        <f ca="1">_xlfn.FORMULATEXT(F199)</f>
        <v>=E199</v>
      </c>
      <c r="O199" s="127" t="s">
        <v>150</v>
      </c>
      <c r="R199" s="111"/>
      <c r="S199" s="111"/>
      <c r="T199" s="111"/>
      <c r="U199" s="111"/>
      <c r="V199" s="57"/>
      <c r="W199" s="126"/>
      <c r="X199" s="126"/>
      <c r="Y199" s="126"/>
      <c r="Z199" s="126"/>
    </row>
    <row r="200" spans="1:26" s="3" customFormat="1" ht="20" x14ac:dyDescent="0.4">
      <c r="A200" s="57"/>
      <c r="B200" s="79" t="str">
        <f>$D$8</f>
        <v>Upside</v>
      </c>
      <c r="E200" s="66"/>
      <c r="F200" s="130">
        <f>F199*$O200</f>
        <v>1.8662085233032387E-2</v>
      </c>
      <c r="G200" s="130">
        <f>G199*$O200</f>
        <v>1.8662085233032387E-2</v>
      </c>
      <c r="H200" s="130">
        <f>H199*$O200</f>
        <v>1.8662085233032387E-2</v>
      </c>
      <c r="I200" s="130">
        <f>I199*$O200</f>
        <v>1.8662085233032387E-2</v>
      </c>
      <c r="J200" s="130">
        <f>J199*$O200</f>
        <v>1.8662085233032387E-2</v>
      </c>
      <c r="K200" s="111"/>
      <c r="M200" s="111" t="str">
        <f ca="1">_xlfn.FORMULATEXT(F200)</f>
        <v>=F199*$O200</v>
      </c>
      <c r="O200" s="129">
        <v>0.6</v>
      </c>
      <c r="P200" s="3" t="s">
        <v>267</v>
      </c>
      <c r="R200" s="111"/>
      <c r="S200" s="111"/>
      <c r="T200" s="111"/>
      <c r="U200" s="111"/>
      <c r="V200" s="57"/>
      <c r="W200" s="126"/>
      <c r="X200" s="126"/>
      <c r="Y200" s="126"/>
      <c r="Z200" s="126"/>
    </row>
    <row r="201" spans="1:26" s="3" customFormat="1" ht="20" x14ac:dyDescent="0.4">
      <c r="A201" s="57"/>
      <c r="B201" s="79" t="str">
        <f>$D$9</f>
        <v>Downside</v>
      </c>
      <c r="D201" s="68"/>
      <c r="E201" s="66"/>
      <c r="F201" s="130">
        <f>F199*$O201</f>
        <v>7.7758688470968271E-2</v>
      </c>
      <c r="G201" s="130">
        <f>G199*$O201</f>
        <v>7.7758688470968271E-2</v>
      </c>
      <c r="H201" s="130">
        <f>H199*$O201</f>
        <v>7.7758688470968271E-2</v>
      </c>
      <c r="I201" s="130">
        <f>I199*$O201</f>
        <v>7.7758688470968271E-2</v>
      </c>
      <c r="J201" s="130">
        <f>J199*$O201</f>
        <v>7.7758688470968271E-2</v>
      </c>
      <c r="K201" s="111"/>
      <c r="M201" s="111" t="str">
        <f ca="1">_xlfn.FORMULATEXT(F201)</f>
        <v>=F199*$O201</v>
      </c>
      <c r="O201" s="129">
        <v>2.5</v>
      </c>
      <c r="P201" s="3" t="s">
        <v>268</v>
      </c>
      <c r="R201" s="111"/>
      <c r="S201" s="111"/>
      <c r="T201" s="111"/>
      <c r="U201" s="111"/>
      <c r="V201" s="57"/>
      <c r="W201" s="126"/>
      <c r="X201" s="126"/>
      <c r="Y201" s="126"/>
      <c r="Z201" s="126"/>
    </row>
    <row r="202" spans="1:26" s="3" customFormat="1" ht="20" x14ac:dyDescent="0.4">
      <c r="A202" s="57"/>
      <c r="D202" s="68"/>
      <c r="E202" s="68"/>
      <c r="F202" s="69"/>
      <c r="G202" s="69"/>
      <c r="H202" s="69"/>
      <c r="I202" s="69"/>
      <c r="J202" s="69"/>
      <c r="K202" s="111"/>
      <c r="M202" s="111"/>
      <c r="R202" s="111"/>
      <c r="S202" s="111"/>
      <c r="T202" s="111"/>
      <c r="U202" s="111"/>
      <c r="V202" s="57"/>
      <c r="W202" s="126"/>
      <c r="X202" s="126"/>
      <c r="Y202" s="126"/>
      <c r="Z202" s="126"/>
    </row>
    <row r="203" spans="1:26" s="3" customFormat="1" ht="20" x14ac:dyDescent="0.4">
      <c r="A203" s="57"/>
      <c r="B203" s="3" t="s">
        <v>74</v>
      </c>
      <c r="D203" s="108">
        <f>D17/D$52</f>
        <v>1.7171800862047334E-2</v>
      </c>
      <c r="E203" s="108">
        <f>E17/E$52</f>
        <v>1.7276244542002772E-2</v>
      </c>
      <c r="F203" s="104">
        <f ca="1">OFFSET(F203,$D$5,0)</f>
        <v>1.7276244542002772E-2</v>
      </c>
      <c r="G203" s="104">
        <f ca="1">OFFSET(G203,$D$5,0)</f>
        <v>1.7276244542002772E-2</v>
      </c>
      <c r="H203" s="104">
        <f ca="1">OFFSET(H203,$D$5,0)</f>
        <v>1.7276244542002772E-2</v>
      </c>
      <c r="I203" s="104">
        <f ca="1">OFFSET(I203,$D$5,0)</f>
        <v>1.7276244542002772E-2</v>
      </c>
      <c r="J203" s="104">
        <f ca="1">OFFSET(J203,$D$5,0)</f>
        <v>1.7276244542002772E-2</v>
      </c>
      <c r="K203" s="111" t="str">
        <f ca="1">_xlfn.FORMULATEXT(E203)</f>
        <v>=E17/E$52</v>
      </c>
      <c r="M203" s="111" t="str">
        <f ca="1">_xlfn.FORMULATEXT(F203)</f>
        <v>=OFFSET(F203,$D$5,0)</v>
      </c>
      <c r="R203" s="111"/>
      <c r="S203" s="111"/>
      <c r="T203" s="111"/>
      <c r="U203" s="111"/>
      <c r="V203" s="57"/>
      <c r="W203" s="126"/>
      <c r="X203" s="126"/>
      <c r="Y203" s="126"/>
      <c r="Z203" s="126"/>
    </row>
    <row r="204" spans="1:26" s="3" customFormat="1" ht="20" x14ac:dyDescent="0.4">
      <c r="A204" s="57"/>
      <c r="B204" s="79" t="str">
        <f>$D$7</f>
        <v>Base</v>
      </c>
      <c r="E204" s="350">
        <f>E203</f>
        <v>1.7276244542002772E-2</v>
      </c>
      <c r="F204" s="105">
        <f>E204</f>
        <v>1.7276244542002772E-2</v>
      </c>
      <c r="G204" s="105">
        <f>F204</f>
        <v>1.7276244542002772E-2</v>
      </c>
      <c r="H204" s="105">
        <f>G204</f>
        <v>1.7276244542002772E-2</v>
      </c>
      <c r="I204" s="105">
        <f>H204</f>
        <v>1.7276244542002772E-2</v>
      </c>
      <c r="J204" s="105">
        <f>I204</f>
        <v>1.7276244542002772E-2</v>
      </c>
      <c r="K204" s="111" t="str">
        <f ca="1">_xlfn.FORMULATEXT(E204)</f>
        <v>=E203</v>
      </c>
      <c r="M204" s="111" t="str">
        <f ca="1">_xlfn.FORMULATEXT(F204)</f>
        <v>=E204</v>
      </c>
      <c r="O204" s="127" t="s">
        <v>150</v>
      </c>
      <c r="R204" s="111"/>
      <c r="S204" s="111"/>
      <c r="T204" s="111"/>
      <c r="U204" s="111"/>
      <c r="V204" s="57"/>
      <c r="W204" s="126"/>
      <c r="X204" s="126"/>
      <c r="Y204" s="126"/>
      <c r="Z204" s="126"/>
    </row>
    <row r="205" spans="1:26" s="3" customFormat="1" ht="20" x14ac:dyDescent="0.4">
      <c r="A205" s="57"/>
      <c r="B205" s="79" t="str">
        <f>$D$8</f>
        <v>Upside</v>
      </c>
      <c r="D205" s="68"/>
      <c r="E205" s="66"/>
      <c r="F205" s="130">
        <f>F204*$O205</f>
        <v>1.7276244542002772E-2</v>
      </c>
      <c r="G205" s="130">
        <f>G204*$O205</f>
        <v>1.7276244542002772E-2</v>
      </c>
      <c r="H205" s="130">
        <f>H204*$O205</f>
        <v>1.7276244542002772E-2</v>
      </c>
      <c r="I205" s="130">
        <f>I204*$O205</f>
        <v>1.7276244542002772E-2</v>
      </c>
      <c r="J205" s="130">
        <f>J204*$O205</f>
        <v>1.7276244542002772E-2</v>
      </c>
      <c r="K205" s="111"/>
      <c r="M205" s="111" t="str">
        <f ca="1">_xlfn.FORMULATEXT(F205)</f>
        <v>=F204*$O205</v>
      </c>
      <c r="O205" s="129">
        <v>1</v>
      </c>
      <c r="P205" s="3" t="s">
        <v>269</v>
      </c>
      <c r="R205" s="111"/>
      <c r="S205" s="111"/>
      <c r="T205" s="111"/>
      <c r="U205" s="111"/>
      <c r="V205" s="57"/>
      <c r="W205" s="126"/>
      <c r="X205" s="126"/>
      <c r="Y205" s="126"/>
      <c r="Z205" s="126"/>
    </row>
    <row r="206" spans="1:26" s="3" customFormat="1" ht="20" x14ac:dyDescent="0.4">
      <c r="A206" s="57"/>
      <c r="B206" s="79" t="str">
        <f>$D$9</f>
        <v>Downside</v>
      </c>
      <c r="D206" s="68"/>
      <c r="E206" s="66"/>
      <c r="F206" s="130">
        <f>F204*$O206</f>
        <v>1.7276244542002772E-2</v>
      </c>
      <c r="G206" s="130">
        <f>G204*$O206</f>
        <v>1.7276244542002772E-2</v>
      </c>
      <c r="H206" s="130">
        <f>H204*$O206</f>
        <v>1.7276244542002772E-2</v>
      </c>
      <c r="I206" s="130">
        <f>I204*$O206</f>
        <v>1.7276244542002772E-2</v>
      </c>
      <c r="J206" s="130">
        <f>J204*$O206</f>
        <v>1.7276244542002772E-2</v>
      </c>
      <c r="K206" s="111"/>
      <c r="M206" s="111" t="str">
        <f ca="1">_xlfn.FORMULATEXT(F206)</f>
        <v>=F204*$O206</v>
      </c>
      <c r="O206" s="129">
        <v>1</v>
      </c>
      <c r="R206" s="111"/>
      <c r="S206" s="111"/>
      <c r="T206" s="111"/>
      <c r="U206" s="111"/>
      <c r="V206" s="57"/>
      <c r="W206" s="126"/>
      <c r="X206" s="126"/>
      <c r="Y206" s="126"/>
      <c r="Z206" s="126"/>
    </row>
    <row r="207" spans="1:26" s="3" customFormat="1" ht="20" x14ac:dyDescent="0.4">
      <c r="A207" s="57"/>
      <c r="D207" s="68"/>
      <c r="E207" s="68"/>
      <c r="F207" s="69"/>
      <c r="G207" s="69"/>
      <c r="H207" s="69"/>
      <c r="I207" s="69"/>
      <c r="J207" s="69"/>
      <c r="K207" s="111"/>
      <c r="M207" s="111"/>
      <c r="R207" s="111"/>
      <c r="S207" s="111"/>
      <c r="T207" s="111"/>
      <c r="U207" s="111"/>
      <c r="V207" s="57"/>
      <c r="W207" s="126"/>
      <c r="X207" s="126"/>
      <c r="Y207" s="126"/>
      <c r="Z207" s="126"/>
    </row>
    <row r="208" spans="1:26" s="3" customFormat="1" ht="20" x14ac:dyDescent="0.4">
      <c r="A208" s="57"/>
      <c r="B208" s="3" t="s">
        <v>75</v>
      </c>
      <c r="D208" s="108">
        <f>D18/D$52</f>
        <v>2.160803904971666E-2</v>
      </c>
      <c r="E208" s="108">
        <f>E18/E$52</f>
        <v>1.3187138430941077E-2</v>
      </c>
      <c r="F208" s="104">
        <f ca="1">OFFSET(F208,$D$5,0)</f>
        <v>1.3187138430941077E-2</v>
      </c>
      <c r="G208" s="104">
        <f ca="1">OFFSET(G208,$D$5,0)</f>
        <v>1.3187138430941077E-2</v>
      </c>
      <c r="H208" s="104">
        <f ca="1">OFFSET(H208,$D$5,0)</f>
        <v>1.3187138430941077E-2</v>
      </c>
      <c r="I208" s="104">
        <f ca="1">OFFSET(I208,$D$5,0)</f>
        <v>1.3187138430941077E-2</v>
      </c>
      <c r="J208" s="104">
        <f ca="1">OFFSET(J208,$D$5,0)</f>
        <v>1.3187138430941077E-2</v>
      </c>
      <c r="K208" s="111" t="str">
        <f ca="1">_xlfn.FORMULATEXT(E208)</f>
        <v>=E18/E$52</v>
      </c>
      <c r="M208" s="111" t="str">
        <f ca="1">_xlfn.FORMULATEXT(F208)</f>
        <v>=OFFSET(F208,$D$5,0)</v>
      </c>
      <c r="R208" s="111"/>
      <c r="S208" s="111"/>
      <c r="T208" s="111"/>
      <c r="U208" s="111"/>
      <c r="V208" s="57"/>
      <c r="W208" s="126"/>
      <c r="X208" s="126"/>
      <c r="Y208" s="126"/>
      <c r="Z208" s="126"/>
    </row>
    <row r="209" spans="1:26" s="3" customFormat="1" ht="20" x14ac:dyDescent="0.4">
      <c r="A209" s="57"/>
      <c r="B209" s="79" t="str">
        <f>$D$7</f>
        <v>Base</v>
      </c>
      <c r="E209" s="350">
        <f>E208</f>
        <v>1.3187138430941077E-2</v>
      </c>
      <c r="F209" s="105">
        <f>E209</f>
        <v>1.3187138430941077E-2</v>
      </c>
      <c r="G209" s="105">
        <f>F209</f>
        <v>1.3187138430941077E-2</v>
      </c>
      <c r="H209" s="105">
        <f>G209</f>
        <v>1.3187138430941077E-2</v>
      </c>
      <c r="I209" s="105">
        <f>H209</f>
        <v>1.3187138430941077E-2</v>
      </c>
      <c r="J209" s="105">
        <f>I209</f>
        <v>1.3187138430941077E-2</v>
      </c>
      <c r="K209" s="111" t="str">
        <f ca="1">_xlfn.FORMULATEXT(E209)</f>
        <v>=E208</v>
      </c>
      <c r="M209" s="111" t="str">
        <f ca="1">_xlfn.FORMULATEXT(F209)</f>
        <v>=E209</v>
      </c>
      <c r="O209" s="127" t="s">
        <v>150</v>
      </c>
      <c r="R209" s="111"/>
      <c r="S209" s="111"/>
      <c r="T209" s="111"/>
      <c r="U209" s="111"/>
      <c r="V209" s="57"/>
      <c r="W209" s="126"/>
      <c r="X209" s="126"/>
      <c r="Y209" s="126"/>
      <c r="Z209" s="126"/>
    </row>
    <row r="210" spans="1:26" s="3" customFormat="1" ht="20" x14ac:dyDescent="0.4">
      <c r="A210" s="57"/>
      <c r="B210" s="79" t="str">
        <f>$D$8</f>
        <v>Upside</v>
      </c>
      <c r="D210" s="68"/>
      <c r="E210" s="66"/>
      <c r="F210" s="130">
        <f>F209*$O210</f>
        <v>1.3187138430941077E-2</v>
      </c>
      <c r="G210" s="130">
        <f>G209*$O210</f>
        <v>1.3187138430941077E-2</v>
      </c>
      <c r="H210" s="130">
        <f>H209*$O210</f>
        <v>1.3187138430941077E-2</v>
      </c>
      <c r="I210" s="130">
        <f>I209*$O210</f>
        <v>1.3187138430941077E-2</v>
      </c>
      <c r="J210" s="130">
        <f>J209*$O210</f>
        <v>1.3187138430941077E-2</v>
      </c>
      <c r="K210" s="111"/>
      <c r="M210" s="111" t="str">
        <f ca="1">_xlfn.FORMULATEXT(F210)</f>
        <v>=F209*$O210</v>
      </c>
      <c r="O210" s="129">
        <v>1</v>
      </c>
      <c r="P210" s="3" t="s">
        <v>270</v>
      </c>
      <c r="R210" s="111"/>
      <c r="S210" s="111"/>
      <c r="T210" s="111"/>
      <c r="U210" s="111"/>
      <c r="V210" s="57"/>
      <c r="W210" s="126"/>
      <c r="X210" s="126"/>
      <c r="Y210" s="126"/>
      <c r="Z210" s="126"/>
    </row>
    <row r="211" spans="1:26" s="3" customFormat="1" ht="20" x14ac:dyDescent="0.4">
      <c r="A211" s="57"/>
      <c r="B211" s="79" t="str">
        <f>$D$9</f>
        <v>Downside</v>
      </c>
      <c r="D211" s="68"/>
      <c r="E211" s="66"/>
      <c r="F211" s="130">
        <f>F209*$O211</f>
        <v>1.3187138430941077E-2</v>
      </c>
      <c r="G211" s="130">
        <f>G209*$O211</f>
        <v>1.3187138430941077E-2</v>
      </c>
      <c r="H211" s="130">
        <f>H209*$O211</f>
        <v>1.3187138430941077E-2</v>
      </c>
      <c r="I211" s="130">
        <f>I209*$O211</f>
        <v>1.3187138430941077E-2</v>
      </c>
      <c r="J211" s="130">
        <f>J209*$O211</f>
        <v>1.3187138430941077E-2</v>
      </c>
      <c r="K211" s="111"/>
      <c r="M211" s="111" t="str">
        <f ca="1">_xlfn.FORMULATEXT(F211)</f>
        <v>=F209*$O211</v>
      </c>
      <c r="O211" s="129">
        <v>1</v>
      </c>
      <c r="R211" s="111"/>
      <c r="S211" s="111"/>
      <c r="T211" s="111"/>
      <c r="U211" s="111"/>
      <c r="V211" s="57"/>
      <c r="W211" s="126"/>
      <c r="X211" s="126"/>
      <c r="Y211" s="126"/>
      <c r="Z211" s="126"/>
    </row>
    <row r="212" spans="1:26" s="3" customFormat="1" ht="20" x14ac:dyDescent="0.4">
      <c r="A212" s="57"/>
      <c r="D212" s="23"/>
      <c r="E212" s="23"/>
      <c r="F212" s="53"/>
      <c r="G212" s="53"/>
      <c r="H212" s="53"/>
      <c r="I212" s="53"/>
      <c r="J212" s="53"/>
      <c r="K212" s="111"/>
      <c r="M212" s="111"/>
      <c r="R212" s="111"/>
      <c r="S212" s="111"/>
      <c r="T212" s="111"/>
      <c r="U212" s="111"/>
      <c r="V212" s="57"/>
      <c r="W212" s="126"/>
      <c r="X212" s="126"/>
      <c r="Y212" s="126"/>
      <c r="Z212" s="126"/>
    </row>
    <row r="213" spans="1:26" s="3" customFormat="1" ht="20" x14ac:dyDescent="0.4">
      <c r="A213" s="57"/>
      <c r="B213" s="3" t="s">
        <v>76</v>
      </c>
      <c r="D213" s="108">
        <f>D21/D$52</f>
        <v>9.3245264983326512E-2</v>
      </c>
      <c r="E213" s="108">
        <f>E21/E$52</f>
        <v>0.15202974116490017</v>
      </c>
      <c r="F213" s="104">
        <f ca="1">OFFSET(F213,$D$5,0)</f>
        <v>0.15202974116490017</v>
      </c>
      <c r="G213" s="104">
        <f ca="1">OFFSET(G213,$D$5,0)</f>
        <v>0.15202974116490017</v>
      </c>
      <c r="H213" s="104">
        <f ca="1">OFFSET(H213,$D$5,0)</f>
        <v>0.15202974116490017</v>
      </c>
      <c r="I213" s="104">
        <f ca="1">OFFSET(I213,$D$5,0)</f>
        <v>0.15202974116490017</v>
      </c>
      <c r="J213" s="104">
        <f ca="1">OFFSET(J213,$D$5,0)</f>
        <v>0.15202974116490017</v>
      </c>
      <c r="K213" s="111" t="str">
        <f ca="1">_xlfn.FORMULATEXT(E213)</f>
        <v>=E21/E$52</v>
      </c>
      <c r="M213" s="111" t="str">
        <f ca="1">_xlfn.FORMULATEXT(F213)</f>
        <v>=OFFSET(F213,$D$5,0)</v>
      </c>
      <c r="R213" s="111"/>
      <c r="S213" s="111"/>
      <c r="T213" s="111"/>
      <c r="U213" s="111"/>
      <c r="V213" s="57"/>
      <c r="W213" s="126"/>
      <c r="X213" s="126"/>
      <c r="Y213" s="126"/>
      <c r="Z213" s="126"/>
    </row>
    <row r="214" spans="1:26" s="3" customFormat="1" ht="20" x14ac:dyDescent="0.4">
      <c r="A214" s="57"/>
      <c r="B214" s="79" t="str">
        <f>$D$7</f>
        <v>Base</v>
      </c>
      <c r="E214" s="350">
        <f>E213</f>
        <v>0.15202974116490017</v>
      </c>
      <c r="F214" s="105">
        <f>E214</f>
        <v>0.15202974116490017</v>
      </c>
      <c r="G214" s="105">
        <f>F214</f>
        <v>0.15202974116490017</v>
      </c>
      <c r="H214" s="105">
        <f>G214</f>
        <v>0.15202974116490017</v>
      </c>
      <c r="I214" s="105">
        <f>H214</f>
        <v>0.15202974116490017</v>
      </c>
      <c r="J214" s="105">
        <f>I214</f>
        <v>0.15202974116490017</v>
      </c>
      <c r="K214" s="111" t="str">
        <f ca="1">_xlfn.FORMULATEXT(E214)</f>
        <v>=E213</v>
      </c>
      <c r="M214" s="111" t="str">
        <f ca="1">_xlfn.FORMULATEXT(F214)</f>
        <v>=E214</v>
      </c>
      <c r="O214" s="127" t="s">
        <v>150</v>
      </c>
      <c r="R214" s="111"/>
      <c r="S214" s="111"/>
      <c r="T214" s="111"/>
      <c r="U214" s="111"/>
      <c r="V214" s="57"/>
      <c r="W214" s="126"/>
      <c r="X214" s="126"/>
      <c r="Y214" s="126"/>
      <c r="Z214" s="126"/>
    </row>
    <row r="215" spans="1:26" s="3" customFormat="1" ht="20" x14ac:dyDescent="0.4">
      <c r="A215" s="57"/>
      <c r="B215" s="79" t="str">
        <f>$D$8</f>
        <v>Upside</v>
      </c>
      <c r="E215" s="66"/>
      <c r="F215" s="130">
        <f>F214*$O215</f>
        <v>0.15202974116490017</v>
      </c>
      <c r="G215" s="130">
        <f>G214*$O215</f>
        <v>0.15202974116490017</v>
      </c>
      <c r="H215" s="130">
        <f>H214*$O215</f>
        <v>0.15202974116490017</v>
      </c>
      <c r="I215" s="130">
        <f>I214*$O215</f>
        <v>0.15202974116490017</v>
      </c>
      <c r="J215" s="130">
        <f>J214*$O215</f>
        <v>0.15202974116490017</v>
      </c>
      <c r="K215" s="111"/>
      <c r="M215" s="111" t="str">
        <f ca="1">_xlfn.FORMULATEXT(F215)</f>
        <v>=F214*$O215</v>
      </c>
      <c r="O215" s="129">
        <v>1</v>
      </c>
      <c r="P215" s="3" t="s">
        <v>271</v>
      </c>
      <c r="R215" s="111"/>
      <c r="S215" s="111"/>
      <c r="T215" s="111"/>
      <c r="U215" s="111"/>
      <c r="V215" s="57"/>
      <c r="W215" s="126"/>
      <c r="X215" s="126"/>
      <c r="Y215" s="126"/>
      <c r="Z215" s="126"/>
    </row>
    <row r="216" spans="1:26" s="3" customFormat="1" ht="20" x14ac:dyDescent="0.4">
      <c r="A216" s="57"/>
      <c r="B216" s="79" t="str">
        <f>$D$9</f>
        <v>Downside</v>
      </c>
      <c r="E216" s="66"/>
      <c r="F216" s="130">
        <f>F214*$O216</f>
        <v>0.15202974116490017</v>
      </c>
      <c r="G216" s="130">
        <f>G214*$O216</f>
        <v>0.15202974116490017</v>
      </c>
      <c r="H216" s="130">
        <f>H214*$O216</f>
        <v>0.15202974116490017</v>
      </c>
      <c r="I216" s="130">
        <f>I214*$O216</f>
        <v>0.15202974116490017</v>
      </c>
      <c r="J216" s="130">
        <f>J214*$O216</f>
        <v>0.15202974116490017</v>
      </c>
      <c r="K216" s="111"/>
      <c r="M216" s="111" t="str">
        <f ca="1">_xlfn.FORMULATEXT(F216)</f>
        <v>=F214*$O216</v>
      </c>
      <c r="O216" s="129">
        <v>1</v>
      </c>
      <c r="P216" s="3" t="s">
        <v>272</v>
      </c>
      <c r="R216" s="111"/>
      <c r="S216" s="111"/>
      <c r="T216" s="111"/>
      <c r="U216" s="111"/>
      <c r="V216" s="57"/>
      <c r="W216" s="126"/>
      <c r="X216" s="126"/>
      <c r="Y216" s="126"/>
      <c r="Z216" s="126"/>
    </row>
    <row r="217" spans="1:26" s="3" customFormat="1" ht="20" x14ac:dyDescent="0.4">
      <c r="A217" s="57"/>
      <c r="D217" s="68"/>
      <c r="E217" s="68"/>
      <c r="F217" s="69"/>
      <c r="G217" s="69"/>
      <c r="H217" s="69"/>
      <c r="I217" s="69"/>
      <c r="J217" s="69"/>
      <c r="K217" s="111"/>
      <c r="M217" s="111"/>
      <c r="R217" s="111"/>
      <c r="S217" s="111"/>
      <c r="T217" s="111"/>
      <c r="U217" s="111"/>
      <c r="V217" s="57"/>
      <c r="W217" s="126"/>
      <c r="X217" s="126"/>
      <c r="Y217" s="126"/>
      <c r="Z217" s="126"/>
    </row>
    <row r="218" spans="1:26" s="3" customFormat="1" ht="20" x14ac:dyDescent="0.4">
      <c r="A218" s="57"/>
      <c r="B218" s="3" t="s">
        <v>77</v>
      </c>
      <c r="D218" s="108">
        <f>D22/D$52</f>
        <v>8.1594865610322576E-3</v>
      </c>
      <c r="E218" s="108">
        <f>E22/E$52</f>
        <v>5.8882669635250337E-3</v>
      </c>
      <c r="F218" s="104">
        <f ca="1">OFFSET(F218,$D$5,0)</f>
        <v>5.8882669635250337E-3</v>
      </c>
      <c r="G218" s="104">
        <f ca="1">OFFSET(G218,$D$5,0)</f>
        <v>5.8882669635250337E-3</v>
      </c>
      <c r="H218" s="104">
        <f ca="1">OFFSET(H218,$D$5,0)</f>
        <v>5.8882669635250337E-3</v>
      </c>
      <c r="I218" s="104">
        <f ca="1">OFFSET(I218,$D$5,0)</f>
        <v>5.8882669635250337E-3</v>
      </c>
      <c r="J218" s="104">
        <f ca="1">OFFSET(J218,$D$5,0)</f>
        <v>5.8882669635250337E-3</v>
      </c>
      <c r="K218" s="111" t="str">
        <f ca="1">_xlfn.FORMULATEXT(E218)</f>
        <v>=E22/E$52</v>
      </c>
      <c r="M218" s="111" t="str">
        <f ca="1">_xlfn.FORMULATEXT(F218)</f>
        <v>=OFFSET(F218,$D$5,0)</v>
      </c>
      <c r="R218" s="111"/>
      <c r="S218" s="111"/>
      <c r="T218" s="111"/>
      <c r="U218" s="111"/>
      <c r="V218" s="57"/>
      <c r="W218" s="126"/>
      <c r="X218" s="126"/>
      <c r="Y218" s="126"/>
      <c r="Z218" s="126"/>
    </row>
    <row r="219" spans="1:26" s="3" customFormat="1" ht="20" x14ac:dyDescent="0.4">
      <c r="A219" s="57"/>
      <c r="B219" s="79" t="str">
        <f>$D$7</f>
        <v>Base</v>
      </c>
      <c r="E219" s="350">
        <f>E218</f>
        <v>5.8882669635250337E-3</v>
      </c>
      <c r="F219" s="105">
        <f>E219</f>
        <v>5.8882669635250337E-3</v>
      </c>
      <c r="G219" s="105">
        <f>F219</f>
        <v>5.8882669635250337E-3</v>
      </c>
      <c r="H219" s="105">
        <f>G219</f>
        <v>5.8882669635250337E-3</v>
      </c>
      <c r="I219" s="105">
        <f>H219</f>
        <v>5.8882669635250337E-3</v>
      </c>
      <c r="J219" s="105">
        <f>I219</f>
        <v>5.8882669635250337E-3</v>
      </c>
      <c r="K219" s="111" t="str">
        <f ca="1">_xlfn.FORMULATEXT(E219)</f>
        <v>=E218</v>
      </c>
      <c r="M219" s="111" t="str">
        <f ca="1">_xlfn.FORMULATEXT(F219)</f>
        <v>=E219</v>
      </c>
      <c r="O219" s="127" t="s">
        <v>150</v>
      </c>
      <c r="R219" s="111"/>
      <c r="S219" s="111"/>
      <c r="T219" s="111"/>
      <c r="U219" s="111"/>
      <c r="V219" s="57"/>
      <c r="W219" s="126"/>
      <c r="X219" s="126"/>
      <c r="Y219" s="126"/>
      <c r="Z219" s="126"/>
    </row>
    <row r="220" spans="1:26" s="3" customFormat="1" ht="20" x14ac:dyDescent="0.4">
      <c r="A220" s="57"/>
      <c r="B220" s="79" t="str">
        <f>$D$8</f>
        <v>Upside</v>
      </c>
      <c r="D220" s="68"/>
      <c r="E220" s="66"/>
      <c r="F220" s="130">
        <f>F219*$O220</f>
        <v>5.8882669635250337E-3</v>
      </c>
      <c r="G220" s="130">
        <f>G219*$O220</f>
        <v>5.8882669635250337E-3</v>
      </c>
      <c r="H220" s="130">
        <f>H219*$O220</f>
        <v>5.8882669635250337E-3</v>
      </c>
      <c r="I220" s="130">
        <f>I219*$O220</f>
        <v>5.8882669635250337E-3</v>
      </c>
      <c r="J220" s="130">
        <f>J219*$O220</f>
        <v>5.8882669635250337E-3</v>
      </c>
      <c r="K220" s="111"/>
      <c r="M220" s="111" t="str">
        <f ca="1">_xlfn.FORMULATEXT(F220)</f>
        <v>=F219*$O220</v>
      </c>
      <c r="O220" s="129">
        <v>1</v>
      </c>
      <c r="P220" s="3" t="s">
        <v>270</v>
      </c>
      <c r="R220" s="111"/>
      <c r="S220" s="111"/>
      <c r="T220" s="111"/>
      <c r="U220" s="111"/>
      <c r="V220" s="57"/>
      <c r="W220" s="126"/>
      <c r="X220" s="126"/>
      <c r="Y220" s="126"/>
      <c r="Z220" s="126"/>
    </row>
    <row r="221" spans="1:26" s="3" customFormat="1" ht="20" x14ac:dyDescent="0.4">
      <c r="A221" s="57"/>
      <c r="B221" s="79" t="str">
        <f>$D$9</f>
        <v>Downside</v>
      </c>
      <c r="D221" s="68"/>
      <c r="E221" s="66"/>
      <c r="F221" s="130">
        <f>F219*$O221</f>
        <v>5.8882669635250337E-3</v>
      </c>
      <c r="G221" s="130">
        <f>G219*$O221</f>
        <v>5.8882669635250337E-3</v>
      </c>
      <c r="H221" s="130">
        <f>H219*$O221</f>
        <v>5.8882669635250337E-3</v>
      </c>
      <c r="I221" s="130">
        <f>I219*$O221</f>
        <v>5.8882669635250337E-3</v>
      </c>
      <c r="J221" s="130">
        <f>J219*$O221</f>
        <v>5.8882669635250337E-3</v>
      </c>
      <c r="K221" s="111"/>
      <c r="M221" s="111" t="str">
        <f ca="1">_xlfn.FORMULATEXT(F221)</f>
        <v>=F219*$O221</v>
      </c>
      <c r="O221" s="129">
        <v>1</v>
      </c>
      <c r="R221" s="111"/>
      <c r="S221" s="111"/>
      <c r="T221" s="111"/>
      <c r="U221" s="111"/>
      <c r="V221" s="57"/>
      <c r="W221" s="126"/>
      <c r="X221" s="126"/>
      <c r="Y221" s="126"/>
      <c r="Z221" s="126"/>
    </row>
    <row r="222" spans="1:26" s="3" customFormat="1" ht="20" x14ac:dyDescent="0.4">
      <c r="A222" s="57"/>
      <c r="D222" s="68"/>
      <c r="E222" s="68"/>
      <c r="F222" s="69"/>
      <c r="G222" s="69"/>
      <c r="H222" s="69"/>
      <c r="I222" s="69"/>
      <c r="J222" s="69"/>
      <c r="K222" s="111"/>
      <c r="M222" s="111"/>
      <c r="R222" s="111"/>
      <c r="S222" s="111"/>
      <c r="T222" s="111"/>
      <c r="U222" s="111"/>
      <c r="V222" s="57"/>
      <c r="W222" s="126"/>
      <c r="X222" s="126"/>
      <c r="Y222" s="126"/>
      <c r="Z222" s="126"/>
    </row>
    <row r="223" spans="1:26" s="3" customFormat="1" ht="20" x14ac:dyDescent="0.4">
      <c r="A223" s="57"/>
      <c r="B223" s="3" t="s">
        <v>78</v>
      </c>
      <c r="D223" s="108">
        <f>D23/D$52</f>
        <v>4.676707827270711E-2</v>
      </c>
      <c r="E223" s="108">
        <f>E23/E$52</f>
        <v>4.8092362053495499E-2</v>
      </c>
      <c r="F223" s="104">
        <f>E223</f>
        <v>4.8092362053495499E-2</v>
      </c>
      <c r="G223" s="104">
        <f t="shared" ref="G223:J223" si="221">F223</f>
        <v>4.8092362053495499E-2</v>
      </c>
      <c r="H223" s="104">
        <f t="shared" si="221"/>
        <v>4.8092362053495499E-2</v>
      </c>
      <c r="I223" s="104">
        <f t="shared" si="221"/>
        <v>4.8092362053495499E-2</v>
      </c>
      <c r="J223" s="104">
        <f t="shared" si="221"/>
        <v>4.8092362053495499E-2</v>
      </c>
      <c r="K223" s="111" t="str">
        <f ca="1">_xlfn.FORMULATEXT(E223)</f>
        <v>=E23/E$52</v>
      </c>
      <c r="M223" s="111" t="str">
        <f ca="1">_xlfn.FORMULATEXT(F223)</f>
        <v>=E223</v>
      </c>
      <c r="P223" s="3" t="s">
        <v>273</v>
      </c>
      <c r="R223" s="111"/>
      <c r="S223" s="111"/>
      <c r="T223" s="111"/>
      <c r="U223" s="111"/>
      <c r="V223" s="57"/>
      <c r="W223" s="126"/>
      <c r="X223" s="126"/>
      <c r="Y223" s="126"/>
      <c r="Z223" s="126"/>
    </row>
    <row r="224" spans="1:26" s="3" customFormat="1" ht="20" x14ac:dyDescent="0.4">
      <c r="A224" s="57"/>
      <c r="D224" s="67"/>
      <c r="E224" s="67"/>
      <c r="F224" s="69"/>
      <c r="G224" s="69"/>
      <c r="H224" s="69"/>
      <c r="I224" s="69"/>
      <c r="J224" s="69"/>
      <c r="K224" s="111"/>
      <c r="M224" s="111"/>
      <c r="R224" s="111"/>
      <c r="S224" s="111"/>
      <c r="T224" s="111"/>
      <c r="U224" s="111"/>
      <c r="V224" s="57"/>
      <c r="W224" s="126"/>
      <c r="X224" s="126"/>
      <c r="Y224" s="126"/>
      <c r="Z224" s="126"/>
    </row>
    <row r="225" spans="1:26" s="3" customFormat="1" ht="20" x14ac:dyDescent="0.4">
      <c r="A225" s="57"/>
      <c r="B225" s="3" t="s">
        <v>79</v>
      </c>
      <c r="D225" s="108">
        <f>D24/D$52</f>
        <v>4.3910557882440209E-3</v>
      </c>
      <c r="E225" s="108">
        <f>E24/E$52</f>
        <v>6.0889376586415961E-3</v>
      </c>
      <c r="F225" s="104">
        <f ca="1">OFFSET(F225,$D$5,0)</f>
        <v>6.0889376586415961E-3</v>
      </c>
      <c r="G225" s="104">
        <f ca="1">OFFSET(G225,$D$5,0)</f>
        <v>6.0889376586415961E-3</v>
      </c>
      <c r="H225" s="104">
        <f ca="1">OFFSET(H225,$D$5,0)</f>
        <v>6.0889376586415961E-3</v>
      </c>
      <c r="I225" s="104">
        <f ca="1">OFFSET(I225,$D$5,0)</f>
        <v>6.0889376586415961E-3</v>
      </c>
      <c r="J225" s="104">
        <f ca="1">OFFSET(J225,$D$5,0)</f>
        <v>6.0889376586415961E-3</v>
      </c>
      <c r="K225" s="111" t="str">
        <f ca="1">_xlfn.FORMULATEXT(E225)</f>
        <v>=E24/E$52</v>
      </c>
      <c r="M225" s="111" t="str">
        <f ca="1">_xlfn.FORMULATEXT(F225)</f>
        <v>=OFFSET(F225,$D$5,0)</v>
      </c>
      <c r="R225" s="111"/>
      <c r="S225" s="111"/>
      <c r="T225" s="111"/>
      <c r="U225" s="111"/>
      <c r="V225" s="57"/>
      <c r="W225" s="126"/>
      <c r="X225" s="126"/>
      <c r="Y225" s="126"/>
      <c r="Z225" s="126"/>
    </row>
    <row r="226" spans="1:26" s="3" customFormat="1" ht="20" x14ac:dyDescent="0.4">
      <c r="A226" s="57"/>
      <c r="B226" s="79" t="str">
        <f>$D$7</f>
        <v>Base</v>
      </c>
      <c r="D226" s="82"/>
      <c r="E226" s="350">
        <f>E225</f>
        <v>6.0889376586415961E-3</v>
      </c>
      <c r="F226" s="105">
        <f>E226</f>
        <v>6.0889376586415961E-3</v>
      </c>
      <c r="G226" s="105">
        <f>F226</f>
        <v>6.0889376586415961E-3</v>
      </c>
      <c r="H226" s="105">
        <f>G226</f>
        <v>6.0889376586415961E-3</v>
      </c>
      <c r="I226" s="105">
        <f>H226</f>
        <v>6.0889376586415961E-3</v>
      </c>
      <c r="J226" s="105">
        <f>I226</f>
        <v>6.0889376586415961E-3</v>
      </c>
      <c r="K226" s="111" t="str">
        <f ca="1">_xlfn.FORMULATEXT(E226)</f>
        <v>=E225</v>
      </c>
      <c r="M226" s="111" t="str">
        <f ca="1">_xlfn.FORMULATEXT(F226)</f>
        <v>=E226</v>
      </c>
      <c r="O226" s="127" t="s">
        <v>150</v>
      </c>
      <c r="R226" s="111"/>
      <c r="S226" s="111"/>
      <c r="T226" s="111"/>
      <c r="U226" s="111"/>
      <c r="V226" s="57"/>
      <c r="W226" s="126"/>
      <c r="X226" s="126"/>
      <c r="Y226" s="126"/>
      <c r="Z226" s="126"/>
    </row>
    <row r="227" spans="1:26" s="3" customFormat="1" ht="20" x14ac:dyDescent="0.4">
      <c r="A227" s="57"/>
      <c r="B227" s="79" t="str">
        <f>$D$8</f>
        <v>Upside</v>
      </c>
      <c r="D227" s="52"/>
      <c r="E227" s="66"/>
      <c r="F227" s="130">
        <f>F226*$O227</f>
        <v>6.0889376586415961E-3</v>
      </c>
      <c r="G227" s="130">
        <f>G226*$O227</f>
        <v>6.0889376586415961E-3</v>
      </c>
      <c r="H227" s="130">
        <f>H226*$O227</f>
        <v>6.0889376586415961E-3</v>
      </c>
      <c r="I227" s="130">
        <f>I226*$O227</f>
        <v>6.0889376586415961E-3</v>
      </c>
      <c r="J227" s="130">
        <f>J226*$O227</f>
        <v>6.0889376586415961E-3</v>
      </c>
      <c r="K227" s="111"/>
      <c r="M227" s="111" t="str">
        <f ca="1">_xlfn.FORMULATEXT(F227)</f>
        <v>=F226*$O227</v>
      </c>
      <c r="O227" s="129">
        <v>1</v>
      </c>
      <c r="P227" s="3" t="s">
        <v>270</v>
      </c>
      <c r="R227" s="111"/>
      <c r="S227" s="111"/>
      <c r="T227" s="111"/>
      <c r="U227" s="111"/>
      <c r="V227" s="57"/>
      <c r="W227" s="126"/>
      <c r="X227" s="126"/>
      <c r="Y227" s="126"/>
      <c r="Z227" s="126"/>
    </row>
    <row r="228" spans="1:26" s="3" customFormat="1" ht="20" x14ac:dyDescent="0.4">
      <c r="A228" s="57"/>
      <c r="B228" s="79" t="str">
        <f>$D$9</f>
        <v>Downside</v>
      </c>
      <c r="D228" s="52"/>
      <c r="E228" s="66"/>
      <c r="F228" s="130">
        <f>F226*$O228</f>
        <v>6.0889376586415961E-3</v>
      </c>
      <c r="G228" s="130">
        <f>G226*$O228</f>
        <v>6.0889376586415961E-3</v>
      </c>
      <c r="H228" s="130">
        <f>H226*$O228</f>
        <v>6.0889376586415961E-3</v>
      </c>
      <c r="I228" s="130">
        <f>I226*$O228</f>
        <v>6.0889376586415961E-3</v>
      </c>
      <c r="J228" s="130">
        <f>J226*$O228</f>
        <v>6.0889376586415961E-3</v>
      </c>
      <c r="K228" s="111"/>
      <c r="M228" s="111" t="str">
        <f ca="1">_xlfn.FORMULATEXT(F228)</f>
        <v>=F226*$O228</v>
      </c>
      <c r="O228" s="129">
        <v>1</v>
      </c>
      <c r="R228" s="111"/>
      <c r="S228" s="111"/>
      <c r="T228" s="111"/>
      <c r="U228" s="111"/>
      <c r="V228" s="57"/>
      <c r="W228" s="126"/>
      <c r="X228" s="126"/>
      <c r="Y228" s="126"/>
      <c r="Z228" s="126"/>
    </row>
    <row r="229" spans="1:26" s="3" customFormat="1" ht="20" x14ac:dyDescent="0.4">
      <c r="A229" s="57"/>
      <c r="K229" s="111"/>
      <c r="M229" s="111"/>
      <c r="R229" s="111"/>
      <c r="S229" s="111"/>
      <c r="T229" s="111"/>
      <c r="U229" s="111"/>
      <c r="V229" s="57"/>
      <c r="W229" s="126"/>
      <c r="X229" s="126"/>
      <c r="Y229" s="126"/>
      <c r="Z229" s="126"/>
    </row>
    <row r="230" spans="1:26" s="3" customFormat="1" ht="24" x14ac:dyDescent="0.8">
      <c r="A230" s="57"/>
      <c r="D230" s="8" t="str">
        <f>D$11</f>
        <v>Historical</v>
      </c>
      <c r="E230" s="8"/>
      <c r="F230" s="8" t="str">
        <f>F$11</f>
        <v>Forecast</v>
      </c>
      <c r="G230" s="8"/>
      <c r="H230" s="8"/>
      <c r="I230" s="8"/>
      <c r="J230" s="8"/>
      <c r="K230" s="111"/>
      <c r="M230" s="111"/>
      <c r="O230" s="9"/>
      <c r="P230" s="9"/>
      <c r="R230" s="111"/>
      <c r="S230" s="111"/>
      <c r="T230" s="111"/>
      <c r="U230" s="111"/>
      <c r="V230" s="57"/>
      <c r="W230" s="126"/>
      <c r="X230" s="126"/>
      <c r="Y230" s="126"/>
      <c r="Z230" s="126"/>
    </row>
    <row r="231" spans="1:26" s="3" customFormat="1" ht="22" thickBot="1" x14ac:dyDescent="0.6">
      <c r="A231" s="57"/>
      <c r="B231" s="13" t="s">
        <v>19</v>
      </c>
      <c r="C231" s="13"/>
      <c r="D231" s="72">
        <f t="shared" ref="D231:J231" si="222">D$12</f>
        <v>2019</v>
      </c>
      <c r="E231" s="72">
        <f t="shared" si="222"/>
        <v>2020</v>
      </c>
      <c r="F231" s="72">
        <f t="shared" si="222"/>
        <v>2021</v>
      </c>
      <c r="G231" s="72">
        <f t="shared" si="222"/>
        <v>2022</v>
      </c>
      <c r="H231" s="72">
        <f t="shared" si="222"/>
        <v>2023</v>
      </c>
      <c r="I231" s="72">
        <f t="shared" si="222"/>
        <v>2024</v>
      </c>
      <c r="J231" s="72">
        <f t="shared" si="222"/>
        <v>2025</v>
      </c>
      <c r="K231" s="111"/>
      <c r="M231" s="111"/>
      <c r="O231" s="9"/>
      <c r="P231" s="9"/>
      <c r="R231" s="111"/>
      <c r="S231" s="111"/>
      <c r="T231" s="111"/>
      <c r="U231" s="111"/>
      <c r="V231" s="57"/>
      <c r="W231" s="126"/>
      <c r="X231" s="126"/>
      <c r="Y231" s="126"/>
      <c r="Z231" s="126"/>
    </row>
    <row r="232" spans="1:26" s="3" customFormat="1" ht="20" x14ac:dyDescent="0.4">
      <c r="A232" s="57"/>
      <c r="B232" s="3" t="s">
        <v>80</v>
      </c>
      <c r="D232" s="108">
        <f>D31/D$52</f>
        <v>6.2586832266077308E-2</v>
      </c>
      <c r="E232" s="108">
        <f>E31/E$52</f>
        <v>6.1810141387627533E-2</v>
      </c>
      <c r="F232" s="104">
        <f ca="1">OFFSET(F232,$D$5,0)</f>
        <v>6.1810141387627533E-2</v>
      </c>
      <c r="G232" s="104">
        <f ca="1">OFFSET(G232,$D$5,0)</f>
        <v>6.1810141387627533E-2</v>
      </c>
      <c r="H232" s="104">
        <f ca="1">OFFSET(H232,$D$5,0)</f>
        <v>6.1810141387627533E-2</v>
      </c>
      <c r="I232" s="104">
        <f ca="1">OFFSET(I232,$D$5,0)</f>
        <v>6.1810141387627533E-2</v>
      </c>
      <c r="J232" s="104">
        <f ca="1">OFFSET(J232,$D$5,0)</f>
        <v>6.1810141387627533E-2</v>
      </c>
      <c r="K232" s="111" t="str">
        <f ca="1">_xlfn.FORMULATEXT(E232)</f>
        <v>=E31/E$52</v>
      </c>
      <c r="M232" s="111" t="str">
        <f t="shared" ref="M232:M240" ca="1" si="223">_xlfn.FORMULATEXT(F232)</f>
        <v>=OFFSET(F232,$D$5,0)</v>
      </c>
      <c r="O232" s="56"/>
      <c r="P232" s="56"/>
      <c r="R232" s="111"/>
      <c r="S232" s="111"/>
      <c r="T232" s="111"/>
      <c r="U232" s="111"/>
      <c r="V232" s="57"/>
      <c r="W232" s="126"/>
      <c r="X232" s="126"/>
      <c r="Y232" s="126"/>
      <c r="Z232" s="126"/>
    </row>
    <row r="233" spans="1:26" s="3" customFormat="1" ht="20" x14ac:dyDescent="0.4">
      <c r="A233" s="57"/>
      <c r="B233" s="79" t="str">
        <f>$D$7</f>
        <v>Base</v>
      </c>
      <c r="E233" s="350">
        <f>E232</f>
        <v>6.1810141387627533E-2</v>
      </c>
      <c r="F233" s="105">
        <f>E233</f>
        <v>6.1810141387627533E-2</v>
      </c>
      <c r="G233" s="105">
        <f>F233</f>
        <v>6.1810141387627533E-2</v>
      </c>
      <c r="H233" s="105">
        <f>G233</f>
        <v>6.1810141387627533E-2</v>
      </c>
      <c r="I233" s="105">
        <f>H233</f>
        <v>6.1810141387627533E-2</v>
      </c>
      <c r="J233" s="105">
        <f>I233</f>
        <v>6.1810141387627533E-2</v>
      </c>
      <c r="K233" s="111" t="str">
        <f ca="1">_xlfn.FORMULATEXT(E233)</f>
        <v>=E232</v>
      </c>
      <c r="M233" s="111" t="str">
        <f t="shared" ca="1" si="223"/>
        <v>=E233</v>
      </c>
      <c r="O233" s="127" t="s">
        <v>150</v>
      </c>
      <c r="P233" s="56"/>
      <c r="R233" s="111"/>
      <c r="S233" s="111"/>
      <c r="T233" s="111"/>
      <c r="U233" s="111"/>
      <c r="V233" s="57"/>
      <c r="W233" s="126"/>
      <c r="X233" s="126"/>
      <c r="Y233" s="126"/>
      <c r="Z233" s="126"/>
    </row>
    <row r="234" spans="1:26" s="3" customFormat="1" ht="20" x14ac:dyDescent="0.4">
      <c r="A234" s="57"/>
      <c r="B234" s="79" t="str">
        <f>$D$8</f>
        <v>Upside</v>
      </c>
      <c r="D234" s="68"/>
      <c r="E234" s="66"/>
      <c r="F234" s="130">
        <f>F233*$O234</f>
        <v>8.653419794267854E-2</v>
      </c>
      <c r="G234" s="130">
        <f>G233*$O234</f>
        <v>8.653419794267854E-2</v>
      </c>
      <c r="H234" s="130">
        <f>H233*$O234</f>
        <v>8.653419794267854E-2</v>
      </c>
      <c r="I234" s="130">
        <f>I233*$O234</f>
        <v>8.653419794267854E-2</v>
      </c>
      <c r="J234" s="130">
        <f>J233*$O234</f>
        <v>8.653419794267854E-2</v>
      </c>
      <c r="K234" s="111"/>
      <c r="M234" s="111" t="str">
        <f t="shared" ca="1" si="223"/>
        <v>=F233*$O234</v>
      </c>
      <c r="O234" s="129">
        <v>1.4</v>
      </c>
      <c r="P234" s="3" t="s">
        <v>274</v>
      </c>
      <c r="R234" s="111"/>
      <c r="S234" s="111"/>
      <c r="T234" s="111"/>
      <c r="U234" s="111"/>
      <c r="V234" s="57"/>
      <c r="W234" s="126"/>
      <c r="X234" s="126"/>
      <c r="Y234" s="126"/>
      <c r="Z234" s="126"/>
    </row>
    <row r="235" spans="1:26" s="3" customFormat="1" ht="20" x14ac:dyDescent="0.4">
      <c r="A235" s="57"/>
      <c r="B235" s="79" t="str">
        <f>$D$9</f>
        <v>Downside</v>
      </c>
      <c r="D235" s="68"/>
      <c r="E235" s="66"/>
      <c r="F235" s="130">
        <f>F233*$O235</f>
        <v>3.0905070693813767E-2</v>
      </c>
      <c r="G235" s="130">
        <f>G233*$O235</f>
        <v>3.0905070693813767E-2</v>
      </c>
      <c r="H235" s="130">
        <f>H233*$O235</f>
        <v>3.0905070693813767E-2</v>
      </c>
      <c r="I235" s="130">
        <f>I233*$O235</f>
        <v>3.0905070693813767E-2</v>
      </c>
      <c r="J235" s="130">
        <f>J233*$O235</f>
        <v>3.0905070693813767E-2</v>
      </c>
      <c r="K235" s="111"/>
      <c r="M235" s="111" t="str">
        <f t="shared" ca="1" si="223"/>
        <v>=F233*$O235</v>
      </c>
      <c r="O235" s="129">
        <v>0.5</v>
      </c>
      <c r="P235" s="3" t="s">
        <v>275</v>
      </c>
      <c r="R235" s="111"/>
      <c r="S235" s="111"/>
      <c r="T235" s="111"/>
      <c r="U235" s="111"/>
      <c r="V235" s="57"/>
      <c r="W235" s="126"/>
      <c r="X235" s="126"/>
      <c r="Y235" s="126"/>
      <c r="Z235" s="126"/>
    </row>
    <row r="236" spans="1:26" s="3" customFormat="1" ht="20" x14ac:dyDescent="0.4">
      <c r="A236" s="57"/>
      <c r="D236" s="68"/>
      <c r="E236" s="68"/>
      <c r="F236" s="69"/>
      <c r="G236" s="69"/>
      <c r="H236" s="69"/>
      <c r="I236" s="69"/>
      <c r="J236" s="69"/>
      <c r="K236" s="111"/>
      <c r="M236" s="111" t="e">
        <f t="shared" ca="1" si="223"/>
        <v>#N/A</v>
      </c>
      <c r="O236" s="56"/>
      <c r="P236" s="56"/>
      <c r="R236" s="111"/>
      <c r="S236" s="111"/>
      <c r="T236" s="111"/>
      <c r="U236" s="111"/>
      <c r="V236" s="57"/>
      <c r="W236" s="126"/>
      <c r="X236" s="126"/>
      <c r="Y236" s="126"/>
      <c r="Z236" s="126"/>
    </row>
    <row r="237" spans="1:26" s="3" customFormat="1" ht="20" x14ac:dyDescent="0.4">
      <c r="A237" s="57"/>
      <c r="B237" s="3" t="s">
        <v>81</v>
      </c>
      <c r="D237" s="108">
        <f>D32/D$52</f>
        <v>5.346670181133494E-3</v>
      </c>
      <c r="E237" s="108">
        <f>E32/E$52</f>
        <v>5.41574590153118E-3</v>
      </c>
      <c r="F237" s="104">
        <f ca="1">OFFSET(F237,$D$5,0)</f>
        <v>5.41574590153118E-3</v>
      </c>
      <c r="G237" s="104">
        <f ca="1">OFFSET(G237,$D$5,0)</f>
        <v>5.41574590153118E-3</v>
      </c>
      <c r="H237" s="104">
        <f ca="1">OFFSET(H237,$D$5,0)</f>
        <v>5.41574590153118E-3</v>
      </c>
      <c r="I237" s="104">
        <f ca="1">OFFSET(I237,$D$5,0)</f>
        <v>5.41574590153118E-3</v>
      </c>
      <c r="J237" s="104">
        <f ca="1">OFFSET(J237,$D$5,0)</f>
        <v>5.41574590153118E-3</v>
      </c>
      <c r="K237" s="111" t="str">
        <f ca="1">_xlfn.FORMULATEXT(E237)</f>
        <v>=E32/E$52</v>
      </c>
      <c r="M237" s="111" t="str">
        <f t="shared" ca="1" si="223"/>
        <v>=OFFSET(F237,$D$5,0)</v>
      </c>
      <c r="O237" s="56"/>
      <c r="P237" s="56"/>
      <c r="R237" s="111"/>
      <c r="S237" s="111"/>
      <c r="T237" s="111"/>
      <c r="U237" s="111"/>
      <c r="V237" s="57"/>
      <c r="W237" s="126"/>
      <c r="X237" s="126"/>
      <c r="Y237" s="126"/>
      <c r="Z237" s="126"/>
    </row>
    <row r="238" spans="1:26" s="3" customFormat="1" ht="20" x14ac:dyDescent="0.4">
      <c r="A238" s="57"/>
      <c r="B238" s="79" t="str">
        <f>$D$7</f>
        <v>Base</v>
      </c>
      <c r="E238" s="350">
        <f>E237</f>
        <v>5.41574590153118E-3</v>
      </c>
      <c r="F238" s="105">
        <f>E238</f>
        <v>5.41574590153118E-3</v>
      </c>
      <c r="G238" s="105">
        <f>F238</f>
        <v>5.41574590153118E-3</v>
      </c>
      <c r="H238" s="105">
        <f>G238</f>
        <v>5.41574590153118E-3</v>
      </c>
      <c r="I238" s="105">
        <f>H238</f>
        <v>5.41574590153118E-3</v>
      </c>
      <c r="J238" s="105">
        <f>I238</f>
        <v>5.41574590153118E-3</v>
      </c>
      <c r="K238" s="111" t="str">
        <f ca="1">_xlfn.FORMULATEXT(E238)</f>
        <v>=E237</v>
      </c>
      <c r="M238" s="111" t="str">
        <f t="shared" ca="1" si="223"/>
        <v>=E238</v>
      </c>
      <c r="O238" s="127" t="s">
        <v>150</v>
      </c>
      <c r="P238" s="56"/>
      <c r="R238" s="111"/>
      <c r="S238" s="111"/>
      <c r="T238" s="111"/>
      <c r="U238" s="111"/>
      <c r="V238" s="57"/>
      <c r="W238" s="126"/>
      <c r="X238" s="126"/>
      <c r="Y238" s="126"/>
      <c r="Z238" s="126"/>
    </row>
    <row r="239" spans="1:26" s="3" customFormat="1" ht="20" x14ac:dyDescent="0.4">
      <c r="A239" s="57"/>
      <c r="B239" s="79" t="str">
        <f>$D$8</f>
        <v>Upside</v>
      </c>
      <c r="D239" s="68"/>
      <c r="E239" s="66"/>
      <c r="F239" s="130">
        <f>F238*$O239</f>
        <v>5.41574590153118E-3</v>
      </c>
      <c r="G239" s="130">
        <f>G238*$O239</f>
        <v>5.41574590153118E-3</v>
      </c>
      <c r="H239" s="130">
        <f>H238*$O239</f>
        <v>5.41574590153118E-3</v>
      </c>
      <c r="I239" s="130">
        <f>I238*$O239</f>
        <v>5.41574590153118E-3</v>
      </c>
      <c r="J239" s="130">
        <f>J238*$O239</f>
        <v>5.41574590153118E-3</v>
      </c>
      <c r="K239" s="111"/>
      <c r="M239" s="111" t="str">
        <f t="shared" ca="1" si="223"/>
        <v>=F238*$O239</v>
      </c>
      <c r="O239" s="129">
        <v>1</v>
      </c>
      <c r="P239" s="3" t="s">
        <v>270</v>
      </c>
      <c r="R239" s="111"/>
      <c r="S239" s="111"/>
      <c r="T239" s="111"/>
      <c r="U239" s="111"/>
      <c r="V239" s="57"/>
      <c r="W239" s="126"/>
      <c r="X239" s="126"/>
      <c r="Y239" s="126"/>
      <c r="Z239" s="126"/>
    </row>
    <row r="240" spans="1:26" s="3" customFormat="1" ht="20" x14ac:dyDescent="0.4">
      <c r="A240" s="57"/>
      <c r="B240" s="79" t="str">
        <f>$D$9</f>
        <v>Downside</v>
      </c>
      <c r="D240" s="68"/>
      <c r="E240" s="66"/>
      <c r="F240" s="130">
        <f>F238*$O240</f>
        <v>5.41574590153118E-3</v>
      </c>
      <c r="G240" s="130">
        <f>G238*$O240</f>
        <v>5.41574590153118E-3</v>
      </c>
      <c r="H240" s="130">
        <f>H238*$O240</f>
        <v>5.41574590153118E-3</v>
      </c>
      <c r="I240" s="130">
        <f>I238*$O240</f>
        <v>5.41574590153118E-3</v>
      </c>
      <c r="J240" s="130">
        <f>J238*$O240</f>
        <v>5.41574590153118E-3</v>
      </c>
      <c r="K240" s="111"/>
      <c r="M240" s="111" t="str">
        <f t="shared" ca="1" si="223"/>
        <v>=F238*$O240</v>
      </c>
      <c r="O240" s="129">
        <v>1</v>
      </c>
      <c r="P240" s="56"/>
      <c r="R240" s="111"/>
      <c r="S240" s="111"/>
      <c r="T240" s="111"/>
      <c r="U240" s="111"/>
      <c r="V240" s="57"/>
      <c r="W240" s="126"/>
      <c r="X240" s="126"/>
      <c r="Y240" s="126"/>
      <c r="Z240" s="126"/>
    </row>
    <row r="241" spans="1:26" s="3" customFormat="1" ht="20" x14ac:dyDescent="0.4">
      <c r="A241" s="57"/>
      <c r="D241" s="27"/>
      <c r="E241" s="27"/>
      <c r="F241" s="27"/>
      <c r="G241" s="27"/>
      <c r="H241" s="27"/>
      <c r="I241" s="27"/>
      <c r="J241" s="27"/>
      <c r="K241" s="111"/>
      <c r="M241" s="111"/>
      <c r="N241" s="56"/>
      <c r="O241" s="56"/>
      <c r="P241" s="56"/>
      <c r="R241" s="111"/>
      <c r="S241" s="111"/>
      <c r="T241" s="111"/>
      <c r="U241" s="111"/>
      <c r="V241" s="57"/>
      <c r="W241" s="126"/>
      <c r="X241" s="126"/>
      <c r="Y241" s="126"/>
      <c r="Z241" s="126"/>
    </row>
    <row r="242" spans="1:26" s="3" customFormat="1" ht="20" x14ac:dyDescent="0.4">
      <c r="A242" s="57"/>
      <c r="B242" s="3" t="s">
        <v>104</v>
      </c>
      <c r="D242" s="108">
        <f>D37/D$52</f>
        <v>4.298248992966798E-2</v>
      </c>
      <c r="E242" s="108">
        <f>E37/E$52</f>
        <v>2.4919921819701315E-2</v>
      </c>
      <c r="F242" s="104">
        <f>E242</f>
        <v>2.4919921819701315E-2</v>
      </c>
      <c r="G242" s="104">
        <f t="shared" ref="G242:J242" si="224">F242</f>
        <v>2.4919921819701315E-2</v>
      </c>
      <c r="H242" s="104">
        <f t="shared" si="224"/>
        <v>2.4919921819701315E-2</v>
      </c>
      <c r="I242" s="104">
        <f t="shared" si="224"/>
        <v>2.4919921819701315E-2</v>
      </c>
      <c r="J242" s="104">
        <f t="shared" si="224"/>
        <v>2.4919921819701315E-2</v>
      </c>
      <c r="K242" s="111" t="str">
        <f ca="1">_xlfn.FORMULATEXT(E242)</f>
        <v>=E37/E$52</v>
      </c>
      <c r="M242" s="111" t="str">
        <f ca="1">_xlfn.FORMULATEXT(F242)</f>
        <v>=E242</v>
      </c>
      <c r="N242" s="3" t="s">
        <v>276</v>
      </c>
      <c r="R242" s="111"/>
      <c r="S242" s="111"/>
      <c r="T242" s="111"/>
      <c r="U242" s="111"/>
      <c r="V242" s="57"/>
      <c r="W242" s="126"/>
      <c r="X242" s="126"/>
      <c r="Y242" s="126"/>
      <c r="Z242" s="126"/>
    </row>
    <row r="243" spans="1:26" s="3" customFormat="1" ht="20" x14ac:dyDescent="0.4">
      <c r="A243" s="57"/>
      <c r="R243" s="111"/>
      <c r="S243" s="111"/>
      <c r="T243" s="111"/>
      <c r="U243" s="111"/>
      <c r="V243" s="57"/>
      <c r="W243" s="126"/>
      <c r="X243" s="126"/>
      <c r="Y243" s="126"/>
      <c r="Z243" s="126"/>
    </row>
    <row r="244" spans="1:26" s="3" customFormat="1" ht="24" x14ac:dyDescent="0.8">
      <c r="A244" s="57"/>
      <c r="D244" s="8" t="str">
        <f>D$11</f>
        <v>Historical</v>
      </c>
      <c r="E244" s="8"/>
      <c r="F244" s="8" t="str">
        <f>F$11</f>
        <v>Forecast</v>
      </c>
      <c r="G244" s="8"/>
      <c r="H244" s="8"/>
      <c r="I244" s="8"/>
      <c r="J244" s="8"/>
      <c r="K244" s="8" t="s">
        <v>26</v>
      </c>
      <c r="L244" s="8"/>
      <c r="M244" s="9"/>
      <c r="N244" s="9"/>
      <c r="O244" s="9"/>
      <c r="P244" s="9"/>
      <c r="S244" s="8" t="s">
        <v>59</v>
      </c>
      <c r="T244" s="8" t="s">
        <v>26</v>
      </c>
      <c r="U244" s="9"/>
      <c r="V244" s="57"/>
      <c r="W244" s="126"/>
      <c r="X244" s="126"/>
      <c r="Y244" s="126"/>
      <c r="Z244" s="126"/>
    </row>
    <row r="245" spans="1:26" s="3" customFormat="1" ht="20.5" thickBot="1" x14ac:dyDescent="0.45">
      <c r="A245" s="57"/>
      <c r="B245" s="13" t="s">
        <v>391</v>
      </c>
      <c r="C245" s="13"/>
      <c r="D245" s="72">
        <f t="shared" ref="D245:P245" si="225">D$12</f>
        <v>2019</v>
      </c>
      <c r="E245" s="72">
        <f t="shared" si="225"/>
        <v>2020</v>
      </c>
      <c r="F245" s="72">
        <f t="shared" si="225"/>
        <v>2021</v>
      </c>
      <c r="G245" s="72">
        <f t="shared" si="225"/>
        <v>2022</v>
      </c>
      <c r="H245" s="72">
        <f t="shared" si="225"/>
        <v>2023</v>
      </c>
      <c r="I245" s="72">
        <f t="shared" si="225"/>
        <v>2024</v>
      </c>
      <c r="J245" s="72">
        <f t="shared" si="225"/>
        <v>2025</v>
      </c>
      <c r="K245" s="72">
        <f t="shared" si="225"/>
        <v>2020</v>
      </c>
      <c r="L245" s="72">
        <f t="shared" si="225"/>
        <v>2021</v>
      </c>
      <c r="M245" s="72">
        <f t="shared" si="225"/>
        <v>2022</v>
      </c>
      <c r="N245" s="72">
        <f t="shared" si="225"/>
        <v>2023</v>
      </c>
      <c r="O245" s="72">
        <f t="shared" si="225"/>
        <v>2024</v>
      </c>
      <c r="P245" s="72">
        <f t="shared" si="225"/>
        <v>2025</v>
      </c>
      <c r="S245" s="112">
        <f>F245</f>
        <v>2021</v>
      </c>
      <c r="T245" s="112">
        <f>L245</f>
        <v>2021</v>
      </c>
      <c r="U245" s="112">
        <f>M245</f>
        <v>2022</v>
      </c>
      <c r="V245" s="57"/>
      <c r="W245" s="126"/>
      <c r="X245" s="126"/>
      <c r="Y245" s="126"/>
      <c r="Z245" s="126"/>
    </row>
    <row r="246" spans="1:26" s="3" customFormat="1" ht="20" x14ac:dyDescent="0.4">
      <c r="A246" s="57"/>
      <c r="B246" s="3" t="s">
        <v>14</v>
      </c>
      <c r="C246" s="338" t="str">
        <f ca="1">_xlfn.FORMULATEXT(F246)</f>
        <v>=E246+L246</v>
      </c>
      <c r="D246" s="63">
        <f>D43</f>
        <v>1.6272942915782509</v>
      </c>
      <c r="E246" s="83">
        <f>E43</f>
        <v>2.52130786707614</v>
      </c>
      <c r="F246" s="341">
        <f>E246+L246</f>
        <v>2.52130786707614</v>
      </c>
      <c r="G246" s="341">
        <f t="shared" ref="G246:J246" si="226">F246+M246</f>
        <v>2.52130786707614</v>
      </c>
      <c r="H246" s="341">
        <f t="shared" si="226"/>
        <v>2.52130786707614</v>
      </c>
      <c r="I246" s="341">
        <f t="shared" si="226"/>
        <v>2.52130786707614</v>
      </c>
      <c r="J246" s="341">
        <f t="shared" si="226"/>
        <v>2.52130786707614</v>
      </c>
      <c r="K246" s="27">
        <f>E246-D246</f>
        <v>0.89401357549788907</v>
      </c>
      <c r="L246" s="98">
        <f>L247</f>
        <v>0</v>
      </c>
      <c r="M246" s="98"/>
      <c r="N246" s="98"/>
      <c r="O246" s="98"/>
      <c r="P246" s="98"/>
      <c r="S246" s="113" t="str">
        <f t="shared" ref="S246:S258" ca="1" si="227">IFERROR(_xlfn.FORMULATEXT(F246),"")</f>
        <v>=E246+L246</v>
      </c>
      <c r="T246" s="111" t="str">
        <f ca="1">_xlfn.FORMULATEXT(L246)</f>
        <v>=L247</v>
      </c>
      <c r="U246" s="111"/>
      <c r="V246" s="57"/>
      <c r="W246" s="126"/>
      <c r="X246" s="126"/>
      <c r="Y246" s="126"/>
      <c r="Z246" s="126"/>
    </row>
    <row r="247" spans="1:26" s="3" customFormat="1" ht="20" x14ac:dyDescent="0.4">
      <c r="A247" s="57"/>
      <c r="B247" s="79" t="str">
        <f>$D$7</f>
        <v>Base</v>
      </c>
      <c r="D247" s="82"/>
      <c r="E247" s="74"/>
      <c r="F247" s="17"/>
      <c r="G247" s="17"/>
      <c r="H247" s="17"/>
      <c r="I247" s="17"/>
      <c r="J247" s="17"/>
      <c r="K247" s="322" t="s">
        <v>375</v>
      </c>
      <c r="L247" s="321">
        <v>0</v>
      </c>
      <c r="M247" s="98"/>
      <c r="N247" s="98"/>
      <c r="O247" s="98"/>
      <c r="P247" s="98"/>
      <c r="R247" s="127" t="s">
        <v>151</v>
      </c>
      <c r="S247" s="113" t="str">
        <f t="shared" ca="1" si="227"/>
        <v/>
      </c>
      <c r="T247" s="111" t="e">
        <f ca="1">_xlfn.FORMULATEXT(L247)</f>
        <v>#N/A</v>
      </c>
      <c r="U247" s="111" t="e">
        <f ca="1">_xlfn.FORMULATEXT(M247)</f>
        <v>#N/A</v>
      </c>
      <c r="V247" s="57"/>
      <c r="W247" s="126"/>
      <c r="X247" s="126"/>
      <c r="Y247" s="126"/>
      <c r="Z247" s="126"/>
    </row>
    <row r="248" spans="1:26" s="3" customFormat="1" ht="20" x14ac:dyDescent="0.4">
      <c r="A248" s="57"/>
      <c r="B248" s="79" t="str">
        <f>$D$8</f>
        <v>Upside</v>
      </c>
      <c r="D248" s="52"/>
      <c r="E248" s="74"/>
      <c r="F248" s="17"/>
      <c r="G248" s="17"/>
      <c r="H248" s="17"/>
      <c r="I248" s="17"/>
      <c r="J248" s="17"/>
      <c r="L248" s="131"/>
      <c r="M248" s="131"/>
      <c r="N248" s="131"/>
      <c r="O248" s="131"/>
      <c r="P248" s="131"/>
      <c r="R248" s="129">
        <v>0</v>
      </c>
      <c r="S248" s="200" t="s">
        <v>277</v>
      </c>
      <c r="T248" s="111" t="e">
        <f ca="1">_xlfn.FORMULATEXT(L248)</f>
        <v>#N/A</v>
      </c>
      <c r="U248" s="111" t="e">
        <f ca="1">_xlfn.FORMULATEXT(M248)</f>
        <v>#N/A</v>
      </c>
      <c r="V248" s="57"/>
      <c r="W248" s="126"/>
      <c r="X248" s="126"/>
      <c r="Y248" s="126"/>
      <c r="Z248" s="126"/>
    </row>
    <row r="249" spans="1:26" s="3" customFormat="1" ht="20" x14ac:dyDescent="0.4">
      <c r="A249" s="57"/>
      <c r="B249" s="79" t="str">
        <f>$D$9</f>
        <v>Downside</v>
      </c>
      <c r="D249" s="52"/>
      <c r="E249" s="74"/>
      <c r="F249" s="17"/>
      <c r="G249" s="17"/>
      <c r="H249" s="17"/>
      <c r="I249" s="17"/>
      <c r="J249" s="17"/>
      <c r="L249" s="131"/>
      <c r="M249" s="131"/>
      <c r="N249" s="131"/>
      <c r="O249" s="131"/>
      <c r="P249" s="131"/>
      <c r="R249" s="129">
        <v>2</v>
      </c>
      <c r="S249" s="200" t="s">
        <v>278</v>
      </c>
      <c r="T249" s="111" t="e">
        <f ca="1">_xlfn.FORMULATEXT(L249)</f>
        <v>#N/A</v>
      </c>
      <c r="U249" s="111" t="e">
        <f ca="1">_xlfn.FORMULATEXT(M249)</f>
        <v>#N/A</v>
      </c>
      <c r="V249" s="57"/>
      <c r="W249" s="126"/>
      <c r="X249" s="126"/>
      <c r="Y249" s="126"/>
      <c r="Z249" s="126"/>
    </row>
    <row r="250" spans="1:26" s="3" customFormat="1" ht="20" x14ac:dyDescent="0.4">
      <c r="A250" s="57"/>
      <c r="D250" s="63"/>
      <c r="E250" s="63"/>
      <c r="F250" s="30"/>
      <c r="G250" s="30"/>
      <c r="H250" s="30"/>
      <c r="I250" s="30"/>
      <c r="J250" s="30"/>
      <c r="L250" s="54"/>
      <c r="M250" s="64"/>
      <c r="N250" s="64"/>
      <c r="O250" s="64"/>
      <c r="P250" s="64"/>
      <c r="S250" s="113" t="str">
        <f t="shared" ca="1" si="227"/>
        <v/>
      </c>
      <c r="T250" s="111"/>
      <c r="U250" s="111"/>
      <c r="V250" s="57"/>
      <c r="W250" s="126"/>
      <c r="X250" s="126"/>
      <c r="Y250" s="126"/>
      <c r="Z250" s="126"/>
    </row>
    <row r="251" spans="1:26" s="3" customFormat="1" ht="20" x14ac:dyDescent="0.4">
      <c r="A251" s="57"/>
      <c r="B251" s="3" t="s">
        <v>42</v>
      </c>
      <c r="C251" s="338" t="str">
        <f ca="1">_xlfn.FORMULATEXT(F251)</f>
        <v>=E251+L251</v>
      </c>
      <c r="D251" s="63">
        <f>D44</f>
        <v>28.401625372891999</v>
      </c>
      <c r="E251" s="63">
        <f>E44</f>
        <v>63.902308125235002</v>
      </c>
      <c r="F251" s="341">
        <f>E251+L251</f>
        <v>63.902308125235002</v>
      </c>
      <c r="G251" s="341">
        <f t="shared" ref="G251:J251" si="228">F251+M251</f>
        <v>63.902308125235002</v>
      </c>
      <c r="H251" s="341">
        <f t="shared" si="228"/>
        <v>63.902308125235002</v>
      </c>
      <c r="I251" s="341">
        <f t="shared" si="228"/>
        <v>63.902308125235002</v>
      </c>
      <c r="J251" s="341">
        <f t="shared" si="228"/>
        <v>63.902308125235002</v>
      </c>
      <c r="K251" s="45">
        <f>E251-D251</f>
        <v>35.500682752343003</v>
      </c>
      <c r="L251" s="98">
        <v>0</v>
      </c>
      <c r="M251" s="98"/>
      <c r="N251" s="98"/>
      <c r="O251" s="98"/>
      <c r="P251" s="98"/>
      <c r="S251" s="113" t="str">
        <f t="shared" ca="1" si="227"/>
        <v>=E251+L251</v>
      </c>
      <c r="T251" s="111" t="e">
        <f ca="1">_xlfn.FORMULATEXT(L251)</f>
        <v>#N/A</v>
      </c>
      <c r="U251" s="111"/>
      <c r="V251" s="57"/>
      <c r="W251" s="126"/>
      <c r="X251" s="126"/>
      <c r="Y251" s="126"/>
      <c r="Z251" s="126"/>
    </row>
    <row r="252" spans="1:26" s="3" customFormat="1" ht="20" x14ac:dyDescent="0.4">
      <c r="A252" s="57"/>
      <c r="B252" s="79" t="str">
        <f>$D$7</f>
        <v>Base</v>
      </c>
      <c r="D252" s="63"/>
      <c r="E252" s="63"/>
      <c r="F252" s="30"/>
      <c r="G252" s="30"/>
      <c r="H252" s="30"/>
      <c r="I252" s="30"/>
      <c r="J252" s="30"/>
      <c r="K252" s="322" t="s">
        <v>375</v>
      </c>
      <c r="L252" s="321"/>
      <c r="M252" s="109"/>
      <c r="N252" s="109"/>
      <c r="O252" s="109"/>
      <c r="P252" s="109"/>
      <c r="R252" s="127" t="s">
        <v>151</v>
      </c>
      <c r="S252" s="113" t="str">
        <f t="shared" ca="1" si="227"/>
        <v/>
      </c>
      <c r="T252" s="111" t="e">
        <f ca="1">_xlfn.FORMULATEXT(L252)</f>
        <v>#N/A</v>
      </c>
      <c r="U252" s="111" t="e">
        <f ca="1">_xlfn.FORMULATEXT(M252)</f>
        <v>#N/A</v>
      </c>
      <c r="V252" s="57"/>
      <c r="W252" s="126"/>
      <c r="X252" s="126"/>
      <c r="Y252" s="126"/>
      <c r="Z252" s="126"/>
    </row>
    <row r="253" spans="1:26" s="3" customFormat="1" ht="20" x14ac:dyDescent="0.4">
      <c r="A253" s="57"/>
      <c r="B253" s="79" t="str">
        <f>$D$8</f>
        <v>Upside</v>
      </c>
      <c r="D253" s="63"/>
      <c r="E253" s="63"/>
      <c r="F253" s="30"/>
      <c r="G253" s="30"/>
      <c r="H253" s="30"/>
      <c r="I253" s="30"/>
      <c r="J253" s="30"/>
      <c r="L253" s="131"/>
      <c r="M253" s="131"/>
      <c r="N253" s="131"/>
      <c r="O253" s="131"/>
      <c r="P253" s="131"/>
      <c r="R253" s="129">
        <v>0</v>
      </c>
      <c r="S253" s="200" t="s">
        <v>277</v>
      </c>
      <c r="T253" s="111" t="e">
        <f ca="1">_xlfn.FORMULATEXT(L253)</f>
        <v>#N/A</v>
      </c>
      <c r="U253" s="111" t="e">
        <f ca="1">_xlfn.FORMULATEXT(M253)</f>
        <v>#N/A</v>
      </c>
      <c r="V253" s="57"/>
      <c r="W253" s="126"/>
      <c r="X253" s="126"/>
      <c r="Y253" s="126"/>
      <c r="Z253" s="126"/>
    </row>
    <row r="254" spans="1:26" s="3" customFormat="1" ht="20" x14ac:dyDescent="0.4">
      <c r="A254" s="57"/>
      <c r="B254" s="79" t="str">
        <f>$D$9</f>
        <v>Downside</v>
      </c>
      <c r="D254" s="63"/>
      <c r="E254" s="63"/>
      <c r="F254" s="30"/>
      <c r="G254" s="30"/>
      <c r="H254" s="30"/>
      <c r="I254" s="30"/>
      <c r="J254" s="30"/>
      <c r="L254" s="131"/>
      <c r="M254" s="131"/>
      <c r="N254" s="131"/>
      <c r="O254" s="131"/>
      <c r="P254" s="131"/>
      <c r="R254" s="129">
        <v>2</v>
      </c>
      <c r="S254" s="200" t="s">
        <v>278</v>
      </c>
      <c r="T254" s="111" t="e">
        <f ca="1">_xlfn.FORMULATEXT(L254)</f>
        <v>#N/A</v>
      </c>
      <c r="U254" s="111" t="e">
        <f ca="1">_xlfn.FORMULATEXT(M254)</f>
        <v>#N/A</v>
      </c>
      <c r="V254" s="57"/>
      <c r="W254" s="126"/>
      <c r="X254" s="126"/>
      <c r="Y254" s="126"/>
      <c r="Z254" s="126"/>
    </row>
    <row r="255" spans="1:26" s="3" customFormat="1" ht="20" x14ac:dyDescent="0.4">
      <c r="A255" s="57"/>
      <c r="B255" s="30"/>
      <c r="D255" s="63"/>
      <c r="E255" s="63"/>
      <c r="L255" s="54"/>
      <c r="M255" s="64"/>
      <c r="N255" s="64"/>
      <c r="O255" s="64"/>
      <c r="P255" s="64"/>
      <c r="S255" s="113" t="str">
        <f ca="1">IFERROR(_xlfn.FORMULATEXT(B255),"")</f>
        <v/>
      </c>
      <c r="T255" s="111"/>
      <c r="U255" s="111"/>
      <c r="V255" s="57"/>
      <c r="W255" s="126"/>
      <c r="X255" s="126"/>
      <c r="Y255" s="126"/>
      <c r="Z255" s="126"/>
    </row>
    <row r="256" spans="1:26" s="3" customFormat="1" ht="20" x14ac:dyDescent="0.4">
      <c r="A256" s="57"/>
      <c r="B256" s="3" t="s">
        <v>43</v>
      </c>
      <c r="C256" s="338" t="str">
        <f ca="1">_xlfn.FORMULATEXT(F256)</f>
        <v>=E256+F63-F117</v>
      </c>
      <c r="D256" s="63">
        <f>D45</f>
        <v>162.66325526798801</v>
      </c>
      <c r="E256" s="63">
        <f>E45</f>
        <v>409.96945281215699</v>
      </c>
      <c r="F256" s="93">
        <f ca="1">E256+F63-F117</f>
        <v>612.00513479782694</v>
      </c>
      <c r="G256" s="93">
        <f t="shared" ref="G256:J256" ca="1" si="229">F256+G63-G117</f>
        <v>810.49862503769486</v>
      </c>
      <c r="H256" s="93">
        <f t="shared" ca="1" si="229"/>
        <v>1005.5435219648666</v>
      </c>
      <c r="I256" s="93">
        <f t="shared" ca="1" si="229"/>
        <v>1197.4014334420458</v>
      </c>
      <c r="J256" s="93">
        <f t="shared" ca="1" si="229"/>
        <v>1385.2977542209087</v>
      </c>
      <c r="K256" s="45"/>
      <c r="L256" s="45"/>
      <c r="M256" s="45"/>
      <c r="N256" s="45"/>
      <c r="O256" s="45"/>
      <c r="P256" s="45"/>
      <c r="S256" s="113" t="str">
        <f t="shared" ca="1" si="227"/>
        <v>=E256+F63-F117</v>
      </c>
      <c r="T256" s="111"/>
      <c r="U256" s="111"/>
      <c r="V256" s="57"/>
      <c r="W256" s="126"/>
      <c r="X256" s="126"/>
      <c r="Y256" s="126"/>
      <c r="Z256" s="126"/>
    </row>
    <row r="257" spans="1:26" s="3" customFormat="1" ht="20" x14ac:dyDescent="0.4">
      <c r="A257" s="57"/>
      <c r="B257" s="3" t="s">
        <v>44</v>
      </c>
      <c r="C257" s="338" t="str">
        <f ca="1">_xlfn.FORMULATEXT(F257)</f>
        <v>=E257+L257</v>
      </c>
      <c r="D257" s="63">
        <f>D46</f>
        <v>-243.93721183066398</v>
      </c>
      <c r="E257" s="63">
        <f>E46</f>
        <v>-691.05909217561305</v>
      </c>
      <c r="F257" s="91">
        <f>E257+L257</f>
        <v>-691.05909217561305</v>
      </c>
      <c r="G257" s="91">
        <f t="shared" ref="G257:J257" si="230">F257+M257</f>
        <v>-691.05909217561305</v>
      </c>
      <c r="H257" s="91">
        <f t="shared" si="230"/>
        <v>-691.05909217561305</v>
      </c>
      <c r="I257" s="91">
        <f t="shared" si="230"/>
        <v>-691.05909217561305</v>
      </c>
      <c r="J257" s="91">
        <f t="shared" si="230"/>
        <v>-691.05909217561305</v>
      </c>
      <c r="K257" s="45">
        <f>E257-D257</f>
        <v>-447.12188034494909</v>
      </c>
      <c r="L257" s="98">
        <v>0</v>
      </c>
      <c r="M257" s="98"/>
      <c r="N257" s="98"/>
      <c r="O257" s="98"/>
      <c r="P257" s="98"/>
      <c r="S257" s="113" t="str">
        <f t="shared" ca="1" si="227"/>
        <v>=E257+L257</v>
      </c>
      <c r="T257" s="111" t="e">
        <f ca="1">_xlfn.FORMULATEXT(L257)</f>
        <v>#N/A</v>
      </c>
      <c r="U257" s="111"/>
      <c r="V257" s="57"/>
      <c r="W257" s="126"/>
      <c r="X257" s="126"/>
      <c r="Y257" s="126"/>
      <c r="Z257" s="126"/>
    </row>
    <row r="258" spans="1:26" s="3" customFormat="1" ht="20" x14ac:dyDescent="0.4">
      <c r="A258" s="57"/>
      <c r="B258" s="79" t="str">
        <f>$D$7</f>
        <v>Base</v>
      </c>
      <c r="D258" s="63"/>
      <c r="E258" s="63"/>
      <c r="F258" s="30"/>
      <c r="G258" s="30"/>
      <c r="H258" s="30"/>
      <c r="I258" s="30"/>
      <c r="J258" s="30"/>
      <c r="K258" s="322" t="s">
        <v>376</v>
      </c>
      <c r="L258" s="321"/>
      <c r="M258" s="109"/>
      <c r="N258" s="109"/>
      <c r="O258" s="109"/>
      <c r="P258" s="109"/>
      <c r="R258" s="127" t="s">
        <v>151</v>
      </c>
      <c r="S258" s="113" t="str">
        <f t="shared" ca="1" si="227"/>
        <v/>
      </c>
      <c r="T258" s="111" t="e">
        <f ca="1">_xlfn.FORMULATEXT(L258)</f>
        <v>#N/A</v>
      </c>
      <c r="U258" s="111" t="e">
        <f ca="1">_xlfn.FORMULATEXT(M258)</f>
        <v>#N/A</v>
      </c>
      <c r="V258" s="57"/>
      <c r="W258" s="126"/>
      <c r="X258" s="126"/>
      <c r="Y258" s="126"/>
      <c r="Z258" s="126"/>
    </row>
    <row r="259" spans="1:26" s="3" customFormat="1" ht="20" x14ac:dyDescent="0.4">
      <c r="A259" s="57"/>
      <c r="B259" s="79" t="str">
        <f>$D$8</f>
        <v>Upside</v>
      </c>
      <c r="D259" s="63"/>
      <c r="E259" s="63"/>
      <c r="F259" s="30"/>
      <c r="G259" s="30"/>
      <c r="H259" s="30"/>
      <c r="I259" s="30"/>
      <c r="J259" s="30"/>
      <c r="L259" s="131"/>
      <c r="M259" s="131"/>
      <c r="N259" s="131"/>
      <c r="O259" s="131"/>
      <c r="P259" s="131"/>
      <c r="R259" s="129">
        <v>1.1000000000000001</v>
      </c>
      <c r="S259" s="200" t="s">
        <v>279</v>
      </c>
      <c r="T259" s="111" t="e">
        <f ca="1">_xlfn.FORMULATEXT(L259)</f>
        <v>#N/A</v>
      </c>
      <c r="U259" s="111" t="e">
        <f ca="1">_xlfn.FORMULATEXT(M259)</f>
        <v>#N/A</v>
      </c>
      <c r="V259" s="57"/>
      <c r="W259" s="126"/>
      <c r="X259" s="126"/>
      <c r="Y259" s="126"/>
      <c r="Z259" s="126"/>
    </row>
    <row r="260" spans="1:26" s="3" customFormat="1" ht="20" x14ac:dyDescent="0.4">
      <c r="A260" s="57"/>
      <c r="B260" s="79" t="str">
        <f>$D$9</f>
        <v>Downside</v>
      </c>
      <c r="L260" s="131"/>
      <c r="M260" s="131"/>
      <c r="N260" s="131"/>
      <c r="O260" s="131"/>
      <c r="P260" s="131"/>
      <c r="R260" s="129">
        <v>0.9</v>
      </c>
      <c r="S260" s="200" t="s">
        <v>280</v>
      </c>
      <c r="T260" s="111" t="e">
        <f ca="1">_xlfn.FORMULATEXT(L260)</f>
        <v>#N/A</v>
      </c>
      <c r="U260" s="111" t="e">
        <f ca="1">_xlfn.FORMULATEXT(M260)</f>
        <v>#N/A</v>
      </c>
      <c r="V260" s="57"/>
      <c r="W260" s="126"/>
      <c r="X260" s="126"/>
      <c r="Y260" s="126"/>
      <c r="Z260" s="126"/>
    </row>
    <row r="261" spans="1:26" s="3" customFormat="1" ht="20" x14ac:dyDescent="0.4">
      <c r="A261" s="57"/>
      <c r="R261" s="113" t="str">
        <f ca="1">IFERROR(_xlfn.FORMULATEXT(F261),"")</f>
        <v/>
      </c>
      <c r="S261" s="111"/>
      <c r="T261" s="111"/>
      <c r="U261" s="111"/>
      <c r="V261" s="57"/>
      <c r="W261" s="126"/>
      <c r="X261" s="126"/>
      <c r="Y261" s="126"/>
      <c r="Z261" s="126"/>
    </row>
    <row r="262" spans="1:26" s="3" customFormat="1" ht="24" x14ac:dyDescent="0.8">
      <c r="A262" s="57"/>
      <c r="D262" s="8" t="str">
        <f>D$11</f>
        <v>Historical</v>
      </c>
      <c r="E262" s="8"/>
      <c r="F262" s="8" t="str">
        <f>F$11</f>
        <v>Forecast</v>
      </c>
      <c r="G262" s="8"/>
      <c r="H262" s="8"/>
      <c r="I262" s="8"/>
      <c r="J262" s="8"/>
      <c r="K262" s="122" t="s">
        <v>102</v>
      </c>
      <c r="L262" s="122"/>
      <c r="M262" s="122"/>
      <c r="N262"/>
      <c r="O262" s="9"/>
      <c r="P262" s="9"/>
      <c r="R262" s="113"/>
      <c r="S262" s="111"/>
      <c r="T262" s="111"/>
      <c r="U262" s="111"/>
      <c r="V262" s="57"/>
      <c r="W262" s="126"/>
      <c r="X262" s="126"/>
      <c r="Y262" s="126"/>
      <c r="Z262" s="126"/>
    </row>
    <row r="263" spans="1:26" s="3" customFormat="1" ht="20.5" thickBot="1" x14ac:dyDescent="0.45">
      <c r="A263" s="57"/>
      <c r="B263" s="4" t="s">
        <v>13</v>
      </c>
      <c r="C263" s="4"/>
      <c r="D263" s="72">
        <f t="shared" ref="D263:J263" si="231">D$12</f>
        <v>2019</v>
      </c>
      <c r="E263" s="72">
        <f t="shared" si="231"/>
        <v>2020</v>
      </c>
      <c r="F263" s="72">
        <f t="shared" si="231"/>
        <v>2021</v>
      </c>
      <c r="G263" s="72">
        <f t="shared" si="231"/>
        <v>2022</v>
      </c>
      <c r="H263" s="72">
        <f t="shared" si="231"/>
        <v>2023</v>
      </c>
      <c r="I263" s="72">
        <f t="shared" si="231"/>
        <v>2024</v>
      </c>
      <c r="J263" s="72">
        <f t="shared" si="231"/>
        <v>2025</v>
      </c>
      <c r="K263" s="121">
        <v>2020</v>
      </c>
      <c r="L263" s="121" t="s">
        <v>207</v>
      </c>
      <c r="M263" s="121">
        <v>2021</v>
      </c>
      <c r="N263" s="121" t="s">
        <v>207</v>
      </c>
      <c r="O263" s="123" t="s">
        <v>137</v>
      </c>
      <c r="P263" s="123"/>
      <c r="Q263" s="123"/>
      <c r="R263" s="113"/>
      <c r="S263" s="111"/>
      <c r="T263" s="111"/>
      <c r="U263" s="111"/>
      <c r="V263" s="57"/>
      <c r="W263" s="126"/>
      <c r="X263" s="126"/>
      <c r="Y263" s="126"/>
      <c r="Z263" s="126"/>
    </row>
    <row r="264" spans="1:26" s="3" customFormat="1" ht="20" x14ac:dyDescent="0.4">
      <c r="A264" s="57"/>
      <c r="B264" s="3" t="s">
        <v>68</v>
      </c>
      <c r="D264" s="27"/>
      <c r="E264" s="108">
        <f>E52/D52-1</f>
        <v>3.1916701877647835E-2</v>
      </c>
      <c r="F264" s="104">
        <f ca="1">OFFSET(F264,$D$5,0)</f>
        <v>3.1916701877647835E-2</v>
      </c>
      <c r="G264" s="104">
        <f ca="1">OFFSET(G264,$D$5,0)</f>
        <v>3.1916701877647835E-2</v>
      </c>
      <c r="H264" s="104">
        <f ca="1">OFFSET(H264,$D$5,0)</f>
        <v>3.1916701877647835E-2</v>
      </c>
      <c r="I264" s="104">
        <f ca="1">OFFSET(I264,$D$5,0)</f>
        <v>3.1916701877647835E-2</v>
      </c>
      <c r="J264" s="104">
        <f ca="1">OFFSET(J264,$D$5,0)</f>
        <v>3.1916701877647835E-2</v>
      </c>
      <c r="K264" s="111" t="str">
        <f ca="1">_xlfn.FORMULATEXT(E264)</f>
        <v>=E52/D52-1</v>
      </c>
      <c r="M264" s="111" t="str">
        <f ca="1">_xlfn.FORMULATEXT(F264)</f>
        <v>=OFFSET(F264,$D$5,0)</v>
      </c>
      <c r="R264" s="113"/>
      <c r="S264" s="111"/>
      <c r="T264" s="111"/>
      <c r="U264" s="111"/>
      <c r="V264" s="57"/>
      <c r="W264" s="126"/>
      <c r="X264" s="126"/>
      <c r="Y264" s="126"/>
      <c r="Z264" s="126"/>
    </row>
    <row r="265" spans="1:26" s="3" customFormat="1" ht="20" x14ac:dyDescent="0.4">
      <c r="A265" s="57"/>
      <c r="B265" s="79" t="str">
        <f>$D$7</f>
        <v>Base</v>
      </c>
      <c r="D265" s="27"/>
      <c r="E265" s="350">
        <f>E264</f>
        <v>3.1916701877647835E-2</v>
      </c>
      <c r="F265" s="105">
        <f>E265</f>
        <v>3.1916701877647835E-2</v>
      </c>
      <c r="G265" s="105">
        <f>F265</f>
        <v>3.1916701877647835E-2</v>
      </c>
      <c r="H265" s="105">
        <f>G265</f>
        <v>3.1916701877647835E-2</v>
      </c>
      <c r="I265" s="105">
        <f>H265</f>
        <v>3.1916701877647835E-2</v>
      </c>
      <c r="J265" s="105">
        <f>I265</f>
        <v>3.1916701877647835E-2</v>
      </c>
      <c r="K265" s="111" t="str">
        <f ca="1">_xlfn.FORMULATEXT(E265)</f>
        <v>=E264</v>
      </c>
      <c r="M265" s="111" t="str">
        <f ca="1">_xlfn.FORMULATEXT(F265)</f>
        <v>=E265</v>
      </c>
      <c r="O265" s="127" t="s">
        <v>150</v>
      </c>
      <c r="R265" s="113"/>
      <c r="S265" s="111"/>
      <c r="T265" s="111"/>
      <c r="U265" s="111"/>
      <c r="V265" s="57"/>
      <c r="W265" s="126"/>
      <c r="X265" s="126"/>
      <c r="Y265" s="126"/>
      <c r="Z265" s="126"/>
    </row>
    <row r="266" spans="1:26" s="3" customFormat="1" ht="20" x14ac:dyDescent="0.4">
      <c r="A266" s="57"/>
      <c r="B266" s="79" t="str">
        <f>$D$8</f>
        <v>Upside</v>
      </c>
      <c r="D266" s="27"/>
      <c r="E266" s="66"/>
      <c r="F266" s="130">
        <f>F265*$O266</f>
        <v>0.38300042253177402</v>
      </c>
      <c r="G266" s="130">
        <f>G265*$O266</f>
        <v>0.38300042253177402</v>
      </c>
      <c r="H266" s="130">
        <f>H265*$O266</f>
        <v>0.38300042253177402</v>
      </c>
      <c r="I266" s="130">
        <f>I265*$O266</f>
        <v>0.38300042253177402</v>
      </c>
      <c r="J266" s="130">
        <f>J265*$O266</f>
        <v>0.38300042253177402</v>
      </c>
      <c r="K266" s="111"/>
      <c r="M266" s="111" t="str">
        <f ca="1">_xlfn.FORMULATEXT(F266)</f>
        <v>=F265*$O266</v>
      </c>
      <c r="O266" s="129">
        <v>12</v>
      </c>
      <c r="P266" s="3" t="s">
        <v>281</v>
      </c>
      <c r="R266" s="113"/>
      <c r="S266" s="111"/>
      <c r="T266" s="111"/>
      <c r="U266" s="111"/>
      <c r="V266" s="57"/>
      <c r="W266" s="126"/>
      <c r="X266" s="126"/>
      <c r="Y266" s="126"/>
      <c r="Z266" s="126"/>
    </row>
    <row r="267" spans="1:26" s="3" customFormat="1" ht="20" x14ac:dyDescent="0.4">
      <c r="A267" s="57"/>
      <c r="B267" s="79" t="str">
        <f>$D$9</f>
        <v>Downside</v>
      </c>
      <c r="D267" s="27"/>
      <c r="E267" s="66"/>
      <c r="F267" s="130">
        <f>F265*$O267</f>
        <v>1.5958350938823918E-3</v>
      </c>
      <c r="G267" s="130">
        <f>G265*$O267</f>
        <v>1.5958350938823918E-3</v>
      </c>
      <c r="H267" s="130">
        <f>H265*$O267</f>
        <v>1.5958350938823918E-3</v>
      </c>
      <c r="I267" s="130">
        <f>I265*$O267</f>
        <v>1.5958350938823918E-3</v>
      </c>
      <c r="J267" s="130">
        <f>J265*$O267</f>
        <v>1.5958350938823918E-3</v>
      </c>
      <c r="K267" s="111"/>
      <c r="M267" s="111" t="str">
        <f ca="1">_xlfn.FORMULATEXT(F267)</f>
        <v>=F265*$O267</v>
      </c>
      <c r="O267" s="129">
        <v>0.05</v>
      </c>
      <c r="P267" s="3" t="s">
        <v>282</v>
      </c>
      <c r="R267" s="113"/>
      <c r="S267" s="111"/>
      <c r="T267" s="111"/>
      <c r="U267" s="111"/>
      <c r="V267" s="57"/>
      <c r="W267" s="126"/>
      <c r="X267" s="126"/>
      <c r="Y267" s="126"/>
      <c r="Z267" s="126"/>
    </row>
    <row r="268" spans="1:26" s="3" customFormat="1" ht="20" x14ac:dyDescent="0.4">
      <c r="A268" s="57"/>
      <c r="D268" s="27"/>
      <c r="E268" s="68"/>
      <c r="F268" s="69"/>
      <c r="G268" s="69"/>
      <c r="H268" s="69"/>
      <c r="I268" s="69"/>
      <c r="J268" s="69"/>
      <c r="K268" s="111"/>
      <c r="M268" s="111"/>
      <c r="R268" s="113"/>
      <c r="S268" s="111"/>
      <c r="T268" s="111"/>
      <c r="U268" s="111"/>
      <c r="V268" s="57"/>
      <c r="W268" s="126"/>
      <c r="X268" s="126"/>
      <c r="Y268" s="126"/>
      <c r="Z268" s="126"/>
    </row>
    <row r="269" spans="1:26" s="3" customFormat="1" ht="20" x14ac:dyDescent="0.4">
      <c r="A269" s="60"/>
      <c r="B269" s="12" t="s">
        <v>119</v>
      </c>
      <c r="C269" s="12"/>
      <c r="D269" s="82"/>
      <c r="E269" s="108">
        <f>E53/E$52</f>
        <v>-0.31394628731686069</v>
      </c>
      <c r="F269" s="104">
        <f ca="1">OFFSET(F269,$D$5,0)</f>
        <v>-0.31394628731686069</v>
      </c>
      <c r="G269" s="104">
        <f ca="1">OFFSET(G269,$D$5,0)</f>
        <v>-0.31394628731686069</v>
      </c>
      <c r="H269" s="104">
        <f ca="1">OFFSET(H269,$D$5,0)</f>
        <v>-0.31394628731686069</v>
      </c>
      <c r="I269" s="104">
        <f ca="1">OFFSET(I269,$D$5,0)</f>
        <v>-0.31394628731686069</v>
      </c>
      <c r="J269" s="104">
        <f ca="1">OFFSET(J269,$D$5,0)</f>
        <v>-0.31394628731686069</v>
      </c>
      <c r="K269" s="111" t="str">
        <f ca="1">_xlfn.FORMULATEXT(E269)</f>
        <v>=E53/E$52</v>
      </c>
      <c r="M269" s="111" t="str">
        <f ca="1">_xlfn.FORMULATEXT(F269)</f>
        <v>=OFFSET(F269,$D$5,0)</v>
      </c>
      <c r="R269" s="113"/>
      <c r="S269" s="111"/>
      <c r="T269" s="111"/>
      <c r="U269" s="111"/>
      <c r="V269" s="57"/>
      <c r="W269" s="126"/>
      <c r="X269" s="126"/>
      <c r="Y269" s="126"/>
      <c r="Z269" s="126"/>
    </row>
    <row r="270" spans="1:26" s="3" customFormat="1" ht="20" x14ac:dyDescent="0.4">
      <c r="A270" s="60"/>
      <c r="B270" s="79" t="str">
        <f>$D$7</f>
        <v>Base</v>
      </c>
      <c r="C270" s="61"/>
      <c r="D270" s="62"/>
      <c r="E270" s="350">
        <f>E269</f>
        <v>-0.31394628731686069</v>
      </c>
      <c r="F270" s="105">
        <f>E270</f>
        <v>-0.31394628731686069</v>
      </c>
      <c r="G270" s="105">
        <f>F270</f>
        <v>-0.31394628731686069</v>
      </c>
      <c r="H270" s="105">
        <f>G270</f>
        <v>-0.31394628731686069</v>
      </c>
      <c r="I270" s="105">
        <f>H270</f>
        <v>-0.31394628731686069</v>
      </c>
      <c r="J270" s="105">
        <f>I270</f>
        <v>-0.31394628731686069</v>
      </c>
      <c r="K270" s="111" t="str">
        <f ca="1">_xlfn.FORMULATEXT(E270)</f>
        <v>=E269</v>
      </c>
      <c r="M270" s="111" t="str">
        <f ca="1">_xlfn.FORMULATEXT(F270)</f>
        <v>=E270</v>
      </c>
      <c r="O270" s="127" t="s">
        <v>150</v>
      </c>
      <c r="R270" s="113"/>
      <c r="S270" s="111"/>
      <c r="T270" s="111"/>
      <c r="U270" s="111"/>
      <c r="V270" s="57"/>
      <c r="W270" s="126"/>
      <c r="X270" s="126"/>
      <c r="Y270" s="126"/>
      <c r="Z270" s="126"/>
    </row>
    <row r="271" spans="1:26" s="3" customFormat="1" ht="20" x14ac:dyDescent="0.4">
      <c r="A271" s="57"/>
      <c r="B271" s="79" t="str">
        <f>$D$8</f>
        <v>Upside</v>
      </c>
      <c r="C271" s="61"/>
      <c r="D271" s="62"/>
      <c r="E271" s="66"/>
      <c r="F271" s="130">
        <f>F270*$O271</f>
        <v>-9.41838861950582E-2</v>
      </c>
      <c r="G271" s="130">
        <f>G270*$O271</f>
        <v>-9.41838861950582E-2</v>
      </c>
      <c r="H271" s="130">
        <f>H270*$O271</f>
        <v>-9.41838861950582E-2</v>
      </c>
      <c r="I271" s="130">
        <f>I270*$O271</f>
        <v>-9.41838861950582E-2</v>
      </c>
      <c r="J271" s="130">
        <f>J270*$O271</f>
        <v>-9.41838861950582E-2</v>
      </c>
      <c r="K271" s="111"/>
      <c r="M271" s="111" t="str">
        <f ca="1">_xlfn.FORMULATEXT(F271)</f>
        <v>=F270*$O271</v>
      </c>
      <c r="O271" s="129">
        <v>0.3</v>
      </c>
      <c r="P271" s="3" t="s">
        <v>283</v>
      </c>
      <c r="R271" s="113"/>
      <c r="S271" s="111"/>
      <c r="T271" s="111"/>
      <c r="U271" s="111"/>
      <c r="V271" s="57"/>
      <c r="W271" s="126"/>
      <c r="X271" s="126"/>
      <c r="Y271" s="126"/>
      <c r="Z271" s="126"/>
    </row>
    <row r="272" spans="1:26" s="3" customFormat="1" ht="20" x14ac:dyDescent="0.4">
      <c r="A272" s="57"/>
      <c r="B272" s="79" t="str">
        <f>$D$9</f>
        <v>Downside</v>
      </c>
      <c r="C272" s="61"/>
      <c r="D272" s="62"/>
      <c r="E272" s="66"/>
      <c r="F272" s="130">
        <f>F270*$O272</f>
        <v>-0.47091943097529104</v>
      </c>
      <c r="G272" s="130">
        <f>G270*$O272</f>
        <v>-0.47091943097529104</v>
      </c>
      <c r="H272" s="130">
        <f>H270*$O272</f>
        <v>-0.47091943097529104</v>
      </c>
      <c r="I272" s="130">
        <f>I270*$O272</f>
        <v>-0.47091943097529104</v>
      </c>
      <c r="J272" s="130">
        <f>J270*$O272</f>
        <v>-0.47091943097529104</v>
      </c>
      <c r="K272" s="111"/>
      <c r="M272" s="111" t="str">
        <f ca="1">_xlfn.FORMULATEXT(F272)</f>
        <v>=F270*$O272</v>
      </c>
      <c r="O272" s="129">
        <v>1.5</v>
      </c>
      <c r="P272" s="3" t="s">
        <v>284</v>
      </c>
      <c r="R272" s="113"/>
      <c r="S272" s="111"/>
      <c r="T272" s="111"/>
      <c r="U272" s="111"/>
      <c r="V272" s="57"/>
      <c r="W272" s="126"/>
      <c r="X272" s="126"/>
      <c r="Y272" s="126"/>
      <c r="Z272" s="126"/>
    </row>
    <row r="273" spans="1:26" s="3" customFormat="1" ht="20" x14ac:dyDescent="0.4">
      <c r="A273" s="57"/>
      <c r="B273" s="61"/>
      <c r="C273" s="61"/>
      <c r="D273" s="62"/>
      <c r="E273" s="17"/>
      <c r="F273" s="17"/>
      <c r="G273" s="17"/>
      <c r="H273" s="17"/>
      <c r="I273" s="17"/>
      <c r="J273" s="17"/>
      <c r="K273" s="111"/>
      <c r="M273" s="111"/>
      <c r="R273" s="113"/>
      <c r="S273" s="111"/>
      <c r="T273" s="111"/>
      <c r="U273" s="111"/>
      <c r="V273" s="57"/>
      <c r="W273" s="126"/>
      <c r="X273" s="126"/>
      <c r="Y273" s="126"/>
      <c r="Z273" s="126"/>
    </row>
    <row r="274" spans="1:26" s="3" customFormat="1" ht="20" x14ac:dyDescent="0.4">
      <c r="A274" s="57"/>
      <c r="B274" s="3" t="s">
        <v>82</v>
      </c>
      <c r="D274" s="27"/>
      <c r="E274" s="108">
        <f>E55/E$52</f>
        <v>-0.28932024598435924</v>
      </c>
      <c r="F274" s="104">
        <f ca="1">OFFSET(F274,$D$5,0)</f>
        <v>-0.28932024598435924</v>
      </c>
      <c r="G274" s="104">
        <f ca="1">OFFSET(G274,$D$5,0)</f>
        <v>-0.28932024598435924</v>
      </c>
      <c r="H274" s="104">
        <f ca="1">OFFSET(H274,$D$5,0)</f>
        <v>-0.28932024598435924</v>
      </c>
      <c r="I274" s="104">
        <f ca="1">OFFSET(I274,$D$5,0)</f>
        <v>-0.28932024598435924</v>
      </c>
      <c r="J274" s="104">
        <f ca="1">OFFSET(J274,$D$5,0)</f>
        <v>-0.28932024598435924</v>
      </c>
      <c r="K274" s="111" t="str">
        <f ca="1">_xlfn.FORMULATEXT(E274)</f>
        <v>=E55/E$52</v>
      </c>
      <c r="M274" s="111" t="str">
        <f ca="1">_xlfn.FORMULATEXT(F274)</f>
        <v>=OFFSET(F274,$D$5,0)</v>
      </c>
      <c r="R274" s="113"/>
      <c r="S274" s="111"/>
      <c r="T274" s="111"/>
      <c r="U274" s="111"/>
      <c r="V274" s="57"/>
      <c r="W274" s="126"/>
      <c r="X274" s="126"/>
      <c r="Y274" s="126"/>
      <c r="Z274" s="126"/>
    </row>
    <row r="275" spans="1:26" s="3" customFormat="1" ht="20" x14ac:dyDescent="0.4">
      <c r="A275" s="57"/>
      <c r="B275" s="79" t="str">
        <f>$D$7</f>
        <v>Base</v>
      </c>
      <c r="D275" s="27"/>
      <c r="E275" s="350">
        <f>E274</f>
        <v>-0.28932024598435924</v>
      </c>
      <c r="F275" s="105">
        <f>E275</f>
        <v>-0.28932024598435924</v>
      </c>
      <c r="G275" s="105">
        <f>F275</f>
        <v>-0.28932024598435924</v>
      </c>
      <c r="H275" s="105">
        <f>G275</f>
        <v>-0.28932024598435924</v>
      </c>
      <c r="I275" s="105">
        <f>H275</f>
        <v>-0.28932024598435924</v>
      </c>
      <c r="J275" s="105">
        <f>I275</f>
        <v>-0.28932024598435924</v>
      </c>
      <c r="K275" s="111" t="str">
        <f ca="1">_xlfn.FORMULATEXT(E275)</f>
        <v>=E274</v>
      </c>
      <c r="M275" s="111" t="str">
        <f ca="1">_xlfn.FORMULATEXT(F275)</f>
        <v>=E275</v>
      </c>
      <c r="O275" s="127" t="s">
        <v>150</v>
      </c>
      <c r="Q275" s="3" t="s">
        <v>398</v>
      </c>
      <c r="R275" s="113"/>
      <c r="S275" s="111"/>
      <c r="T275" s="111"/>
      <c r="U275" s="111"/>
      <c r="V275" s="57"/>
      <c r="W275" s="126"/>
      <c r="X275" s="126"/>
      <c r="Y275" s="126"/>
      <c r="Z275" s="126"/>
    </row>
    <row r="276" spans="1:26" s="3" customFormat="1" ht="20" x14ac:dyDescent="0.4">
      <c r="A276" s="57"/>
      <c r="B276" s="79" t="str">
        <f>$D$8</f>
        <v>Upside</v>
      </c>
      <c r="D276" s="27"/>
      <c r="E276" s="66"/>
      <c r="F276" s="130">
        <f>F275*$O276</f>
        <v>-0.20252417218905144</v>
      </c>
      <c r="G276" s="130">
        <f>G275*$O276</f>
        <v>-0.20252417218905144</v>
      </c>
      <c r="H276" s="130">
        <f>H275*$O276</f>
        <v>-0.20252417218905144</v>
      </c>
      <c r="I276" s="130">
        <f>I275*$O276</f>
        <v>-0.20252417218905144</v>
      </c>
      <c r="J276" s="130">
        <f>J275*$O276</f>
        <v>-0.20252417218905144</v>
      </c>
      <c r="K276" s="111"/>
      <c r="M276" s="111" t="str">
        <f ca="1">_xlfn.FORMULATEXT(F276)</f>
        <v>=F275*$O276</v>
      </c>
      <c r="O276" s="129">
        <v>0.7</v>
      </c>
      <c r="P276" s="3" t="s">
        <v>285</v>
      </c>
      <c r="R276" s="113"/>
      <c r="S276" s="111"/>
      <c r="T276" s="111"/>
      <c r="U276" s="111"/>
      <c r="V276" s="57"/>
      <c r="W276" s="126"/>
      <c r="X276" s="126"/>
      <c r="Y276" s="126"/>
      <c r="Z276" s="126"/>
    </row>
    <row r="277" spans="1:26" s="3" customFormat="1" ht="20" x14ac:dyDescent="0.4">
      <c r="A277" s="57"/>
      <c r="B277" s="79" t="str">
        <f>$D$9</f>
        <v>Downside</v>
      </c>
      <c r="D277" s="27"/>
      <c r="E277" s="66"/>
      <c r="F277" s="130">
        <f>F275*$O277</f>
        <v>-0.57864049196871847</v>
      </c>
      <c r="G277" s="130">
        <f>G275*$O277</f>
        <v>-0.57864049196871847</v>
      </c>
      <c r="H277" s="130">
        <f>H275*$O277</f>
        <v>-0.57864049196871847</v>
      </c>
      <c r="I277" s="130">
        <f>I275*$O277</f>
        <v>-0.57864049196871847</v>
      </c>
      <c r="J277" s="130">
        <f>J275*$O277</f>
        <v>-0.57864049196871847</v>
      </c>
      <c r="K277" s="111"/>
      <c r="M277" s="111" t="str">
        <f ca="1">_xlfn.FORMULATEXT(F277)</f>
        <v>=F275*$O277</v>
      </c>
      <c r="O277" s="129">
        <v>2</v>
      </c>
      <c r="P277" s="3" t="s">
        <v>286</v>
      </c>
      <c r="R277" s="113"/>
      <c r="S277" s="111"/>
      <c r="T277" s="111"/>
      <c r="U277" s="111"/>
      <c r="V277" s="57"/>
      <c r="W277" s="126"/>
      <c r="X277" s="126"/>
      <c r="Y277" s="126"/>
      <c r="Z277" s="126"/>
    </row>
    <row r="278" spans="1:26" s="3" customFormat="1" ht="20" x14ac:dyDescent="0.4">
      <c r="A278" s="57"/>
      <c r="D278" s="27"/>
      <c r="E278" s="68"/>
      <c r="F278" s="69"/>
      <c r="G278" s="69"/>
      <c r="H278" s="69"/>
      <c r="I278" s="69"/>
      <c r="J278" s="69"/>
      <c r="K278" s="111"/>
      <c r="M278" s="111"/>
      <c r="R278" s="113" t="s">
        <v>399</v>
      </c>
      <c r="S278" s="111"/>
      <c r="T278" s="111"/>
      <c r="U278" s="111"/>
      <c r="V278" s="57"/>
      <c r="W278" s="126"/>
      <c r="X278" s="126"/>
      <c r="Y278" s="126"/>
      <c r="Z278" s="126"/>
    </row>
    <row r="279" spans="1:26" s="3" customFormat="1" ht="20" x14ac:dyDescent="0.4">
      <c r="A279" s="57"/>
      <c r="B279" s="12" t="s">
        <v>83</v>
      </c>
      <c r="C279" s="12"/>
      <c r="D279" s="38"/>
      <c r="E279" s="108">
        <f>E56/E$52</f>
        <v>-4.7194588797446896E-2</v>
      </c>
      <c r="F279" s="104">
        <f ca="1">OFFSET(F279,$D$5,0)</f>
        <v>-6.8161619270937557E-2</v>
      </c>
      <c r="G279" s="104">
        <f ca="1">OFFSET(G279,$D$5,0)</f>
        <v>-8.9128649744428218E-2</v>
      </c>
      <c r="H279" s="104">
        <f ca="1">OFFSET(H279,$D$5,0)</f>
        <v>-0.11009568021791888</v>
      </c>
      <c r="I279" s="104">
        <f ca="1">OFFSET(I279,$D$5,0)</f>
        <v>-0.13106271069140954</v>
      </c>
      <c r="J279" s="104">
        <f ca="1">OFFSET(J279,$D$5,0)</f>
        <v>-0.15202974116490017</v>
      </c>
      <c r="K279" s="111" t="str">
        <f ca="1">_xlfn.FORMULATEXT(E279)</f>
        <v>=E56/E$52</v>
      </c>
      <c r="M279" s="111" t="str">
        <f ca="1">_xlfn.FORMULATEXT(F279)</f>
        <v>=OFFSET(F279,$D$5,0)</v>
      </c>
      <c r="R279" s="113"/>
      <c r="S279" s="111"/>
      <c r="T279" s="111"/>
      <c r="U279" s="111"/>
      <c r="V279" s="57"/>
      <c r="W279" s="126"/>
      <c r="X279" s="126"/>
      <c r="Y279" s="126"/>
      <c r="Z279" s="126"/>
    </row>
    <row r="280" spans="1:26" s="3" customFormat="1" ht="20" x14ac:dyDescent="0.4">
      <c r="A280" s="57"/>
      <c r="B280" s="79" t="str">
        <f>$D$7</f>
        <v>Base</v>
      </c>
      <c r="C280" s="12"/>
      <c r="D280" s="38"/>
      <c r="E280" s="350">
        <f>E279</f>
        <v>-4.7194588797446896E-2</v>
      </c>
      <c r="F280" s="156">
        <f>($J$280-$E$280)/5+E280</f>
        <v>-6.8161619270937557E-2</v>
      </c>
      <c r="G280" s="156">
        <f>($J$280-$E$280)/5+F280</f>
        <v>-8.9128649744428218E-2</v>
      </c>
      <c r="H280" s="156">
        <f>($J$280-$E$280)/5+G280</f>
        <v>-0.11009568021791888</v>
      </c>
      <c r="I280" s="156">
        <f>($J$280-$E$280)/5+H280</f>
        <v>-0.13106271069140954</v>
      </c>
      <c r="J280" s="156">
        <f>-J214</f>
        <v>-0.15202974116490017</v>
      </c>
      <c r="K280" s="111" t="str">
        <f ca="1">_xlfn.FORMULATEXT(E280)</f>
        <v>=E279</v>
      </c>
      <c r="L280" s="111" t="str">
        <f ca="1">_xlfn.FORMULATEXT(F280)</f>
        <v>=($J$280-$E$280)/5+E280</v>
      </c>
      <c r="O280" s="127" t="s">
        <v>150</v>
      </c>
      <c r="R280" s="113"/>
      <c r="S280" s="111"/>
      <c r="T280" s="111"/>
      <c r="U280" s="111"/>
      <c r="V280" s="57"/>
      <c r="W280" s="126"/>
      <c r="X280" s="126"/>
      <c r="Y280" s="126"/>
      <c r="Z280" s="126"/>
    </row>
    <row r="281" spans="1:26" s="3" customFormat="1" ht="20" x14ac:dyDescent="0.4">
      <c r="A281" s="57"/>
      <c r="B281" s="79" t="str">
        <f>$D$8</f>
        <v>Upside</v>
      </c>
      <c r="C281" s="12"/>
      <c r="D281" s="38"/>
      <c r="E281" s="66"/>
      <c r="F281" s="157">
        <f>F280</f>
        <v>-6.8161619270937557E-2</v>
      </c>
      <c r="G281" s="157">
        <f>G280</f>
        <v>-8.9128649744428218E-2</v>
      </c>
      <c r="H281" s="157">
        <f>H280</f>
        <v>-0.11009568021791888</v>
      </c>
      <c r="I281" s="157">
        <f>I280</f>
        <v>-0.13106271069140954</v>
      </c>
      <c r="J281" s="157">
        <f>J280</f>
        <v>-0.15202974116490017</v>
      </c>
      <c r="K281" s="111"/>
      <c r="M281" s="111" t="str">
        <f ca="1">_xlfn.FORMULATEXT(F281)</f>
        <v>=F280</v>
      </c>
      <c r="O281" s="129" t="s">
        <v>153</v>
      </c>
      <c r="R281" s="113"/>
      <c r="S281" s="111" t="s">
        <v>400</v>
      </c>
      <c r="T281" s="111"/>
      <c r="U281" s="111"/>
      <c r="V281" s="57"/>
      <c r="W281" s="126"/>
      <c r="X281" s="126"/>
      <c r="Y281" s="126"/>
      <c r="Z281" s="126"/>
    </row>
    <row r="282" spans="1:26" s="3" customFormat="1" ht="20" x14ac:dyDescent="0.4">
      <c r="A282" s="57"/>
      <c r="B282" s="79" t="str">
        <f>$D$9</f>
        <v>Downside</v>
      </c>
      <c r="C282" s="12"/>
      <c r="D282" s="38"/>
      <c r="E282" s="66"/>
      <c r="F282" s="157">
        <f>F280</f>
        <v>-6.8161619270937557E-2</v>
      </c>
      <c r="G282" s="157">
        <f>G280</f>
        <v>-8.9128649744428218E-2</v>
      </c>
      <c r="H282" s="157">
        <f>H280</f>
        <v>-0.11009568021791888</v>
      </c>
      <c r="I282" s="157">
        <f>I280</f>
        <v>-0.13106271069140954</v>
      </c>
      <c r="J282" s="157">
        <f>J280</f>
        <v>-0.15202974116490017</v>
      </c>
      <c r="K282" s="111"/>
      <c r="M282" s="111" t="str">
        <f ca="1">_xlfn.FORMULATEXT(F282)</f>
        <v>=F280</v>
      </c>
      <c r="O282" s="129" t="s">
        <v>153</v>
      </c>
      <c r="R282" s="113"/>
      <c r="S282" s="111"/>
      <c r="T282" s="111"/>
      <c r="U282" s="111"/>
      <c r="V282" s="57"/>
      <c r="W282" s="126"/>
      <c r="X282" s="126"/>
      <c r="Y282" s="126"/>
      <c r="Z282" s="126"/>
    </row>
    <row r="283" spans="1:26" s="3" customFormat="1" ht="20" x14ac:dyDescent="0.4">
      <c r="A283" s="57"/>
      <c r="B283" s="39"/>
      <c r="C283" s="39"/>
      <c r="D283" s="40"/>
      <c r="E283" s="41"/>
      <c r="F283" s="41"/>
      <c r="G283" s="41"/>
      <c r="H283" s="41"/>
      <c r="I283" s="41"/>
      <c r="J283" s="41"/>
      <c r="K283" s="111"/>
      <c r="M283" s="111"/>
      <c r="R283" s="113"/>
      <c r="S283" s="111"/>
      <c r="T283" s="111"/>
      <c r="U283" s="111"/>
      <c r="V283" s="57"/>
      <c r="W283" s="126"/>
      <c r="X283" s="126"/>
      <c r="Y283" s="126"/>
      <c r="Z283" s="126"/>
    </row>
    <row r="284" spans="1:26" s="3" customFormat="1" ht="20" x14ac:dyDescent="0.4">
      <c r="A284" s="57"/>
      <c r="B284" s="12" t="s">
        <v>84</v>
      </c>
      <c r="C284" s="12"/>
      <c r="D284" s="38"/>
      <c r="E284" s="108">
        <f>E58/E$52</f>
        <v>4.4952845770781895E-3</v>
      </c>
      <c r="F284" s="104">
        <f ca="1">OFFSET(F284,$D$5,0)</f>
        <v>4.4952845770781895E-3</v>
      </c>
      <c r="G284" s="104">
        <f ca="1">OFFSET(G284,$D$5,0)</f>
        <v>4.4952845770781895E-3</v>
      </c>
      <c r="H284" s="104">
        <f ca="1">OFFSET(H284,$D$5,0)</f>
        <v>4.4952845770781895E-3</v>
      </c>
      <c r="I284" s="104">
        <f ca="1">OFFSET(I284,$D$5,0)</f>
        <v>4.4952845770781895E-3</v>
      </c>
      <c r="J284" s="104">
        <f ca="1">OFFSET(J284,$D$5,0)</f>
        <v>4.4952845770781895E-3</v>
      </c>
      <c r="K284" s="111" t="str">
        <f t="shared" ref="K284:K290" ca="1" si="232">_xlfn.FORMULATEXT(E284)</f>
        <v>=E58/E$52</v>
      </c>
      <c r="M284" s="111" t="str">
        <f ca="1">_xlfn.FORMULATEXT(F284)</f>
        <v>=OFFSET(F284,$D$5,0)</v>
      </c>
      <c r="R284" s="113"/>
      <c r="S284" s="111"/>
      <c r="T284" s="111"/>
      <c r="U284" s="111"/>
      <c r="V284" s="57"/>
      <c r="W284" s="126"/>
      <c r="X284" s="126"/>
      <c r="Y284" s="126"/>
      <c r="Z284" s="126"/>
    </row>
    <row r="285" spans="1:26" s="3" customFormat="1" ht="20" x14ac:dyDescent="0.4">
      <c r="A285" s="57"/>
      <c r="B285" s="79" t="str">
        <f>$D$7</f>
        <v>Base</v>
      </c>
      <c r="C285" s="12"/>
      <c r="D285" s="38"/>
      <c r="E285" s="350">
        <f>E284</f>
        <v>4.4952845770781895E-3</v>
      </c>
      <c r="F285" s="105">
        <f>E285</f>
        <v>4.4952845770781895E-3</v>
      </c>
      <c r="G285" s="105">
        <f>F285</f>
        <v>4.4952845770781895E-3</v>
      </c>
      <c r="H285" s="105">
        <f>G285</f>
        <v>4.4952845770781895E-3</v>
      </c>
      <c r="I285" s="105">
        <f>H285</f>
        <v>4.4952845770781895E-3</v>
      </c>
      <c r="J285" s="105">
        <f>I285</f>
        <v>4.4952845770781895E-3</v>
      </c>
      <c r="K285" s="111" t="str">
        <f t="shared" ca="1" si="232"/>
        <v>=E284</v>
      </c>
      <c r="M285" s="111" t="str">
        <f ca="1">_xlfn.FORMULATEXT(F285)</f>
        <v>=E285</v>
      </c>
      <c r="O285" s="127" t="s">
        <v>150</v>
      </c>
      <c r="R285" s="113"/>
      <c r="S285" s="111"/>
      <c r="T285" s="111"/>
      <c r="U285" s="111"/>
      <c r="V285" s="57"/>
      <c r="W285" s="126"/>
      <c r="X285" s="126"/>
      <c r="Y285" s="126"/>
      <c r="Z285" s="126"/>
    </row>
    <row r="286" spans="1:26" s="3" customFormat="1" ht="20" x14ac:dyDescent="0.4">
      <c r="A286" s="57"/>
      <c r="B286" s="79" t="str">
        <f>$D$8</f>
        <v>Upside</v>
      </c>
      <c r="C286" s="12"/>
      <c r="D286" s="38"/>
      <c r="E286" s="66"/>
      <c r="F286" s="130">
        <f>F285*$O286</f>
        <v>4.4952845770781895E-3</v>
      </c>
      <c r="G286" s="130">
        <f>G285*$O286</f>
        <v>4.4952845770781895E-3</v>
      </c>
      <c r="H286" s="130">
        <f>H285*$O286</f>
        <v>4.4952845770781895E-3</v>
      </c>
      <c r="I286" s="130">
        <f>I285*$O286</f>
        <v>4.4952845770781895E-3</v>
      </c>
      <c r="J286" s="130">
        <f>J285*$O286</f>
        <v>4.4952845770781895E-3</v>
      </c>
      <c r="K286" s="111"/>
      <c r="M286" s="111" t="str">
        <f ca="1">_xlfn.FORMULATEXT(F286)</f>
        <v>=F285*$O286</v>
      </c>
      <c r="O286" s="129">
        <v>1</v>
      </c>
      <c r="R286" s="113"/>
      <c r="S286" s="111"/>
      <c r="T286" s="111"/>
      <c r="U286" s="111"/>
      <c r="V286" s="57"/>
      <c r="W286" s="126"/>
      <c r="X286" s="126"/>
      <c r="Y286" s="126"/>
      <c r="Z286" s="126"/>
    </row>
    <row r="287" spans="1:26" s="3" customFormat="1" ht="20" x14ac:dyDescent="0.4">
      <c r="A287" s="57"/>
      <c r="B287" s="79" t="str">
        <f>$D$9</f>
        <v>Downside</v>
      </c>
      <c r="C287" s="12"/>
      <c r="D287" s="38"/>
      <c r="E287" s="66"/>
      <c r="F287" s="130">
        <f>F285*$O287</f>
        <v>4.4952845770781895E-3</v>
      </c>
      <c r="G287" s="130">
        <f>G285*$O287</f>
        <v>4.4952845770781895E-3</v>
      </c>
      <c r="H287" s="130">
        <f>H285*$O287</f>
        <v>4.4952845770781895E-3</v>
      </c>
      <c r="I287" s="130">
        <f>I285*$O287</f>
        <v>4.4952845770781895E-3</v>
      </c>
      <c r="J287" s="130">
        <f>J285*$O287</f>
        <v>4.4952845770781895E-3</v>
      </c>
      <c r="K287" s="111"/>
      <c r="M287" s="111" t="str">
        <f ca="1">_xlfn.FORMULATEXT(F287)</f>
        <v>=F285*$O287</v>
      </c>
      <c r="O287" s="129">
        <v>1</v>
      </c>
      <c r="R287" s="113"/>
      <c r="S287" s="111"/>
      <c r="T287" s="111"/>
      <c r="U287" s="111"/>
      <c r="V287" s="57"/>
      <c r="W287" s="126"/>
      <c r="X287" s="126"/>
      <c r="Y287" s="126"/>
      <c r="Z287" s="126"/>
    </row>
    <row r="288" spans="1:26" s="3" customFormat="1" ht="20" x14ac:dyDescent="0.4">
      <c r="A288" s="57"/>
      <c r="B288" s="39"/>
      <c r="C288" s="39"/>
      <c r="D288" s="40"/>
      <c r="E288" s="42"/>
      <c r="F288" s="42"/>
      <c r="G288" s="42"/>
      <c r="H288" s="42"/>
      <c r="I288" s="42"/>
      <c r="J288" s="42"/>
      <c r="K288" s="111"/>
      <c r="M288" s="111"/>
      <c r="R288" s="113"/>
      <c r="S288" s="111"/>
      <c r="T288" s="111"/>
      <c r="U288" s="111"/>
      <c r="V288" s="57"/>
      <c r="W288" s="126"/>
      <c r="X288" s="126"/>
      <c r="Y288" s="126"/>
      <c r="Z288" s="126"/>
    </row>
    <row r="289" spans="1:30" ht="20" x14ac:dyDescent="0.4">
      <c r="A289" s="57"/>
      <c r="B289" s="12" t="s">
        <v>386</v>
      </c>
      <c r="C289" s="12"/>
      <c r="D289" s="38"/>
      <c r="E289" s="108">
        <f>E62/E61</f>
        <v>-0.20031141866642474</v>
      </c>
      <c r="F289" s="104">
        <f ca="1">OFFSET(F289,$D$5,0)</f>
        <v>-0.20031141866642474</v>
      </c>
      <c r="G289" s="104">
        <f ca="1">OFFSET(G289,$D$5,0)</f>
        <v>-0.20031141866642474</v>
      </c>
      <c r="H289" s="104">
        <f ca="1">OFFSET(H289,$D$5,0)</f>
        <v>-0.20031141866642474</v>
      </c>
      <c r="I289" s="104">
        <f ca="1">OFFSET(I289,$D$5,0)</f>
        <v>-0.20031141866642474</v>
      </c>
      <c r="J289" s="104">
        <f ca="1">OFFSET(J289,$D$5,0)</f>
        <v>-0.20031141866642474</v>
      </c>
      <c r="K289" s="111" t="str">
        <f t="shared" ca="1" si="232"/>
        <v>=E62/E61</v>
      </c>
      <c r="M289" s="111" t="str">
        <f ca="1">_xlfn.FORMULATEXT(F289)</f>
        <v>=OFFSET(F289,$D$5,0)</v>
      </c>
      <c r="R289" s="113"/>
      <c r="S289" s="111"/>
      <c r="T289" s="111"/>
      <c r="U289" s="111"/>
      <c r="V289" s="57"/>
      <c r="W289" s="126"/>
      <c r="X289" s="126"/>
      <c r="Y289" s="126"/>
      <c r="Z289" s="126"/>
      <c r="AA289" s="3"/>
    </row>
    <row r="290" spans="1:30" ht="20" x14ac:dyDescent="0.4">
      <c r="A290" s="57"/>
      <c r="B290" s="79" t="str">
        <f>$D$7</f>
        <v>Base</v>
      </c>
      <c r="C290" s="12" t="s">
        <v>387</v>
      </c>
      <c r="D290" s="38"/>
      <c r="E290" s="350">
        <f>E289</f>
        <v>-0.20031141866642474</v>
      </c>
      <c r="F290" s="105">
        <f>E290</f>
        <v>-0.20031141866642474</v>
      </c>
      <c r="G290" s="105">
        <f>F290</f>
        <v>-0.20031141866642474</v>
      </c>
      <c r="H290" s="105">
        <f>G290</f>
        <v>-0.20031141866642474</v>
      </c>
      <c r="I290" s="105">
        <f>H290</f>
        <v>-0.20031141866642474</v>
      </c>
      <c r="J290" s="105">
        <f>I290</f>
        <v>-0.20031141866642474</v>
      </c>
      <c r="K290" s="111" t="str">
        <f t="shared" ca="1" si="232"/>
        <v>=E289</v>
      </c>
      <c r="M290" s="111" t="str">
        <f ca="1">_xlfn.FORMULATEXT(F290)</f>
        <v>=E290</v>
      </c>
      <c r="O290" s="127" t="s">
        <v>150</v>
      </c>
      <c r="R290" s="113"/>
      <c r="S290" s="111"/>
      <c r="T290" s="111"/>
      <c r="U290" s="111"/>
      <c r="V290" s="57"/>
      <c r="W290" s="126"/>
      <c r="X290" s="126"/>
      <c r="Y290" s="126"/>
      <c r="Z290" s="126"/>
      <c r="AA290" s="3"/>
    </row>
    <row r="291" spans="1:30" ht="20" x14ac:dyDescent="0.4">
      <c r="A291" s="57"/>
      <c r="B291" s="79" t="str">
        <f>$D$8</f>
        <v>Upside</v>
      </c>
      <c r="C291" s="12"/>
      <c r="D291" s="38"/>
      <c r="E291" s="66"/>
      <c r="F291" s="130">
        <f>F290*$O291</f>
        <v>-0.20031141866642474</v>
      </c>
      <c r="G291" s="130">
        <f>G290*$O291</f>
        <v>-0.20031141866642474</v>
      </c>
      <c r="H291" s="130">
        <f>H290*$O291</f>
        <v>-0.20031141866642474</v>
      </c>
      <c r="I291" s="130">
        <f>I290*$O291</f>
        <v>-0.20031141866642474</v>
      </c>
      <c r="J291" s="130">
        <f>J290*$O291</f>
        <v>-0.20031141866642474</v>
      </c>
      <c r="K291" s="111"/>
      <c r="M291" s="111" t="str">
        <f ca="1">_xlfn.FORMULATEXT(F291)</f>
        <v>=F290*$O291</v>
      </c>
      <c r="O291" s="349">
        <v>1</v>
      </c>
      <c r="R291" s="113"/>
      <c r="S291" s="111"/>
      <c r="T291" s="111"/>
      <c r="U291" s="111"/>
      <c r="V291" s="57"/>
      <c r="W291" s="126"/>
      <c r="X291" s="126"/>
      <c r="Y291" s="126"/>
      <c r="Z291" s="126"/>
      <c r="AA291" s="3"/>
    </row>
    <row r="292" spans="1:30" ht="20" x14ac:dyDescent="0.4">
      <c r="A292" s="57"/>
      <c r="B292" s="79" t="str">
        <f>$D$9</f>
        <v>Downside</v>
      </c>
      <c r="C292" s="12"/>
      <c r="D292" s="38"/>
      <c r="E292" s="66"/>
      <c r="F292" s="130">
        <f>F290</f>
        <v>-0.20031141866642474</v>
      </c>
      <c r="G292" s="351">
        <v>-0.35</v>
      </c>
      <c r="H292" s="130">
        <f>G292</f>
        <v>-0.35</v>
      </c>
      <c r="I292" s="130">
        <f>H292</f>
        <v>-0.35</v>
      </c>
      <c r="J292" s="130">
        <f>I292</f>
        <v>-0.35</v>
      </c>
      <c r="K292" s="111"/>
      <c r="M292" s="111" t="str">
        <f ca="1">_xlfn.FORMULATEXT(F292)</f>
        <v>=F290</v>
      </c>
      <c r="O292" s="349" t="s">
        <v>152</v>
      </c>
      <c r="R292" s="113"/>
      <c r="S292" s="111"/>
      <c r="T292" s="111"/>
      <c r="U292" s="111"/>
      <c r="V292" s="57"/>
      <c r="W292" s="126"/>
      <c r="X292" s="126"/>
      <c r="Y292" s="126"/>
      <c r="Z292" s="126"/>
      <c r="AA292" s="3"/>
    </row>
    <row r="293" spans="1:30" s="12" customFormat="1" ht="35.5" x14ac:dyDescent="0.4">
      <c r="A293" s="60"/>
      <c r="B293" s="337" t="s">
        <v>392</v>
      </c>
      <c r="C293" s="3"/>
      <c r="D293" s="27"/>
      <c r="E293" s="45"/>
      <c r="F293" s="45"/>
      <c r="G293" s="45"/>
      <c r="H293" s="45"/>
      <c r="I293" s="45"/>
      <c r="J293" s="45"/>
      <c r="K293" s="3"/>
      <c r="L293" s="3"/>
      <c r="M293" s="3"/>
      <c r="N293" s="3"/>
      <c r="O293" s="3"/>
      <c r="P293" s="3"/>
      <c r="Q293" s="3"/>
      <c r="R293" s="3"/>
      <c r="S293" s="111"/>
      <c r="T293" s="111"/>
      <c r="U293" s="111"/>
      <c r="V293" s="60"/>
      <c r="W293" s="126"/>
      <c r="X293" s="126"/>
      <c r="Y293" s="126"/>
      <c r="Z293" s="126"/>
      <c r="AA293" s="3"/>
      <c r="AB293" s="3"/>
      <c r="AC293" s="3"/>
      <c r="AD293" s="3"/>
    </row>
    <row r="294" spans="1:30" ht="24" x14ac:dyDescent="0.8">
      <c r="A294" s="57"/>
      <c r="D294" s="59" t="str">
        <f>D$11</f>
        <v>Historical</v>
      </c>
      <c r="E294" s="59"/>
      <c r="F294" s="59" t="str">
        <f>F$11</f>
        <v>Forecast</v>
      </c>
      <c r="G294" s="59"/>
      <c r="H294" s="59"/>
      <c r="I294" s="59"/>
      <c r="J294" s="59"/>
      <c r="K294" s="8" t="s">
        <v>260</v>
      </c>
      <c r="O294" s="173"/>
      <c r="S294" s="111"/>
      <c r="T294" s="111"/>
      <c r="U294" s="111"/>
      <c r="V294" s="60"/>
      <c r="W294" s="161"/>
      <c r="X294" s="161"/>
      <c r="Y294" s="161"/>
      <c r="Z294" s="161"/>
    </row>
    <row r="295" spans="1:30" ht="20.5" thickBot="1" x14ac:dyDescent="0.45">
      <c r="A295" s="57" t="s">
        <v>67</v>
      </c>
      <c r="B295" s="4" t="s">
        <v>154</v>
      </c>
      <c r="C295" s="4"/>
      <c r="D295" s="75">
        <f t="shared" ref="D295:J295" si="233">D$12</f>
        <v>2019</v>
      </c>
      <c r="E295" s="75">
        <f t="shared" si="233"/>
        <v>2020</v>
      </c>
      <c r="F295" s="75">
        <f t="shared" si="233"/>
        <v>2021</v>
      </c>
      <c r="G295" s="75">
        <f t="shared" si="233"/>
        <v>2022</v>
      </c>
      <c r="H295" s="75">
        <f t="shared" si="233"/>
        <v>2023</v>
      </c>
      <c r="I295" s="75">
        <f t="shared" si="233"/>
        <v>2024</v>
      </c>
      <c r="J295" s="75">
        <f t="shared" si="233"/>
        <v>2025</v>
      </c>
      <c r="K295" s="172">
        <f>J295</f>
        <v>2025</v>
      </c>
      <c r="M295" s="175" t="s">
        <v>137</v>
      </c>
      <c r="N295" s="123"/>
      <c r="O295" s="123"/>
      <c r="P295" s="174"/>
      <c r="Q295" s="174"/>
      <c r="R295" s="174"/>
      <c r="S295" s="111"/>
      <c r="T295" s="111"/>
      <c r="U295" s="111"/>
      <c r="V295" s="60"/>
      <c r="W295" s="161"/>
      <c r="X295" s="161"/>
      <c r="Y295" s="161"/>
      <c r="Z295" s="161"/>
    </row>
    <row r="296" spans="1:30" ht="20" x14ac:dyDescent="0.4">
      <c r="A296" s="57"/>
      <c r="B296" s="352" t="s">
        <v>261</v>
      </c>
      <c r="E296" s="184">
        <v>44196</v>
      </c>
      <c r="F296" s="202">
        <f>EOMONTH(E296,6)</f>
        <v>44377</v>
      </c>
      <c r="G296" s="202">
        <f>EOMONTH(F296,12)</f>
        <v>44742</v>
      </c>
      <c r="H296" s="202">
        <f>EOMONTH(G296,12)</f>
        <v>45107</v>
      </c>
      <c r="I296" s="202">
        <f>EOMONTH(H296,12)</f>
        <v>45473</v>
      </c>
      <c r="J296" s="202">
        <f>EOMONTH(I296,12)</f>
        <v>45838</v>
      </c>
      <c r="K296" s="111" t="str">
        <f ca="1">_xlfn.FORMULATEXT(J296)</f>
        <v>=EOMONTH(I296,12)</v>
      </c>
      <c r="N296" s="12" t="s">
        <v>228</v>
      </c>
      <c r="P296" s="12"/>
      <c r="Q296" s="12"/>
      <c r="R296" s="12"/>
      <c r="S296" s="111"/>
      <c r="T296" s="111"/>
      <c r="U296" s="111"/>
      <c r="V296" s="60"/>
      <c r="W296" s="161"/>
      <c r="X296" s="161"/>
      <c r="Y296" s="161"/>
      <c r="Z296" s="161"/>
    </row>
    <row r="297" spans="1:30" ht="20" x14ac:dyDescent="0.4">
      <c r="A297" s="57"/>
      <c r="B297" s="133" t="s">
        <v>227</v>
      </c>
      <c r="C297" s="133"/>
      <c r="D297" s="134"/>
      <c r="E297" s="134"/>
      <c r="F297" s="152">
        <f ca="1">F124</f>
        <v>345.72004285567471</v>
      </c>
      <c r="G297" s="152">
        <f ca="1">G124</f>
        <v>332.76863224877212</v>
      </c>
      <c r="H297" s="152">
        <f ca="1">H124</f>
        <v>318.45957189770974</v>
      </c>
      <c r="I297" s="152">
        <f ca="1">I124</f>
        <v>302.66550726735761</v>
      </c>
      <c r="J297" s="152">
        <f ca="1">J124</f>
        <v>285.66553612933012</v>
      </c>
      <c r="K297" s="111" t="str">
        <f ca="1">_xlfn.FORMULATEXT(J297)</f>
        <v>=J124</v>
      </c>
      <c r="S297" s="111"/>
      <c r="T297" s="111"/>
      <c r="U297" s="111"/>
      <c r="V297" s="60"/>
      <c r="W297" s="161"/>
      <c r="X297" s="161"/>
      <c r="Y297" s="161"/>
      <c r="Z297" s="161"/>
    </row>
    <row r="298" spans="1:30" ht="20" x14ac:dyDescent="0.4">
      <c r="A298" s="57"/>
      <c r="B298" s="133"/>
      <c r="C298" s="133"/>
      <c r="D298" s="134"/>
      <c r="E298" s="134"/>
      <c r="F298" s="134"/>
      <c r="G298" s="134"/>
      <c r="H298" s="134"/>
      <c r="I298" s="134"/>
      <c r="J298" s="134"/>
      <c r="K298" s="111"/>
      <c r="M298" s="174" t="s">
        <v>259</v>
      </c>
      <c r="S298" s="111"/>
      <c r="T298" s="111"/>
      <c r="U298" s="111"/>
      <c r="V298" s="60"/>
      <c r="W298" s="161"/>
      <c r="X298" s="161"/>
      <c r="Y298" s="161"/>
      <c r="Z298" s="161"/>
    </row>
    <row r="299" spans="1:30" ht="20.5" x14ac:dyDescent="0.45">
      <c r="A299" s="57"/>
      <c r="B299" s="3" t="s">
        <v>155</v>
      </c>
      <c r="E299" s="354" t="str">
        <f ca="1">_xlfn.FORMULATEXT(F299)</f>
        <v>=YEARFRAC($E$296,F296,1)</v>
      </c>
      <c r="F299" s="360">
        <f>YEARFRAC($E$296,F296,1)</f>
        <v>0.49589041095890413</v>
      </c>
      <c r="G299" s="360">
        <f t="shared" ref="G299:J299" si="234">YEARFRAC($E$296,G296,1)</f>
        <v>1.4945255474452555</v>
      </c>
      <c r="H299" s="360">
        <f t="shared" si="234"/>
        <v>2.4941820670773445</v>
      </c>
      <c r="I299" s="360">
        <f t="shared" si="234"/>
        <v>3.4948002189381504</v>
      </c>
      <c r="J299" s="360">
        <f t="shared" si="234"/>
        <v>4.4945255474452557</v>
      </c>
      <c r="K299" s="111" t="str">
        <f ca="1">_xlfn.FORMULATEXT(J299)</f>
        <v>=YEARFRAC($E$296,J296,1)</v>
      </c>
      <c r="M299" s="182">
        <v>0.5</v>
      </c>
      <c r="N299" s="3" t="s">
        <v>287</v>
      </c>
      <c r="S299" s="111"/>
      <c r="T299" s="111"/>
      <c r="U299" s="111"/>
      <c r="V299" s="60"/>
      <c r="W299" s="161"/>
      <c r="X299" s="161"/>
      <c r="Y299" s="161"/>
      <c r="Z299" s="161"/>
    </row>
    <row r="300" spans="1:30" ht="20" x14ac:dyDescent="0.4">
      <c r="A300" s="57"/>
      <c r="B300" s="3" t="s">
        <v>402</v>
      </c>
      <c r="D300" s="183" t="str">
        <f ca="1">_xlfn.FORMULATEXT(E300)</f>
        <v>=E334</v>
      </c>
      <c r="E300" s="355">
        <f>E334</f>
        <v>8.9517368820667811E-2</v>
      </c>
      <c r="F300" s="156">
        <f>E300</f>
        <v>8.9517368820667811E-2</v>
      </c>
      <c r="G300" s="156">
        <f t="shared" ref="G300:J300" si="235">F300</f>
        <v>8.9517368820667811E-2</v>
      </c>
      <c r="H300" s="156">
        <f t="shared" si="235"/>
        <v>8.9517368820667811E-2</v>
      </c>
      <c r="I300" s="156">
        <f t="shared" si="235"/>
        <v>8.9517368820667811E-2</v>
      </c>
      <c r="J300" s="156">
        <f t="shared" si="235"/>
        <v>8.9517368820667811E-2</v>
      </c>
      <c r="K300" s="111" t="str">
        <f ca="1">_xlfn.FORMULATEXT(J300)</f>
        <v>=I300</v>
      </c>
      <c r="S300" s="111"/>
      <c r="T300" s="111"/>
      <c r="U300" s="111"/>
      <c r="V300" s="60"/>
      <c r="W300" s="161"/>
      <c r="X300" s="161"/>
      <c r="Y300" s="161"/>
      <c r="Z300" s="161"/>
    </row>
    <row r="301" spans="1:30" ht="20.5" x14ac:dyDescent="0.45">
      <c r="A301" s="57"/>
      <c r="B301" s="162" t="s">
        <v>257</v>
      </c>
      <c r="C301" s="162"/>
      <c r="D301" s="162"/>
      <c r="E301" s="354" t="str">
        <f ca="1">_xlfn.FORMULATEXT(F301)</f>
        <v>=1/(1+F300)^F299</v>
      </c>
      <c r="F301" s="163">
        <f>1/(1+F300)^F299</f>
        <v>0.95837601906516667</v>
      </c>
      <c r="G301" s="163">
        <f t="shared" ref="G301:J301" si="236">1/(1+G300)^G299</f>
        <v>0.87973647662274979</v>
      </c>
      <c r="H301" s="163">
        <f t="shared" si="236"/>
        <v>0.80747898919279315</v>
      </c>
      <c r="I301" s="163">
        <f t="shared" si="236"/>
        <v>0.74109529536575047</v>
      </c>
      <c r="J301" s="163">
        <f t="shared" si="236"/>
        <v>0.68022114081581719</v>
      </c>
      <c r="K301" s="111" t="str">
        <f ca="1">_xlfn.FORMULATEXT(J301)</f>
        <v>=1/(1+J300)^J299</v>
      </c>
      <c r="S301" s="111"/>
      <c r="T301" s="111"/>
      <c r="U301" s="111"/>
      <c r="V301" s="60"/>
      <c r="W301" s="161"/>
      <c r="X301" s="161"/>
      <c r="Y301" s="161"/>
      <c r="Z301" s="161"/>
    </row>
    <row r="302" spans="1:30" ht="20" x14ac:dyDescent="0.4">
      <c r="A302" s="57"/>
      <c r="E302" s="136"/>
      <c r="F302" s="136"/>
      <c r="G302" s="136"/>
      <c r="H302" s="136"/>
      <c r="I302" s="136"/>
      <c r="J302" s="136"/>
      <c r="K302" s="111"/>
      <c r="S302" s="111"/>
      <c r="T302" s="111"/>
      <c r="U302" s="111"/>
      <c r="V302" s="60"/>
      <c r="W302" s="161"/>
      <c r="X302" s="161"/>
      <c r="Y302" s="161"/>
      <c r="Z302" s="161"/>
    </row>
    <row r="303" spans="1:30" ht="20" x14ac:dyDescent="0.4">
      <c r="A303" s="57"/>
      <c r="B303" s="3" t="s">
        <v>226</v>
      </c>
      <c r="F303" s="100">
        <f ca="1">F301*F297</f>
        <v>331.32979838306034</v>
      </c>
      <c r="G303" s="100">
        <f t="shared" ref="G303:J303" ca="1" si="237">G301*G297</f>
        <v>292.74870406510632</v>
      </c>
      <c r="H303" s="100">
        <f t="shared" ca="1" si="237"/>
        <v>257.14941321473231</v>
      </c>
      <c r="I303" s="100">
        <f t="shared" ca="1" si="237"/>
        <v>224.3039835053271</v>
      </c>
      <c r="J303" s="100">
        <f t="shared" ca="1" si="237"/>
        <v>194.31573687765498</v>
      </c>
      <c r="K303" s="111" t="str">
        <f ca="1">_xlfn.FORMULATEXT(J303)</f>
        <v>=J301*J297</v>
      </c>
      <c r="S303" s="111"/>
      <c r="T303" s="111"/>
      <c r="U303" s="111"/>
      <c r="V303" s="60"/>
      <c r="W303" s="161"/>
      <c r="X303" s="161"/>
      <c r="Y303" s="161"/>
      <c r="Z303" s="161"/>
    </row>
    <row r="304" spans="1:30" ht="20" x14ac:dyDescent="0.4">
      <c r="A304" s="57"/>
      <c r="B304" s="144" t="s">
        <v>229</v>
      </c>
      <c r="F304" s="176">
        <f ca="1">F297/(1+F300)^F299</f>
        <v>331.32979838306034</v>
      </c>
      <c r="G304" s="176">
        <f t="shared" ref="G304:J304" ca="1" si="238">G297/(1+G300)^G299</f>
        <v>292.74870406510632</v>
      </c>
      <c r="H304" s="176">
        <f t="shared" ca="1" si="238"/>
        <v>257.14941321473231</v>
      </c>
      <c r="I304" s="176">
        <f t="shared" ca="1" si="238"/>
        <v>224.30398350532707</v>
      </c>
      <c r="J304" s="176">
        <f t="shared" ca="1" si="238"/>
        <v>194.31573687765498</v>
      </c>
      <c r="K304" s="111" t="str">
        <f ca="1">_xlfn.FORMULATEXT(J304)</f>
        <v>=J297/(1+J300)^J299</v>
      </c>
      <c r="S304" s="111"/>
      <c r="T304" s="111"/>
      <c r="U304" s="111"/>
      <c r="V304" s="60"/>
      <c r="W304" s="161"/>
      <c r="X304" s="161"/>
      <c r="Y304" s="161"/>
      <c r="Z304" s="161"/>
    </row>
    <row r="305" spans="1:26" ht="20" x14ac:dyDescent="0.4">
      <c r="A305" s="57"/>
      <c r="B305" s="3" t="s">
        <v>193</v>
      </c>
      <c r="E305" s="100">
        <f ca="1">SUM(F303:J303)</f>
        <v>1299.847636045881</v>
      </c>
      <c r="F305" s="111" t="str">
        <f t="shared" ref="F305:F315" ca="1" si="239">_xlfn.FORMULATEXT(E305)</f>
        <v>=SUM(F303:J303)</v>
      </c>
      <c r="H305" s="3" t="s">
        <v>299</v>
      </c>
      <c r="S305" s="111"/>
      <c r="T305" s="111"/>
      <c r="U305" s="111"/>
      <c r="V305" s="60"/>
      <c r="W305" s="161"/>
      <c r="X305" s="161"/>
      <c r="Y305" s="161"/>
      <c r="Z305" s="161"/>
    </row>
    <row r="306" spans="1:26" ht="20" x14ac:dyDescent="0.4">
      <c r="A306" s="57"/>
      <c r="B306" s="3" t="s">
        <v>408</v>
      </c>
      <c r="C306" s="12"/>
      <c r="D306" s="12"/>
      <c r="E306" s="364">
        <f ca="1">E348</f>
        <v>2646.7718338991704</v>
      </c>
      <c r="F306" s="111" t="str">
        <f t="shared" ca="1" si="239"/>
        <v>=E348</v>
      </c>
      <c r="H306" s="3" t="s">
        <v>300</v>
      </c>
      <c r="S306" s="111"/>
      <c r="T306" s="111"/>
      <c r="U306" s="111"/>
      <c r="V306" s="60"/>
      <c r="W306" s="161"/>
      <c r="X306" s="161"/>
      <c r="Y306" s="161"/>
      <c r="Z306" s="161"/>
    </row>
    <row r="307" spans="1:26" ht="20" x14ac:dyDescent="0.4">
      <c r="A307" s="57"/>
      <c r="B307" s="365" t="s">
        <v>156</v>
      </c>
      <c r="C307" s="365"/>
      <c r="D307" s="365"/>
      <c r="E307" s="368">
        <f ca="1">SUM(E305:E306)</f>
        <v>3946.6194699450516</v>
      </c>
      <c r="F307" s="366" t="str">
        <f t="shared" ca="1" si="239"/>
        <v>=SUM(E305:E306)</v>
      </c>
      <c r="G307" s="367"/>
      <c r="H307" s="3" t="s">
        <v>232</v>
      </c>
      <c r="S307" s="111"/>
      <c r="T307" s="111"/>
      <c r="U307" s="111"/>
      <c r="V307" s="60"/>
      <c r="W307" s="161"/>
      <c r="X307" s="161"/>
      <c r="Y307" s="161"/>
      <c r="Z307" s="161"/>
    </row>
    <row r="308" spans="1:26" ht="20" x14ac:dyDescent="0.4">
      <c r="A308" s="57"/>
      <c r="B308" s="3" t="s">
        <v>194</v>
      </c>
      <c r="E308" s="94">
        <f>-J326</f>
        <v>-1476.3130628052797</v>
      </c>
      <c r="F308" s="111" t="str">
        <f t="shared" ca="1" si="239"/>
        <v>=-J326</v>
      </c>
      <c r="H308" s="3" t="s">
        <v>230</v>
      </c>
      <c r="M308" s="3" t="s">
        <v>308</v>
      </c>
      <c r="S308" s="111"/>
      <c r="T308" s="111"/>
      <c r="U308" s="111"/>
      <c r="V308" s="60"/>
      <c r="W308" s="161"/>
      <c r="X308" s="161"/>
      <c r="Y308" s="161"/>
      <c r="Z308" s="161"/>
    </row>
    <row r="309" spans="1:26" ht="20" x14ac:dyDescent="0.4">
      <c r="A309" s="57"/>
      <c r="B309" s="12" t="s">
        <v>410</v>
      </c>
      <c r="C309" s="12"/>
      <c r="D309" s="12"/>
      <c r="E309" s="98">
        <f>E15</f>
        <v>64.555154902886215</v>
      </c>
      <c r="F309" s="111" t="str">
        <f t="shared" ca="1" si="239"/>
        <v>=E15</v>
      </c>
      <c r="H309" s="3" t="s">
        <v>231</v>
      </c>
      <c r="S309" s="111"/>
      <c r="T309" s="111"/>
      <c r="U309" s="111"/>
      <c r="V309" s="60"/>
      <c r="W309" s="161"/>
      <c r="X309" s="161"/>
      <c r="Y309" s="161"/>
      <c r="Z309" s="161"/>
    </row>
    <row r="310" spans="1:26" ht="20" x14ac:dyDescent="0.4">
      <c r="A310" s="57"/>
      <c r="B310" s="39" t="s">
        <v>157</v>
      </c>
      <c r="C310" s="39"/>
      <c r="D310" s="39"/>
      <c r="E310" s="96">
        <f ca="1">SUM(E307:E309)</f>
        <v>2534.8615620426581</v>
      </c>
      <c r="F310" s="111" t="str">
        <f t="shared" ca="1" si="239"/>
        <v>=SUM(E307:E309)</v>
      </c>
      <c r="S310" s="111"/>
      <c r="T310" s="111"/>
      <c r="U310" s="111"/>
      <c r="V310" s="60"/>
      <c r="W310" s="161"/>
      <c r="X310" s="161"/>
      <c r="Y310" s="161"/>
      <c r="Z310" s="161"/>
    </row>
    <row r="311" spans="1:26" ht="20" x14ac:dyDescent="0.4">
      <c r="A311" s="57"/>
      <c r="B311" s="352" t="s">
        <v>196</v>
      </c>
      <c r="C311" s="12"/>
      <c r="D311" s="12"/>
      <c r="E311" s="362">
        <f ca="1">E354</f>
        <v>36.1939198085513</v>
      </c>
      <c r="F311" s="111" t="str">
        <f t="shared" ca="1" si="239"/>
        <v>=E354</v>
      </c>
      <c r="H311" s="3" t="s">
        <v>306</v>
      </c>
      <c r="S311" s="111"/>
      <c r="T311" s="111"/>
      <c r="U311" s="111"/>
      <c r="V311" s="60"/>
      <c r="W311" s="161"/>
      <c r="X311" s="161"/>
      <c r="Y311" s="161"/>
      <c r="Z311" s="161"/>
    </row>
    <row r="312" spans="1:26" ht="20" x14ac:dyDescent="0.4">
      <c r="A312" s="57"/>
      <c r="B312" s="162" t="s">
        <v>158</v>
      </c>
      <c r="C312" s="39"/>
      <c r="D312" s="39"/>
      <c r="E312" s="363">
        <f ca="1">E310/E311</f>
        <v>70.035563305960665</v>
      </c>
      <c r="F312" s="111" t="str">
        <f t="shared" ca="1" si="239"/>
        <v>=E310/E311</v>
      </c>
      <c r="H312" s="3" t="s">
        <v>307</v>
      </c>
      <c r="S312" s="111"/>
      <c r="T312" s="111"/>
      <c r="U312" s="111"/>
      <c r="V312" s="60"/>
      <c r="W312" s="161"/>
      <c r="X312" s="161"/>
      <c r="Y312" s="161"/>
      <c r="Z312" s="161"/>
    </row>
    <row r="313" spans="1:26" ht="20" x14ac:dyDescent="0.4">
      <c r="A313" s="57"/>
      <c r="B313" s="3" t="s">
        <v>159</v>
      </c>
      <c r="E313" s="138">
        <v>75</v>
      </c>
      <c r="F313" s="111"/>
      <c r="G313" s="139"/>
      <c r="H313" s="50"/>
      <c r="S313" s="111"/>
      <c r="T313" s="111"/>
      <c r="U313" s="111"/>
      <c r="V313" s="60"/>
      <c r="W313" s="161"/>
      <c r="X313" s="161"/>
      <c r="Y313" s="161"/>
      <c r="Z313" s="161"/>
    </row>
    <row r="314" spans="1:26" ht="20" x14ac:dyDescent="0.4">
      <c r="A314" s="57"/>
      <c r="B314" s="36" t="s">
        <v>197</v>
      </c>
      <c r="C314" s="36"/>
      <c r="D314" s="36"/>
      <c r="E314" s="153">
        <f ca="1">(E312/E313)-1</f>
        <v>-6.6192489253857789E-2</v>
      </c>
      <c r="F314" s="111" t="str">
        <f t="shared" ca="1" si="239"/>
        <v>=(E312/E313)-1</v>
      </c>
      <c r="S314" s="111"/>
      <c r="T314" s="111"/>
      <c r="U314" s="111"/>
      <c r="V314" s="60"/>
      <c r="W314" s="161"/>
      <c r="X314" s="161"/>
      <c r="Y314" s="161"/>
      <c r="Z314" s="161"/>
    </row>
    <row r="315" spans="1:26" ht="20" x14ac:dyDescent="0.4">
      <c r="A315" s="57"/>
      <c r="B315" s="3" t="s">
        <v>160</v>
      </c>
      <c r="E315" s="154">
        <v>1</v>
      </c>
      <c r="F315" s="111" t="e">
        <f t="shared" ca="1" si="239"/>
        <v>#N/A</v>
      </c>
      <c r="G315" s="3" t="s">
        <v>233</v>
      </c>
      <c r="S315" s="111"/>
      <c r="T315" s="111"/>
      <c r="U315" s="111"/>
      <c r="V315" s="60"/>
      <c r="W315" s="161"/>
      <c r="X315" s="161"/>
      <c r="Y315" s="161"/>
      <c r="Z315" s="161"/>
    </row>
    <row r="316" spans="1:26" ht="20" x14ac:dyDescent="0.4">
      <c r="A316" s="57"/>
      <c r="C316" s="44"/>
      <c r="F316" s="111"/>
      <c r="S316" s="111"/>
      <c r="T316" s="111"/>
      <c r="U316" s="111"/>
      <c r="V316" s="60"/>
      <c r="W316" s="161"/>
      <c r="X316" s="161"/>
      <c r="Y316" s="161"/>
      <c r="Z316" s="161"/>
    </row>
    <row r="317" spans="1:26" ht="20" x14ac:dyDescent="0.4">
      <c r="A317" s="57"/>
      <c r="B317" s="356" t="s">
        <v>161</v>
      </c>
      <c r="C317" s="44"/>
      <c r="F317" s="111"/>
      <c r="S317" s="111"/>
      <c r="T317" s="111"/>
      <c r="U317" s="111"/>
      <c r="V317" s="60"/>
      <c r="W317" s="161"/>
      <c r="X317" s="161"/>
      <c r="Y317" s="161"/>
      <c r="Z317" s="161"/>
    </row>
    <row r="318" spans="1:26" ht="20" x14ac:dyDescent="0.4">
      <c r="A318" s="57"/>
      <c r="B318" s="44" t="s">
        <v>162</v>
      </c>
      <c r="C318" s="44"/>
      <c r="F318" s="111"/>
      <c r="S318" s="111"/>
      <c r="T318" s="111"/>
      <c r="U318" s="111"/>
      <c r="V318" s="60"/>
      <c r="W318" s="161"/>
      <c r="X318" s="161"/>
      <c r="Y318" s="161"/>
      <c r="Z318" s="161"/>
    </row>
    <row r="319" spans="1:26" ht="20" x14ac:dyDescent="0.4">
      <c r="A319" s="57"/>
      <c r="B319" s="3" t="s">
        <v>163</v>
      </c>
      <c r="E319" s="140">
        <v>8.2000000000000003E-2</v>
      </c>
      <c r="F319" s="111"/>
      <c r="G319" s="3" t="s">
        <v>234</v>
      </c>
      <c r="S319" s="111"/>
      <c r="T319" s="111"/>
      <c r="U319" s="111"/>
      <c r="V319" s="60"/>
      <c r="W319" s="161"/>
      <c r="X319" s="161"/>
      <c r="Y319" s="161"/>
      <c r="Z319" s="161"/>
    </row>
    <row r="320" spans="1:26" ht="20" x14ac:dyDescent="0.4">
      <c r="A320" s="57"/>
      <c r="B320" s="3" t="s">
        <v>164</v>
      </c>
      <c r="E320" s="140">
        <v>1.2999999999999999E-2</v>
      </c>
      <c r="F320" s="111"/>
      <c r="G320" s="3" t="s">
        <v>235</v>
      </c>
      <c r="S320" s="111"/>
      <c r="T320" s="111"/>
      <c r="U320" s="111"/>
      <c r="V320" s="60"/>
      <c r="W320" s="161"/>
      <c r="X320" s="161"/>
      <c r="Y320" s="161"/>
      <c r="Z320" s="161"/>
    </row>
    <row r="321" spans="1:26" ht="20" x14ac:dyDescent="0.4">
      <c r="A321" s="57"/>
      <c r="B321" s="162" t="s">
        <v>198</v>
      </c>
      <c r="C321" s="162"/>
      <c r="D321" s="162"/>
      <c r="E321" s="163">
        <f>E319-E320</f>
        <v>6.9000000000000006E-2</v>
      </c>
      <c r="F321" s="111" t="str">
        <f t="shared" ref="F321:F325" ca="1" si="240">_xlfn.FORMULATEXT(E321)</f>
        <v>=E319-E320</v>
      </c>
      <c r="G321" s="3" t="s">
        <v>236</v>
      </c>
      <c r="S321" s="111"/>
      <c r="T321" s="111"/>
      <c r="U321" s="111"/>
      <c r="V321" s="60"/>
      <c r="W321" s="161"/>
      <c r="X321" s="161"/>
      <c r="Y321" s="161"/>
      <c r="Z321" s="161"/>
    </row>
    <row r="322" spans="1:26" ht="20" x14ac:dyDescent="0.4">
      <c r="A322" s="57"/>
      <c r="B322" s="3" t="s">
        <v>199</v>
      </c>
      <c r="E322" s="141">
        <v>1.27</v>
      </c>
      <c r="F322" s="111" t="e">
        <f t="shared" ca="1" si="240"/>
        <v>#N/A</v>
      </c>
      <c r="G322" s="3" t="s">
        <v>237</v>
      </c>
      <c r="S322" s="111"/>
      <c r="T322" s="111"/>
      <c r="U322" s="111"/>
      <c r="V322" s="60"/>
      <c r="W322" s="161"/>
      <c r="X322" s="161"/>
      <c r="Y322" s="161"/>
      <c r="Z322" s="161"/>
    </row>
    <row r="323" spans="1:26" ht="20" x14ac:dyDescent="0.4">
      <c r="A323" s="57"/>
      <c r="B323" s="162" t="s">
        <v>200</v>
      </c>
      <c r="C323" s="162"/>
      <c r="D323" s="162"/>
      <c r="E323" s="163">
        <f>E321*E322</f>
        <v>8.7630000000000013E-2</v>
      </c>
      <c r="F323" s="111" t="str">
        <f t="shared" ca="1" si="240"/>
        <v>=E321*E322</v>
      </c>
      <c r="G323" s="3" t="s">
        <v>238</v>
      </c>
      <c r="S323" s="111"/>
      <c r="T323" s="111"/>
      <c r="U323" s="111"/>
      <c r="V323" s="60"/>
      <c r="W323" s="161"/>
      <c r="X323" s="161"/>
      <c r="Y323" s="161"/>
      <c r="Z323" s="161"/>
    </row>
    <row r="324" spans="1:26" ht="20" x14ac:dyDescent="0.4">
      <c r="A324" s="57"/>
      <c r="B324" s="12" t="str">
        <f>"(+) "&amp;B320</f>
        <v>(+) Risk Free Rate</v>
      </c>
      <c r="C324" s="12"/>
      <c r="D324" s="12"/>
      <c r="E324" s="105">
        <f>E320</f>
        <v>1.2999999999999999E-2</v>
      </c>
      <c r="F324" s="111" t="str">
        <f t="shared" ca="1" si="240"/>
        <v>=E320</v>
      </c>
      <c r="G324" s="3" t="s">
        <v>288</v>
      </c>
      <c r="S324" s="111"/>
      <c r="T324" s="111"/>
      <c r="U324" s="111"/>
      <c r="V324" s="60"/>
      <c r="W324" s="161"/>
      <c r="X324" s="161"/>
      <c r="Y324" s="161"/>
      <c r="Z324" s="161"/>
    </row>
    <row r="325" spans="1:26" ht="20" x14ac:dyDescent="0.4">
      <c r="A325" s="57"/>
      <c r="B325" s="39" t="s">
        <v>165</v>
      </c>
      <c r="C325" s="39"/>
      <c r="D325" s="39"/>
      <c r="E325" s="359">
        <f>E323+E324</f>
        <v>0.10063000000000001</v>
      </c>
      <c r="F325" s="111" t="str">
        <f t="shared" ca="1" si="240"/>
        <v>=E323+E324</v>
      </c>
      <c r="G325" s="121" t="s">
        <v>291</v>
      </c>
      <c r="H325" s="121" t="s">
        <v>292</v>
      </c>
      <c r="I325" s="121" t="s">
        <v>293</v>
      </c>
      <c r="J325" s="121" t="s">
        <v>296</v>
      </c>
      <c r="K325" s="3" t="s">
        <v>297</v>
      </c>
      <c r="S325" s="111"/>
      <c r="T325" s="111"/>
      <c r="U325" s="111"/>
      <c r="V325" s="60"/>
      <c r="W325" s="161"/>
      <c r="X325" s="161"/>
      <c r="Y325" s="161"/>
      <c r="Z325" s="161"/>
    </row>
    <row r="326" spans="1:26" ht="20" x14ac:dyDescent="0.4">
      <c r="A326" s="57"/>
      <c r="F326" s="203" t="s">
        <v>295</v>
      </c>
      <c r="G326" s="325">
        <f>E152</f>
        <v>421.91703324559626</v>
      </c>
      <c r="H326" s="325">
        <f>E163</f>
        <v>960.70211918596351</v>
      </c>
      <c r="I326" s="325">
        <f>E174</f>
        <v>93.693910373719916</v>
      </c>
      <c r="J326" s="45">
        <f>SUM(G326:I326)</f>
        <v>1476.3130628052797</v>
      </c>
      <c r="K326" s="3" t="s">
        <v>239</v>
      </c>
      <c r="S326" s="111"/>
      <c r="T326" s="111"/>
      <c r="U326" s="111"/>
      <c r="V326" s="60"/>
      <c r="W326" s="161"/>
      <c r="X326" s="161"/>
      <c r="Y326" s="161"/>
      <c r="Z326" s="161"/>
    </row>
    <row r="327" spans="1:26" ht="20" x14ac:dyDescent="0.4">
      <c r="A327" s="57"/>
      <c r="B327" s="3" t="s">
        <v>166</v>
      </c>
      <c r="E327" s="157">
        <f>((E152*F154)+(E163*F165)+(E174*F176))/SUM(E152,E163,E174)</f>
        <v>5.635549281969824E-2</v>
      </c>
      <c r="F327" s="203" t="s">
        <v>294</v>
      </c>
      <c r="G327" s="204">
        <f>F154</f>
        <v>4.1000000000000002E-2</v>
      </c>
      <c r="H327" s="204">
        <f>F165</f>
        <v>6.25E-2</v>
      </c>
      <c r="I327" s="204">
        <f>H327</f>
        <v>6.25E-2</v>
      </c>
      <c r="J327" s="113" t="str">
        <f ca="1">_xlfn.FORMULATEXT(E327)</f>
        <v>=((E152*F154)+(E163*F165)+(E174*F176))/SUM(E152,E163,E174)</v>
      </c>
      <c r="S327" s="111"/>
      <c r="T327" s="111"/>
      <c r="U327" s="111"/>
      <c r="V327" s="60"/>
      <c r="W327" s="161"/>
      <c r="X327" s="161"/>
      <c r="Y327" s="161"/>
      <c r="Z327" s="161"/>
    </row>
    <row r="328" spans="1:26" ht="20" x14ac:dyDescent="0.4">
      <c r="A328" s="57"/>
      <c r="B328" s="44" t="s">
        <v>167</v>
      </c>
      <c r="C328" s="44"/>
      <c r="E328" s="177" t="s">
        <v>240</v>
      </c>
      <c r="F328" s="177" t="s">
        <v>241</v>
      </c>
      <c r="G328" s="177" t="s">
        <v>242</v>
      </c>
      <c r="I328" s="323" t="s">
        <v>378</v>
      </c>
      <c r="S328" s="111"/>
      <c r="T328" s="111"/>
      <c r="U328" s="111"/>
      <c r="V328" s="60"/>
      <c r="W328" s="161"/>
      <c r="X328" s="161"/>
      <c r="Y328" s="161"/>
      <c r="Z328" s="161"/>
    </row>
    <row r="329" spans="1:26" ht="20" x14ac:dyDescent="0.4">
      <c r="A329" s="57"/>
      <c r="B329" s="3" t="s">
        <v>168</v>
      </c>
      <c r="C329" s="357" t="s">
        <v>403</v>
      </c>
      <c r="E329" s="353">
        <v>0.8</v>
      </c>
      <c r="F329" s="358">
        <f>E313*E351</f>
        <v>2347.1505750000001</v>
      </c>
      <c r="G329" s="155">
        <f>F329/F331</f>
        <v>0.61388071061852612</v>
      </c>
      <c r="H329" s="111" t="str">
        <f ca="1">_xlfn.FORMULATEXT(F329)</f>
        <v>=E313*E351</v>
      </c>
      <c r="I329" s="111"/>
      <c r="J329" s="111" t="str">
        <f ca="1">_xlfn.FORMULATEXT(G329)</f>
        <v>=F329/F331</v>
      </c>
      <c r="L329" s="3" t="s">
        <v>298</v>
      </c>
      <c r="S329" s="111"/>
      <c r="T329" s="111"/>
      <c r="U329" s="111"/>
      <c r="V329" s="60"/>
      <c r="W329" s="161"/>
      <c r="X329" s="161"/>
      <c r="Y329" s="161"/>
      <c r="Z329" s="161"/>
    </row>
    <row r="330" spans="1:26" ht="20" x14ac:dyDescent="0.4">
      <c r="A330" s="57"/>
      <c r="B330" s="3" t="s">
        <v>169</v>
      </c>
      <c r="C330" s="3" t="s">
        <v>404</v>
      </c>
      <c r="E330" s="353">
        <v>0.2</v>
      </c>
      <c r="F330" s="94">
        <f>J326</f>
        <v>1476.3130628052797</v>
      </c>
      <c r="G330" s="155">
        <f>F330/F331</f>
        <v>0.38611928938147388</v>
      </c>
      <c r="H330" s="111" t="str">
        <f ca="1">_xlfn.FORMULATEXT(F330)</f>
        <v>=J326</v>
      </c>
      <c r="I330" s="111"/>
      <c r="J330" s="111" t="str">
        <f ca="1">_xlfn.FORMULATEXT(G330)</f>
        <v>=F330/F331</v>
      </c>
      <c r="L330" s="3" t="s">
        <v>243</v>
      </c>
      <c r="S330" s="111"/>
      <c r="T330" s="111"/>
      <c r="U330" s="111"/>
      <c r="V330" s="60"/>
      <c r="W330" s="161"/>
      <c r="X330" s="161"/>
      <c r="Y330" s="161"/>
      <c r="Z330" s="161"/>
    </row>
    <row r="331" spans="1:26" ht="20" x14ac:dyDescent="0.4">
      <c r="A331" s="57"/>
      <c r="E331" s="140"/>
      <c r="F331" s="96">
        <f>F329+F330</f>
        <v>3823.4636378052801</v>
      </c>
      <c r="S331" s="111"/>
      <c r="T331" s="111"/>
      <c r="U331" s="111"/>
      <c r="V331" s="60"/>
      <c r="W331" s="161"/>
      <c r="X331" s="161"/>
      <c r="Y331" s="161"/>
      <c r="Z331" s="161"/>
    </row>
    <row r="332" spans="1:26" ht="20" x14ac:dyDescent="0.4">
      <c r="A332" s="57"/>
      <c r="B332" s="3" t="s">
        <v>170</v>
      </c>
      <c r="E332" s="156">
        <f>-E289</f>
        <v>0.20031141866642474</v>
      </c>
      <c r="F332" s="111" t="str">
        <f ca="1">_xlfn.FORMULATEXT(E332)</f>
        <v>=-E289</v>
      </c>
      <c r="G332" s="3" t="s">
        <v>244</v>
      </c>
      <c r="S332" s="111"/>
      <c r="T332" s="111"/>
      <c r="U332" s="111"/>
      <c r="V332" s="60"/>
      <c r="W332" s="161"/>
      <c r="X332" s="161"/>
      <c r="Y332" s="161"/>
      <c r="Z332" s="161"/>
    </row>
    <row r="333" spans="1:26" ht="20" x14ac:dyDescent="0.4">
      <c r="A333" s="57"/>
      <c r="E333" s="135"/>
      <c r="F333" s="111"/>
      <c r="G333" s="3" t="s">
        <v>406</v>
      </c>
      <c r="S333" s="111"/>
      <c r="T333" s="111"/>
      <c r="U333" s="111"/>
      <c r="V333" s="60"/>
      <c r="W333" s="161"/>
      <c r="X333" s="161"/>
      <c r="Y333" s="161"/>
      <c r="Z333" s="161"/>
    </row>
    <row r="334" spans="1:26" ht="20" x14ac:dyDescent="0.4">
      <c r="A334" s="57"/>
      <c r="B334" s="3" t="s">
        <v>407</v>
      </c>
      <c r="E334" s="157">
        <f>(E325*E329)+(E327*E330)*(1-E332)</f>
        <v>8.9517368820667811E-2</v>
      </c>
      <c r="F334" s="111" t="str">
        <f ca="1">_xlfn.FORMULATEXT(E334)</f>
        <v>=(E325*E329)+(E327*E330)*(1-E332)</v>
      </c>
      <c r="I334" s="3" t="s">
        <v>201</v>
      </c>
      <c r="S334" s="111"/>
      <c r="T334" s="111"/>
      <c r="U334" s="111"/>
      <c r="V334" s="60"/>
      <c r="W334" s="161"/>
      <c r="X334" s="161"/>
      <c r="Y334" s="161"/>
      <c r="Z334" s="161"/>
    </row>
    <row r="335" spans="1:26" ht="20" x14ac:dyDescent="0.4">
      <c r="A335" s="57"/>
      <c r="F335" s="111"/>
      <c r="G335" s="3" t="s">
        <v>245</v>
      </c>
      <c r="S335" s="111"/>
      <c r="T335" s="111"/>
      <c r="U335" s="111"/>
      <c r="V335" s="60"/>
      <c r="W335" s="161"/>
      <c r="X335" s="161"/>
      <c r="Y335" s="161"/>
      <c r="Z335" s="161"/>
    </row>
    <row r="336" spans="1:26" ht="20" x14ac:dyDescent="0.4">
      <c r="A336" s="57"/>
      <c r="B336" s="356" t="s">
        <v>171</v>
      </c>
      <c r="C336" s="44"/>
      <c r="F336" s="111"/>
      <c r="G336" s="3" t="s">
        <v>246</v>
      </c>
      <c r="S336" s="111"/>
      <c r="T336" s="111"/>
      <c r="U336" s="111"/>
      <c r="V336" s="60"/>
      <c r="W336" s="161"/>
      <c r="X336" s="161"/>
      <c r="Y336" s="161"/>
      <c r="Z336" s="161"/>
    </row>
    <row r="337" spans="1:26" ht="20" x14ac:dyDescent="0.4">
      <c r="A337" s="57"/>
      <c r="B337" s="3" t="s">
        <v>409</v>
      </c>
      <c r="E337" s="94">
        <f ca="1">J297</f>
        <v>285.66553612933012</v>
      </c>
      <c r="F337" s="111" t="str">
        <f ca="1">_xlfn.FORMULATEXT(E337)</f>
        <v>=J297</v>
      </c>
      <c r="G337" s="3" t="s">
        <v>247</v>
      </c>
      <c r="S337" s="111"/>
      <c r="T337" s="111"/>
      <c r="U337" s="111"/>
      <c r="V337" s="60"/>
      <c r="W337" s="161"/>
      <c r="X337" s="161"/>
      <c r="Y337" s="161"/>
      <c r="Z337" s="161"/>
    </row>
    <row r="338" spans="1:26" ht="20" x14ac:dyDescent="0.4">
      <c r="A338" s="57"/>
      <c r="B338" s="3" t="s">
        <v>172</v>
      </c>
      <c r="E338" s="140">
        <v>1.4999999999999999E-2</v>
      </c>
      <c r="F338" s="111"/>
      <c r="G338" s="3" t="s">
        <v>248</v>
      </c>
      <c r="S338" s="111"/>
      <c r="T338" s="111"/>
      <c r="U338" s="111"/>
      <c r="V338" s="60"/>
      <c r="W338" s="161"/>
      <c r="X338" s="161"/>
      <c r="Y338" s="161"/>
      <c r="Z338" s="161"/>
    </row>
    <row r="339" spans="1:26" ht="20" x14ac:dyDescent="0.4">
      <c r="A339" s="57"/>
      <c r="B339" s="12" t="str">
        <f>B334</f>
        <v>WACC (the discount rate to discount free cash flows)</v>
      </c>
      <c r="C339" s="12"/>
      <c r="D339" s="12"/>
      <c r="E339" s="105">
        <f>E334</f>
        <v>8.9517368820667811E-2</v>
      </c>
      <c r="F339" s="111" t="str">
        <f ca="1">_xlfn.FORMULATEXT(E339)</f>
        <v>=E334</v>
      </c>
      <c r="S339" s="111"/>
      <c r="T339" s="111"/>
      <c r="U339" s="111"/>
      <c r="V339" s="60"/>
      <c r="W339" s="161"/>
      <c r="X339" s="161"/>
      <c r="Y339" s="161"/>
      <c r="Z339" s="161"/>
    </row>
    <row r="340" spans="1:26" ht="20" x14ac:dyDescent="0.4">
      <c r="A340" s="57"/>
      <c r="B340" s="39" t="s">
        <v>173</v>
      </c>
      <c r="C340" s="39"/>
      <c r="D340" s="39"/>
      <c r="E340" s="164">
        <f ca="1">E337*(1+E338)/(E339-E338)</f>
        <v>3891.0461246834934</v>
      </c>
      <c r="F340" s="111" t="str">
        <f ca="1">_xlfn.FORMULATEXT(E340)</f>
        <v>=E337*(1+E338)/(E339-E338)</v>
      </c>
      <c r="I340" s="3" t="s">
        <v>301</v>
      </c>
      <c r="S340" s="111"/>
      <c r="T340" s="111"/>
      <c r="U340" s="111"/>
      <c r="V340" s="60"/>
      <c r="W340" s="161"/>
      <c r="X340" s="161"/>
      <c r="Y340" s="161"/>
      <c r="Z340" s="161"/>
    </row>
    <row r="341" spans="1:26" ht="20.5" thickBot="1" x14ac:dyDescent="0.45">
      <c r="A341" s="57"/>
      <c r="E341" s="142"/>
      <c r="F341" s="75">
        <f>F$12</f>
        <v>2021</v>
      </c>
      <c r="G341" s="75">
        <f>G$12</f>
        <v>2022</v>
      </c>
      <c r="H341" s="75">
        <f>H$12</f>
        <v>2023</v>
      </c>
      <c r="I341" s="75">
        <f>I$12</f>
        <v>2024</v>
      </c>
      <c r="J341" s="75">
        <f>J$12</f>
        <v>2025</v>
      </c>
      <c r="S341" s="111"/>
      <c r="T341" s="111"/>
      <c r="U341" s="111"/>
      <c r="V341" s="60"/>
      <c r="W341" s="161"/>
      <c r="X341" s="161"/>
      <c r="Y341" s="161"/>
      <c r="Z341" s="161"/>
    </row>
    <row r="342" spans="1:26" ht="20" x14ac:dyDescent="0.4">
      <c r="A342" s="57"/>
      <c r="B342" s="133" t="s">
        <v>258</v>
      </c>
      <c r="C342" s="133"/>
      <c r="D342" s="134"/>
      <c r="E342" s="134"/>
      <c r="F342" s="152">
        <f ca="1">F68+F69</f>
        <v>507.81070223630417</v>
      </c>
      <c r="G342" s="152">
        <f t="shared" ref="G342:J342" ca="1" si="241">G68+G69</f>
        <v>524.01834502985946</v>
      </c>
      <c r="H342" s="152">
        <f t="shared" ca="1" si="241"/>
        <v>540.74328232659593</v>
      </c>
      <c r="I342" s="152">
        <f t="shared" ca="1" si="241"/>
        <v>558.00202446095443</v>
      </c>
      <c r="J342" s="152">
        <f t="shared" ca="1" si="241"/>
        <v>575.81160872279884</v>
      </c>
      <c r="K342" s="111" t="str">
        <f ca="1">_xlfn.FORMULATEXT(J342)</f>
        <v>=J68+J69</v>
      </c>
      <c r="S342" s="111"/>
      <c r="T342" s="111"/>
      <c r="U342" s="111"/>
      <c r="V342" s="60"/>
      <c r="W342" s="161"/>
      <c r="X342" s="161"/>
      <c r="Y342" s="161"/>
      <c r="Z342" s="161"/>
    </row>
    <row r="343" spans="1:26" ht="20" x14ac:dyDescent="0.4">
      <c r="A343" s="57"/>
      <c r="B343" s="3" t="s">
        <v>303</v>
      </c>
      <c r="E343" s="129">
        <v>6</v>
      </c>
      <c r="F343" s="111"/>
      <c r="G343" s="3" t="s">
        <v>304</v>
      </c>
      <c r="S343" s="111"/>
      <c r="T343" s="111"/>
      <c r="U343" s="111"/>
      <c r="V343" s="60"/>
      <c r="W343" s="161"/>
      <c r="X343" s="161"/>
      <c r="Y343" s="161"/>
      <c r="Z343" s="161"/>
    </row>
    <row r="344" spans="1:26" ht="20" x14ac:dyDescent="0.4">
      <c r="A344" s="57"/>
      <c r="B344" s="162" t="s">
        <v>202</v>
      </c>
      <c r="C344" s="162"/>
      <c r="D344" s="162"/>
      <c r="E344" s="164">
        <f ca="1">E343*J342</f>
        <v>3454.869652336793</v>
      </c>
      <c r="F344" s="111" t="str">
        <f ca="1">_xlfn.FORMULATEXT(E344)</f>
        <v>=E343*J342</v>
      </c>
      <c r="G344" s="3" t="s">
        <v>305</v>
      </c>
      <c r="S344" s="111"/>
      <c r="T344" s="111"/>
      <c r="U344" s="111"/>
      <c r="V344" s="60"/>
      <c r="W344" s="161"/>
      <c r="X344" s="161"/>
      <c r="Y344" s="161"/>
      <c r="Z344" s="161"/>
    </row>
    <row r="345" spans="1:26" ht="20" x14ac:dyDescent="0.4">
      <c r="A345" s="57"/>
      <c r="E345" s="142"/>
      <c r="F345" s="111"/>
      <c r="S345" s="111"/>
      <c r="T345" s="111"/>
      <c r="U345" s="111"/>
      <c r="V345" s="60"/>
      <c r="W345" s="161"/>
      <c r="X345" s="161"/>
      <c r="Y345" s="161"/>
      <c r="Z345" s="161"/>
    </row>
    <row r="346" spans="1:26" ht="20" x14ac:dyDescent="0.4">
      <c r="A346" s="57"/>
      <c r="B346" s="79" t="str">
        <f>B340</f>
        <v>Terminal Value (Gordon Growth Method)</v>
      </c>
      <c r="E346" s="94">
        <f ca="1">E340</f>
        <v>3891.0461246834934</v>
      </c>
      <c r="F346" s="111" t="str">
        <f ca="1">_xlfn.FORMULATEXT(E346)</f>
        <v>=E340</v>
      </c>
      <c r="G346" s="3" t="s">
        <v>302</v>
      </c>
      <c r="S346" s="111"/>
      <c r="T346" s="111"/>
      <c r="U346" s="111"/>
      <c r="V346" s="60"/>
      <c r="W346" s="161"/>
      <c r="X346" s="161"/>
      <c r="Y346" s="161"/>
      <c r="Z346" s="161"/>
    </row>
    <row r="347" spans="1:26" ht="20" x14ac:dyDescent="0.4">
      <c r="A347" s="57"/>
      <c r="B347" s="12" t="str">
        <f>"(x) "&amp;B301</f>
        <v>(x) Discount Factor - denominator of the PV formula</v>
      </c>
      <c r="C347" s="12"/>
      <c r="D347" s="12"/>
      <c r="E347" s="105">
        <f>J301</f>
        <v>0.68022114081581719</v>
      </c>
      <c r="F347" s="111" t="str">
        <f ca="1">_xlfn.FORMULATEXT(E347)</f>
        <v>=J301</v>
      </c>
      <c r="S347" s="111"/>
      <c r="T347" s="111"/>
      <c r="U347" s="111"/>
      <c r="V347" s="60"/>
      <c r="W347" s="161"/>
      <c r="X347" s="161"/>
      <c r="Y347" s="161"/>
      <c r="Z347" s="161"/>
    </row>
    <row r="348" spans="1:26" ht="20" x14ac:dyDescent="0.4">
      <c r="A348" s="57"/>
      <c r="B348" s="39" t="s">
        <v>174</v>
      </c>
      <c r="C348" s="39"/>
      <c r="D348" s="39"/>
      <c r="E348" s="164">
        <f ca="1">E346*E347</f>
        <v>2646.7718338991704</v>
      </c>
      <c r="F348" s="111" t="str">
        <f ca="1">_xlfn.FORMULATEXT(E348)</f>
        <v>=E346*E347</v>
      </c>
      <c r="G348" s="3" t="str">
        <f>$H$306</f>
        <v>All FCF from 2026 onward discounted to 12/31/2020</v>
      </c>
      <c r="S348" s="111"/>
      <c r="T348" s="111"/>
      <c r="U348" s="111"/>
      <c r="V348" s="60"/>
      <c r="W348" s="161"/>
      <c r="X348" s="161"/>
      <c r="Y348" s="161"/>
      <c r="Z348" s="161"/>
    </row>
    <row r="349" spans="1:26" ht="20" x14ac:dyDescent="0.4">
      <c r="A349" s="57"/>
      <c r="E349" s="142"/>
      <c r="F349" s="111"/>
      <c r="G349" s="205" t="s">
        <v>330</v>
      </c>
      <c r="H349" s="121" t="s">
        <v>325</v>
      </c>
      <c r="I349" s="205" t="s">
        <v>331</v>
      </c>
      <c r="S349" s="111"/>
      <c r="T349" s="111"/>
      <c r="U349" s="111"/>
      <c r="V349" s="60"/>
      <c r="W349" s="161"/>
      <c r="X349" s="161"/>
      <c r="Y349" s="161"/>
      <c r="Z349" s="161"/>
    </row>
    <row r="350" spans="1:26" ht="20" x14ac:dyDescent="0.4">
      <c r="A350" s="57"/>
      <c r="B350" s="44" t="s">
        <v>405</v>
      </c>
      <c r="C350" s="44"/>
      <c r="E350" s="121" t="s">
        <v>253</v>
      </c>
      <c r="F350" s="121" t="s">
        <v>254</v>
      </c>
      <c r="G350" s="121" t="s">
        <v>255</v>
      </c>
      <c r="H350" s="121" t="s">
        <v>324</v>
      </c>
      <c r="I350" s="205" t="s">
        <v>332</v>
      </c>
      <c r="S350" s="111"/>
      <c r="T350" s="111"/>
      <c r="U350" s="111"/>
      <c r="V350" s="60"/>
      <c r="W350" s="161"/>
      <c r="X350" s="161"/>
      <c r="Y350" s="161"/>
      <c r="Z350" s="161"/>
    </row>
    <row r="351" spans="1:26" ht="20" x14ac:dyDescent="0.4">
      <c r="A351" s="57"/>
      <c r="B351" s="3" t="s">
        <v>176</v>
      </c>
      <c r="E351" s="165">
        <v>31.295341000000001</v>
      </c>
      <c r="F351" s="179"/>
      <c r="G351" s="180"/>
      <c r="H351" s="180"/>
      <c r="I351" s="180"/>
      <c r="O351" s="3" t="s">
        <v>252</v>
      </c>
      <c r="S351" s="111"/>
      <c r="T351" s="111"/>
      <c r="U351" s="111"/>
      <c r="V351" s="60"/>
      <c r="W351" s="161"/>
      <c r="X351" s="161"/>
      <c r="Y351" s="161"/>
      <c r="Z351" s="161"/>
    </row>
    <row r="352" spans="1:26" ht="20" x14ac:dyDescent="0.4">
      <c r="A352" s="57"/>
      <c r="B352" s="3" t="s">
        <v>411</v>
      </c>
      <c r="E352" s="181">
        <f ca="1">IF($D$4=0,0,MAX(F352-I352,0))</f>
        <v>4.3662999999999998</v>
      </c>
      <c r="F352" s="143">
        <v>4.3662999999999998</v>
      </c>
      <c r="G352" s="235">
        <v>0</v>
      </c>
      <c r="H352" s="142">
        <f>G352*F352</f>
        <v>0</v>
      </c>
      <c r="I352" s="369">
        <f ca="1">H352/$E$312</f>
        <v>0</v>
      </c>
      <c r="J352" s="113" t="str">
        <f ca="1">_xlfn.FORMULATEXT(E352)</f>
        <v>=IF($D$4=0,0,MAX(F352-I352,0))</v>
      </c>
      <c r="M352" s="111" t="str">
        <f ca="1">_xlfn.FORMULATEXT(H352)</f>
        <v>=G352*F352</v>
      </c>
      <c r="N352" s="111" t="str">
        <f ca="1">_xlfn.FORMULATEXT(I352)</f>
        <v>=H352/$E$312</v>
      </c>
      <c r="O352" s="3" t="s">
        <v>249</v>
      </c>
      <c r="S352" s="111"/>
      <c r="T352" s="111"/>
      <c r="U352" s="111"/>
      <c r="V352" s="60"/>
      <c r="W352" s="161"/>
      <c r="X352" s="161"/>
      <c r="Y352" s="161"/>
      <c r="Z352" s="161"/>
    </row>
    <row r="353" spans="1:26" ht="20" x14ac:dyDescent="0.4">
      <c r="A353" s="57"/>
      <c r="B353" s="12" t="s">
        <v>250</v>
      </c>
      <c r="C353" s="12"/>
      <c r="E353" s="181">
        <f ca="1">IF($D$4=0,0,MAX(F353-I353,0))</f>
        <v>0.53227880855129328</v>
      </c>
      <c r="F353" s="165">
        <v>2.9738150000000001</v>
      </c>
      <c r="G353" s="235">
        <v>57.5</v>
      </c>
      <c r="H353" s="142">
        <f>G353*F353</f>
        <v>170.99436249999999</v>
      </c>
      <c r="I353" s="369">
        <f ca="1">H353/$E$312</f>
        <v>2.4415361914487068</v>
      </c>
      <c r="J353" s="113" t="str">
        <f ca="1">_xlfn.FORMULATEXT(E353)</f>
        <v>=IF($D$4=0,0,MAX(F353-I353,0))</v>
      </c>
      <c r="M353" s="111" t="str">
        <f ca="1">_xlfn.FORMULATEXT(H353)</f>
        <v>=G353*F353</v>
      </c>
      <c r="N353" s="111" t="str">
        <f ca="1">_xlfn.FORMULATEXT(I353)</f>
        <v>=H353/$E$312</v>
      </c>
      <c r="O353" s="3" t="s">
        <v>249</v>
      </c>
      <c r="S353" s="111"/>
      <c r="T353" s="111"/>
      <c r="U353" s="111"/>
      <c r="V353" s="60"/>
      <c r="W353" s="161"/>
      <c r="X353" s="161"/>
      <c r="Y353" s="161"/>
      <c r="Z353" s="161"/>
    </row>
    <row r="354" spans="1:26" ht="20" x14ac:dyDescent="0.4">
      <c r="A354" s="57"/>
      <c r="B354" s="234" t="s">
        <v>175</v>
      </c>
      <c r="C354" s="39"/>
      <c r="D354" s="39"/>
      <c r="E354" s="166">
        <f ca="1">SUM(E351:E353)</f>
        <v>36.1939198085513</v>
      </c>
      <c r="F354" s="111" t="str">
        <f ca="1">_xlfn.FORMULATEXT(E354)</f>
        <v>=SUM(E351:E353)</v>
      </c>
      <c r="H354" s="3" t="s">
        <v>256</v>
      </c>
      <c r="S354" s="111"/>
      <c r="T354" s="111"/>
      <c r="U354" s="111"/>
      <c r="V354" s="60"/>
      <c r="W354" s="161"/>
      <c r="X354" s="161"/>
      <c r="Y354" s="161"/>
      <c r="Z354" s="161"/>
    </row>
    <row r="355" spans="1:26" ht="20" x14ac:dyDescent="0.4">
      <c r="A355" s="57"/>
      <c r="S355" s="111"/>
      <c r="T355" s="111"/>
      <c r="U355" s="111"/>
      <c r="V355" s="60"/>
      <c r="W355" s="161"/>
      <c r="X355" s="161"/>
      <c r="Y355" s="161"/>
      <c r="Z355" s="161"/>
    </row>
    <row r="356" spans="1:26" ht="20" x14ac:dyDescent="0.4">
      <c r="A356" s="57"/>
      <c r="E356" s="171" t="str">
        <f>$B$312</f>
        <v>Implied Equity Value per Share</v>
      </c>
      <c r="F356" s="121"/>
      <c r="G356" s="121"/>
      <c r="H356" s="121"/>
      <c r="K356" s="171" t="str">
        <f>$B$312</f>
        <v>Implied Equity Value per Share</v>
      </c>
      <c r="L356" s="121"/>
      <c r="M356" s="121"/>
      <c r="N356" s="121"/>
      <c r="S356" s="111"/>
      <c r="T356" s="111"/>
      <c r="U356" s="111"/>
      <c r="V356" s="60"/>
      <c r="W356" s="161"/>
      <c r="X356" s="161"/>
      <c r="Y356" s="161"/>
      <c r="Z356" s="161"/>
    </row>
    <row r="357" spans="1:26" ht="20" x14ac:dyDescent="0.4">
      <c r="A357" s="57"/>
      <c r="F357" s="121" t="str">
        <f>B338</f>
        <v>Perpetual Growth Rate</v>
      </c>
      <c r="G357" s="121"/>
      <c r="H357" s="121"/>
      <c r="L357" s="121" t="str">
        <f>B327</f>
        <v>Pre-tax Cost of Debt</v>
      </c>
      <c r="M357" s="121"/>
      <c r="N357" s="121"/>
      <c r="S357" s="111"/>
      <c r="T357" s="111"/>
      <c r="U357" s="111"/>
      <c r="V357" s="60"/>
      <c r="W357" s="161"/>
      <c r="X357" s="161"/>
      <c r="Y357" s="161"/>
      <c r="Z357" s="161"/>
    </row>
    <row r="358" spans="1:26" ht="20" x14ac:dyDescent="0.4">
      <c r="A358" s="57"/>
      <c r="D358" s="183" t="str">
        <f ca="1">_xlfn.FORMULATEXT(E358)</f>
        <v>=$E$312</v>
      </c>
      <c r="E358" s="236">
        <f ca="1">$E$312</f>
        <v>70.035563305960665</v>
      </c>
      <c r="F358" s="186">
        <v>0.01</v>
      </c>
      <c r="G358" s="186">
        <v>1.4999999999999999E-2</v>
      </c>
      <c r="H358" s="186">
        <v>0.02</v>
      </c>
      <c r="J358" s="183" t="str">
        <f ca="1">_xlfn.FORMULATEXT(K358)</f>
        <v>=$E$312</v>
      </c>
      <c r="K358" s="236">
        <f ca="1">$E$312</f>
        <v>70.035563305960665</v>
      </c>
      <c r="L358" s="186">
        <v>0.04</v>
      </c>
      <c r="M358" s="186">
        <v>5.6355492819698247E-2</v>
      </c>
      <c r="N358" s="186">
        <v>7.0000000000000007E-2</v>
      </c>
      <c r="S358" s="111"/>
      <c r="T358" s="111"/>
      <c r="U358" s="111"/>
      <c r="V358" s="60"/>
      <c r="W358" s="161"/>
      <c r="X358" s="161"/>
      <c r="Y358" s="161"/>
      <c r="Z358" s="161"/>
    </row>
    <row r="359" spans="1:26" ht="20" x14ac:dyDescent="0.4">
      <c r="A359" s="57"/>
      <c r="D359" s="187"/>
      <c r="E359" s="185">
        <v>7.0000000000000007E-2</v>
      </c>
      <c r="F359" s="190">
        <f t="dataTable" ref="F359:H361" dt2D="1" dtr="1" r1="E338" r2="E334" ca="1"/>
        <v>94.753148246238553</v>
      </c>
      <c r="G359" s="191">
        <v>103.59811939052737</v>
      </c>
      <c r="H359" s="192">
        <v>114.21074768460937</v>
      </c>
      <c r="J359" s="198" t="s">
        <v>263</v>
      </c>
      <c r="K359" s="185">
        <v>0.08</v>
      </c>
      <c r="L359" s="190">
        <f t="dataTable" ref="L359:N361" dt2D="1" dtr="1" r1="E327" r2="E325" ca="1"/>
        <v>102.67849396617805</v>
      </c>
      <c r="M359" s="191">
        <v>96.946342364625238</v>
      </c>
      <c r="N359" s="192">
        <v>92.544704339981323</v>
      </c>
      <c r="O359" s="113" t="str">
        <f ca="1">_xlfn.FORMULATEXT(N359)</f>
        <v>{=TABLE(E327,E325)}</v>
      </c>
      <c r="S359" s="111"/>
      <c r="T359" s="111"/>
      <c r="U359" s="111"/>
      <c r="V359" s="60"/>
      <c r="W359" s="161"/>
      <c r="X359" s="161"/>
      <c r="Y359" s="161"/>
      <c r="Z359" s="161"/>
    </row>
    <row r="360" spans="1:26" ht="20" x14ac:dyDescent="0.4">
      <c r="A360" s="57"/>
      <c r="D360" s="361" t="str">
        <f>B334</f>
        <v>WACC (the discount rate to discount free cash flows)</v>
      </c>
      <c r="E360" s="185">
        <v>8.9517368820667811E-2</v>
      </c>
      <c r="F360" s="193">
        <v>65.412444867395394</v>
      </c>
      <c r="G360" s="303">
        <v>70.037083040046937</v>
      </c>
      <c r="H360" s="194">
        <v>75.325967703384791</v>
      </c>
      <c r="J360" s="189" t="s">
        <v>264</v>
      </c>
      <c r="K360" s="185">
        <v>0.10063000000000001</v>
      </c>
      <c r="L360" s="193">
        <v>73.480513774894689</v>
      </c>
      <c r="M360" s="303">
        <v>70.034609393872245</v>
      </c>
      <c r="N360" s="194">
        <v>67.339916563382488</v>
      </c>
      <c r="S360" s="111"/>
      <c r="T360" s="111"/>
      <c r="U360" s="111"/>
      <c r="V360" s="60"/>
      <c r="W360" s="161"/>
      <c r="X360" s="161"/>
      <c r="Y360" s="161"/>
      <c r="Z360" s="161"/>
    </row>
    <row r="361" spans="1:26" ht="20" x14ac:dyDescent="0.4">
      <c r="A361" s="57"/>
      <c r="D361" s="188" t="s">
        <v>352</v>
      </c>
      <c r="E361" s="185">
        <v>0.11</v>
      </c>
      <c r="F361" s="195">
        <v>46.004095035741599</v>
      </c>
      <c r="G361" s="196">
        <v>48.93175488369458</v>
      </c>
      <c r="H361" s="197">
        <v>52.18471027030899</v>
      </c>
      <c r="J361" s="199" t="s">
        <v>262</v>
      </c>
      <c r="K361" s="185">
        <v>0.12</v>
      </c>
      <c r="L361" s="195">
        <v>55.948363204261838</v>
      </c>
      <c r="M361" s="196">
        <v>53.40124959127818</v>
      </c>
      <c r="N361" s="197">
        <v>51.386205908717237</v>
      </c>
      <c r="S361" s="111"/>
      <c r="T361" s="111"/>
      <c r="U361" s="111"/>
      <c r="V361" s="60"/>
      <c r="W361" s="161"/>
      <c r="X361" s="161"/>
      <c r="Y361" s="161"/>
      <c r="Z361" s="161"/>
    </row>
    <row r="362" spans="1:26" ht="20" x14ac:dyDescent="0.4">
      <c r="A362" s="57"/>
      <c r="D362" s="3" t="s">
        <v>353</v>
      </c>
      <c r="G362" s="237">
        <f ca="1">G360-E358</f>
        <v>1.519734086272706E-3</v>
      </c>
      <c r="H362" s="113" t="str">
        <f ca="1">_xlfn.FORMULATEXT(H359)</f>
        <v>{=TABLE(E338,E334)}</v>
      </c>
      <c r="M362" s="237">
        <f ca="1">M360-K358</f>
        <v>-9.5391208841988373E-4</v>
      </c>
      <c r="S362" s="111"/>
      <c r="T362" s="111"/>
      <c r="U362" s="111"/>
      <c r="V362" s="60"/>
      <c r="W362" s="161"/>
      <c r="X362" s="161"/>
      <c r="Y362" s="161"/>
      <c r="Z362" s="161"/>
    </row>
    <row r="363" spans="1:26" ht="22" x14ac:dyDescent="0.8">
      <c r="A363" s="57"/>
      <c r="D363" s="59" t="str">
        <f>D$11</f>
        <v>Historical</v>
      </c>
      <c r="E363" s="59"/>
      <c r="F363" s="59" t="str">
        <f>F$11</f>
        <v>Forecast</v>
      </c>
      <c r="G363" s="59"/>
      <c r="H363" s="59"/>
      <c r="I363" s="59"/>
      <c r="J363" s="59"/>
      <c r="S363" s="111"/>
      <c r="T363" s="111"/>
      <c r="U363" s="111"/>
      <c r="V363" s="60"/>
    </row>
    <row r="364" spans="1:26" ht="18.5" thickBot="1" x14ac:dyDescent="0.45">
      <c r="A364" s="57" t="s">
        <v>67</v>
      </c>
      <c r="B364" s="4" t="s">
        <v>177</v>
      </c>
      <c r="C364" s="4"/>
      <c r="D364" s="75">
        <f t="shared" ref="D364:J364" si="242">D$12</f>
        <v>2019</v>
      </c>
      <c r="E364" s="75">
        <f t="shared" si="242"/>
        <v>2020</v>
      </c>
      <c r="F364" s="75">
        <f t="shared" si="242"/>
        <v>2021</v>
      </c>
      <c r="G364" s="75">
        <f t="shared" si="242"/>
        <v>2022</v>
      </c>
      <c r="H364" s="75">
        <f t="shared" si="242"/>
        <v>2023</v>
      </c>
      <c r="I364" s="75">
        <f t="shared" si="242"/>
        <v>2024</v>
      </c>
      <c r="J364" s="75">
        <f t="shared" si="242"/>
        <v>2025</v>
      </c>
      <c r="S364" s="111"/>
      <c r="T364" s="111"/>
      <c r="U364" s="111"/>
      <c r="V364" s="60"/>
    </row>
    <row r="365" spans="1:26" x14ac:dyDescent="0.4">
      <c r="A365" s="57"/>
      <c r="S365" s="111"/>
      <c r="T365" s="111"/>
      <c r="U365" s="111"/>
      <c r="V365" s="60"/>
    </row>
    <row r="366" spans="1:26" x14ac:dyDescent="0.4">
      <c r="A366" s="57"/>
      <c r="B366" s="44" t="s">
        <v>178</v>
      </c>
      <c r="C366" s="44"/>
      <c r="S366" s="111"/>
      <c r="T366" s="111"/>
      <c r="U366" s="111"/>
      <c r="V366" s="60"/>
    </row>
    <row r="367" spans="1:26" x14ac:dyDescent="0.4">
      <c r="A367" s="57"/>
      <c r="B367" s="44"/>
      <c r="C367" s="44"/>
      <c r="S367" s="111"/>
      <c r="T367" s="111"/>
      <c r="U367" s="111"/>
      <c r="V367" s="60"/>
    </row>
    <row r="368" spans="1:26" x14ac:dyDescent="0.4">
      <c r="A368" s="57"/>
      <c r="B368" s="3" t="s">
        <v>192</v>
      </c>
      <c r="C368" s="44"/>
      <c r="E368" s="45">
        <f>SUM(E68:E69)</f>
        <v>492.10435426842656</v>
      </c>
      <c r="F368" s="45">
        <f ca="1">SUM(F68:F69)</f>
        <v>507.81070223630417</v>
      </c>
      <c r="G368" s="45">
        <f t="shared" ref="G368:J368" ca="1" si="243">SUM(G68:G69)</f>
        <v>524.01834502985946</v>
      </c>
      <c r="H368" s="45">
        <f t="shared" ca="1" si="243"/>
        <v>540.74328232659593</v>
      </c>
      <c r="I368" s="45">
        <f t="shared" ca="1" si="243"/>
        <v>558.00202446095443</v>
      </c>
      <c r="J368" s="45">
        <f t="shared" ca="1" si="243"/>
        <v>575.81160872279884</v>
      </c>
      <c r="L368" s="111" t="str">
        <f ca="1">_xlfn.FORMULATEXT(F368)</f>
        <v>=SUM(F68:F69)</v>
      </c>
      <c r="S368" s="111"/>
      <c r="T368" s="111"/>
      <c r="U368" s="111"/>
      <c r="V368" s="60"/>
    </row>
    <row r="369" spans="1:22" x14ac:dyDescent="0.4">
      <c r="A369" s="57"/>
      <c r="B369" s="3" t="s">
        <v>326</v>
      </c>
      <c r="C369" s="44"/>
      <c r="F369" s="45">
        <f ca="1">-SUM(F155,F166,F177)</f>
        <v>79.202286129288666</v>
      </c>
      <c r="G369" s="45">
        <f t="shared" ref="G369:J369" ca="1" si="244">-SUM(G155,G166,G177)</f>
        <v>71.287422120516979</v>
      </c>
      <c r="H369" s="45">
        <f t="shared" ca="1" si="244"/>
        <v>61.895054427235991</v>
      </c>
      <c r="I369" s="45">
        <f t="shared" ca="1" si="244"/>
        <v>50.669928403368232</v>
      </c>
      <c r="J369" s="45">
        <f t="shared" ca="1" si="244"/>
        <v>39.298399318848993</v>
      </c>
      <c r="L369" s="111" t="str">
        <f ca="1">_xlfn.FORMULATEXT(F369)</f>
        <v>=-SUM(F155,F166,F177)</v>
      </c>
      <c r="S369" s="111"/>
      <c r="T369" s="111"/>
      <c r="U369" s="111"/>
      <c r="V369" s="60"/>
    </row>
    <row r="370" spans="1:22" x14ac:dyDescent="0.4">
      <c r="A370" s="57"/>
      <c r="B370" s="3" t="s">
        <v>179</v>
      </c>
      <c r="D370" s="128"/>
      <c r="F370" s="238">
        <f ca="1">IFERROR(F368/F369,"NA")</f>
        <v>6.4115662192801013</v>
      </c>
      <c r="G370" s="238">
        <f t="shared" ref="G370:J370" ca="1" si="245">IFERROR(G368/G369,"NA")</f>
        <v>7.3507826407857104</v>
      </c>
      <c r="H370" s="238">
        <f t="shared" ca="1" si="245"/>
        <v>8.7364537818170156</v>
      </c>
      <c r="I370" s="238">
        <f t="shared" ca="1" si="245"/>
        <v>11.012488907007452</v>
      </c>
      <c r="J370" s="238">
        <f t="shared" ca="1" si="245"/>
        <v>14.652291663355813</v>
      </c>
      <c r="K370" s="111"/>
      <c r="L370" s="111" t="str">
        <f ca="1">_xlfn.FORMULATEXT(F370)</f>
        <v>=IFERROR(F368/F369,"NA")</v>
      </c>
      <c r="S370" s="111"/>
      <c r="T370" s="111"/>
      <c r="U370" s="111"/>
      <c r="V370" s="60"/>
    </row>
    <row r="371" spans="1:22" x14ac:dyDescent="0.4">
      <c r="A371" s="57"/>
      <c r="B371" s="13" t="s">
        <v>180</v>
      </c>
      <c r="F371" s="3" t="s">
        <v>327</v>
      </c>
      <c r="K371" s="154">
        <v>1</v>
      </c>
      <c r="L371" s="3" t="s">
        <v>181</v>
      </c>
      <c r="V371" s="60"/>
    </row>
    <row r="372" spans="1:22" x14ac:dyDescent="0.4">
      <c r="A372" s="57"/>
      <c r="B372" s="3" t="s">
        <v>328</v>
      </c>
      <c r="D372" s="45"/>
      <c r="E372" s="45">
        <f>SUM(E163,E152,E174)</f>
        <v>1476.3130628052797</v>
      </c>
      <c r="F372" s="45">
        <f t="shared" ref="F372:J372" ca="1" si="246">SUM(F163,F152,F174)</f>
        <v>1281.3831076218162</v>
      </c>
      <c r="G372" s="45">
        <f t="shared" ca="1" si="246"/>
        <v>1090.2221355481242</v>
      </c>
      <c r="H372" s="45">
        <f t="shared" ca="1" si="246"/>
        <v>902.74378658345108</v>
      </c>
      <c r="I372" s="45">
        <f t="shared" ca="1" si="246"/>
        <v>718.69392232433233</v>
      </c>
      <c r="J372" s="45">
        <f t="shared" ca="1" si="246"/>
        <v>538.85485587883545</v>
      </c>
      <c r="K372" s="111" t="str">
        <f ca="1">_xlfn.FORMULATEXT(E372)</f>
        <v>=SUM(E163,E152,E174)</v>
      </c>
      <c r="V372" s="60"/>
    </row>
    <row r="373" spans="1:22" x14ac:dyDescent="0.4">
      <c r="A373" s="57"/>
      <c r="B373" s="3" t="s">
        <v>192</v>
      </c>
      <c r="D373" s="137"/>
      <c r="E373" s="137">
        <f>E368</f>
        <v>492.10435426842656</v>
      </c>
      <c r="F373" s="137">
        <f t="shared" ref="F373:J373" ca="1" si="247">F368</f>
        <v>507.81070223630417</v>
      </c>
      <c r="G373" s="137">
        <f t="shared" ca="1" si="247"/>
        <v>524.01834502985946</v>
      </c>
      <c r="H373" s="137">
        <f t="shared" ca="1" si="247"/>
        <v>540.74328232659593</v>
      </c>
      <c r="I373" s="137">
        <f t="shared" ca="1" si="247"/>
        <v>558.00202446095443</v>
      </c>
      <c r="J373" s="137">
        <f t="shared" ca="1" si="247"/>
        <v>575.81160872279884</v>
      </c>
      <c r="K373" s="111" t="str">
        <f ca="1">_xlfn.FORMULATEXT(E373)</f>
        <v>=E368</v>
      </c>
      <c r="V373" s="60"/>
    </row>
    <row r="374" spans="1:22" x14ac:dyDescent="0.4">
      <c r="A374" s="57"/>
      <c r="B374" s="3" t="s">
        <v>182</v>
      </c>
      <c r="D374" s="128"/>
      <c r="E374" s="158">
        <f>E372/E373</f>
        <v>3</v>
      </c>
      <c r="F374" s="158">
        <f t="shared" ref="F374:J374" ca="1" si="248">F372/F373</f>
        <v>2.5233479758871615</v>
      </c>
      <c r="G374" s="158">
        <f t="shared" ca="1" si="248"/>
        <v>2.0805037569553058</v>
      </c>
      <c r="H374" s="158">
        <f t="shared" ca="1" si="248"/>
        <v>1.6694498407808525</v>
      </c>
      <c r="I374" s="158">
        <f t="shared" ca="1" si="248"/>
        <v>1.2879772667825189</v>
      </c>
      <c r="J374" s="158">
        <f t="shared" ca="1" si="248"/>
        <v>0.93581797885954965</v>
      </c>
      <c r="K374" s="111" t="str">
        <f ca="1">_xlfn.FORMULATEXT(E374)</f>
        <v>=E372/E373</v>
      </c>
      <c r="L374" s="3" t="s">
        <v>348</v>
      </c>
      <c r="V374" s="60"/>
    </row>
    <row r="375" spans="1:22" x14ac:dyDescent="0.4">
      <c r="A375" s="57"/>
      <c r="B375" s="13" t="s">
        <v>180</v>
      </c>
      <c r="K375" s="154">
        <v>1</v>
      </c>
      <c r="L375" s="3" t="s">
        <v>181</v>
      </c>
      <c r="V375" s="60"/>
    </row>
    <row r="376" spans="1:22" ht="22" x14ac:dyDescent="0.8">
      <c r="A376" s="57"/>
      <c r="B376" s="44" t="s">
        <v>183</v>
      </c>
      <c r="C376" s="44"/>
      <c r="D376" s="59" t="str">
        <f>D$11</f>
        <v>Historical</v>
      </c>
      <c r="E376" s="59"/>
      <c r="F376" s="59" t="str">
        <f>F$11</f>
        <v>Forecast</v>
      </c>
      <c r="G376" s="59"/>
      <c r="H376" s="59"/>
      <c r="I376" s="59"/>
      <c r="J376" s="59"/>
      <c r="V376" s="60"/>
    </row>
    <row r="377" spans="1:22" ht="18.5" thickBot="1" x14ac:dyDescent="0.45">
      <c r="A377" s="57"/>
      <c r="B377" s="44" t="s">
        <v>184</v>
      </c>
      <c r="C377" s="44"/>
      <c r="D377" s="75">
        <f t="shared" ref="D377:J377" si="249">D$12</f>
        <v>2019</v>
      </c>
      <c r="E377" s="75">
        <f t="shared" si="249"/>
        <v>2020</v>
      </c>
      <c r="F377" s="75">
        <f t="shared" si="249"/>
        <v>2021</v>
      </c>
      <c r="G377" s="75">
        <f t="shared" si="249"/>
        <v>2022</v>
      </c>
      <c r="H377" s="75">
        <f t="shared" si="249"/>
        <v>2023</v>
      </c>
      <c r="I377" s="75">
        <f t="shared" si="249"/>
        <v>2024</v>
      </c>
      <c r="J377" s="75">
        <f t="shared" si="249"/>
        <v>2025</v>
      </c>
      <c r="V377" s="60"/>
    </row>
    <row r="378" spans="1:22" x14ac:dyDescent="0.4">
      <c r="A378" s="57"/>
      <c r="D378" s="137"/>
      <c r="E378" s="137"/>
      <c r="F378" s="137"/>
      <c r="G378" s="137"/>
      <c r="H378" s="137"/>
      <c r="I378" s="137"/>
      <c r="J378" s="137"/>
      <c r="V378" s="60"/>
    </row>
    <row r="379" spans="1:22" x14ac:dyDescent="0.4">
      <c r="A379" s="57"/>
      <c r="B379" s="3" t="s">
        <v>12</v>
      </c>
      <c r="C379" s="144"/>
      <c r="D379" s="145"/>
      <c r="E379" s="100">
        <f>E52</f>
        <v>1226.4932478133608</v>
      </c>
      <c r="F379" s="100">
        <f t="shared" ref="F379:J379" ca="1" si="250">F52</f>
        <v>1265.6388671587679</v>
      </c>
      <c r="G379" s="100">
        <f t="shared" ca="1" si="250"/>
        <v>1306.0338855666382</v>
      </c>
      <c r="H379" s="100">
        <f t="shared" ca="1" si="250"/>
        <v>1347.7181797343746</v>
      </c>
      <c r="I379" s="100">
        <f t="shared" ca="1" si="250"/>
        <v>1390.7328990920428</v>
      </c>
      <c r="J379" s="100">
        <f t="shared" ca="1" si="250"/>
        <v>1435.1205064238004</v>
      </c>
      <c r="K379" s="111" t="str">
        <f ca="1">_xlfn.FORMULATEXT(E379)</f>
        <v>=E52</v>
      </c>
      <c r="V379" s="60"/>
    </row>
    <row r="380" spans="1:22" x14ac:dyDescent="0.4">
      <c r="A380" s="57"/>
      <c r="B380" s="3" t="s">
        <v>333</v>
      </c>
      <c r="D380" s="137"/>
      <c r="E380" s="100">
        <f>E68</f>
        <v>434.22050977502988</v>
      </c>
      <c r="F380" s="100">
        <f t="shared" ref="F380:J380" ca="1" si="251">F68</f>
        <v>421.54270763852753</v>
      </c>
      <c r="G380" s="100">
        <f t="shared" ca="1" si="251"/>
        <v>407.61330828883592</v>
      </c>
      <c r="H380" s="100">
        <f t="shared" ca="1" si="251"/>
        <v>392.36533258668447</v>
      </c>
      <c r="I380" s="100">
        <f t="shared" ca="1" si="251"/>
        <v>375.72880085822874</v>
      </c>
      <c r="J380" s="100">
        <f t="shared" ca="1" si="251"/>
        <v>357.63060959074801</v>
      </c>
      <c r="K380" s="111" t="str">
        <f ca="1">_xlfn.FORMULATEXT(E380)</f>
        <v>=E68</v>
      </c>
      <c r="V380" s="60"/>
    </row>
    <row r="381" spans="1:22" x14ac:dyDescent="0.4">
      <c r="A381" s="57"/>
      <c r="B381" s="3" t="s">
        <v>192</v>
      </c>
      <c r="D381" s="137"/>
      <c r="E381" s="100">
        <f>E68+E69</f>
        <v>492.10435426842656</v>
      </c>
      <c r="F381" s="100">
        <f t="shared" ref="F381:J381" ca="1" si="252">F68+F69</f>
        <v>507.81070223630417</v>
      </c>
      <c r="G381" s="100">
        <f t="shared" ca="1" si="252"/>
        <v>524.01834502985946</v>
      </c>
      <c r="H381" s="100">
        <f t="shared" ca="1" si="252"/>
        <v>540.74328232659593</v>
      </c>
      <c r="I381" s="100">
        <f t="shared" ca="1" si="252"/>
        <v>558.00202446095443</v>
      </c>
      <c r="J381" s="100">
        <f t="shared" ca="1" si="252"/>
        <v>575.81160872279884</v>
      </c>
      <c r="K381" s="111" t="str">
        <f ca="1">_xlfn.FORMULATEXT(E381)</f>
        <v>=E68+E69</v>
      </c>
      <c r="V381" s="60"/>
    </row>
    <row r="382" spans="1:22" x14ac:dyDescent="0.4">
      <c r="A382" s="57"/>
      <c r="B382" s="47" t="s">
        <v>185</v>
      </c>
      <c r="C382" s="47"/>
      <c r="D382" s="146"/>
      <c r="E382" s="155">
        <f>E380/E$379</f>
        <v>0.35403416247841141</v>
      </c>
      <c r="F382" s="155">
        <f t="shared" ref="F382:J383" ca="1" si="253">F380/F$379</f>
        <v>0.33306713200492061</v>
      </c>
      <c r="G382" s="155">
        <f t="shared" ca="1" si="253"/>
        <v>0.31210010153143009</v>
      </c>
      <c r="H382" s="155">
        <f t="shared" ca="1" si="253"/>
        <v>0.29113307105793945</v>
      </c>
      <c r="I382" s="155">
        <f t="shared" ca="1" si="253"/>
        <v>0.27016604058444865</v>
      </c>
      <c r="J382" s="155">
        <f t="shared" ca="1" si="253"/>
        <v>0.24919901011095813</v>
      </c>
      <c r="K382" s="111" t="str">
        <f ca="1">_xlfn.FORMULATEXT(E382)</f>
        <v>=E380/E$379</v>
      </c>
      <c r="V382" s="60"/>
    </row>
    <row r="383" spans="1:22" x14ac:dyDescent="0.4">
      <c r="A383" s="57"/>
      <c r="B383" s="47" t="s">
        <v>186</v>
      </c>
      <c r="C383" s="47"/>
      <c r="D383" s="146"/>
      <c r="E383" s="155">
        <f>E381/E$379</f>
        <v>0.40122875127585828</v>
      </c>
      <c r="F383" s="155">
        <f t="shared" ca="1" si="253"/>
        <v>0.40122875127585816</v>
      </c>
      <c r="G383" s="155">
        <f t="shared" ca="1" si="253"/>
        <v>0.40122875127585828</v>
      </c>
      <c r="H383" s="155">
        <f t="shared" ca="1" si="253"/>
        <v>0.40122875127585833</v>
      </c>
      <c r="I383" s="155">
        <f t="shared" ca="1" si="253"/>
        <v>0.40122875127585822</v>
      </c>
      <c r="J383" s="155">
        <f t="shared" ca="1" si="253"/>
        <v>0.40122875127585833</v>
      </c>
      <c r="K383" s="111" t="str">
        <f ca="1">_xlfn.FORMULATEXT(E383)</f>
        <v>=E381/E$379</v>
      </c>
      <c r="V383" s="60"/>
    </row>
    <row r="384" spans="1:22" ht="22" x14ac:dyDescent="0.8">
      <c r="A384" s="57"/>
      <c r="D384" s="59"/>
      <c r="E384" s="59"/>
      <c r="F384" s="59"/>
      <c r="G384" s="59"/>
      <c r="H384" s="59"/>
      <c r="I384" s="59"/>
      <c r="J384" s="59"/>
      <c r="V384" s="60"/>
    </row>
    <row r="385" spans="1:22" x14ac:dyDescent="0.4">
      <c r="A385" s="57"/>
      <c r="B385" s="3" t="s">
        <v>334</v>
      </c>
      <c r="D385" s="50"/>
      <c r="E385" s="155">
        <f>E63/E27</f>
        <v>0.83908035064817676</v>
      </c>
      <c r="F385" s="155">
        <f t="shared" ref="F385:J385" ca="1" si="254">F63/F27</f>
        <v>0.6676120204224868</v>
      </c>
      <c r="G385" s="155">
        <f t="shared" ca="1" si="254"/>
        <v>0.63872378530405338</v>
      </c>
      <c r="H385" s="155">
        <f t="shared" ca="1" si="254"/>
        <v>0.61110609286705375</v>
      </c>
      <c r="I385" s="155">
        <f t="shared" ca="1" si="254"/>
        <v>0.58522462197974678</v>
      </c>
      <c r="J385" s="155">
        <f t="shared" ca="1" si="254"/>
        <v>0.55791605084573603</v>
      </c>
      <c r="K385" s="111" t="str">
        <f ca="1">_xlfn.FORMULATEXT(E385)</f>
        <v>=E63/E27</v>
      </c>
      <c r="V385" s="60"/>
    </row>
    <row r="386" spans="1:22" x14ac:dyDescent="0.4">
      <c r="A386" s="57"/>
      <c r="B386" s="3" t="s">
        <v>335</v>
      </c>
      <c r="D386" s="50"/>
      <c r="E386" s="239" t="str">
        <f>IF(E63/E47&lt;0,"NM",(E63/E47))</f>
        <v>NM</v>
      </c>
      <c r="F386" s="239" t="str">
        <f t="shared" ref="F386:J386" ca="1" si="255">IF(F63/F47&lt;0,"NM",(F63/F47))</f>
        <v>NM</v>
      </c>
      <c r="G386" s="239">
        <f t="shared" ca="1" si="255"/>
        <v>1.4501198148187555</v>
      </c>
      <c r="H386" s="239">
        <f t="shared" ca="1" si="255"/>
        <v>0.69528899446975612</v>
      </c>
      <c r="I386" s="239">
        <f t="shared" ca="1" si="255"/>
        <v>0.45483452618727471</v>
      </c>
      <c r="J386" s="239">
        <f t="shared" ca="1" si="255"/>
        <v>0.33541100329831947</v>
      </c>
      <c r="K386" s="111" t="str">
        <f ca="1">_xlfn.FORMULATEXT(E386)</f>
        <v>=IF(E63/E47&lt;0,"NM",(E63/E47))</v>
      </c>
      <c r="V386" s="60"/>
    </row>
    <row r="387" spans="1:22" x14ac:dyDescent="0.4">
      <c r="A387" s="57"/>
      <c r="E387" s="3" t="s">
        <v>329</v>
      </c>
      <c r="V387" s="60"/>
    </row>
    <row r="388" spans="1:22" ht="22" x14ac:dyDescent="0.8">
      <c r="A388" s="57"/>
      <c r="B388" s="44" t="s">
        <v>187</v>
      </c>
      <c r="C388" s="44"/>
      <c r="D388" s="59" t="str">
        <f>D$11</f>
        <v>Historical</v>
      </c>
      <c r="E388" s="59"/>
      <c r="F388" s="59" t="str">
        <f>F$11</f>
        <v>Forecast</v>
      </c>
      <c r="G388" s="59"/>
      <c r="H388" s="59"/>
      <c r="I388" s="59"/>
      <c r="J388" s="59"/>
      <c r="V388" s="60"/>
    </row>
    <row r="389" spans="1:22" ht="18.5" thickBot="1" x14ac:dyDescent="0.45">
      <c r="A389" s="57"/>
      <c r="D389" s="75">
        <f t="shared" ref="D389:J389" si="256">D$12</f>
        <v>2019</v>
      </c>
      <c r="E389" s="75">
        <f t="shared" si="256"/>
        <v>2020</v>
      </c>
      <c r="F389" s="75">
        <f t="shared" si="256"/>
        <v>2021</v>
      </c>
      <c r="G389" s="75">
        <f t="shared" si="256"/>
        <v>2022</v>
      </c>
      <c r="H389" s="75">
        <f t="shared" si="256"/>
        <v>2023</v>
      </c>
      <c r="I389" s="75">
        <f t="shared" si="256"/>
        <v>2024</v>
      </c>
      <c r="J389" s="75">
        <f t="shared" si="256"/>
        <v>2025</v>
      </c>
      <c r="V389" s="60"/>
    </row>
    <row r="390" spans="1:22" x14ac:dyDescent="0.4">
      <c r="A390" s="57"/>
      <c r="B390" s="3" t="s">
        <v>204</v>
      </c>
      <c r="E390" s="94">
        <f>-E53</f>
        <v>385.05300157020298</v>
      </c>
      <c r="F390" s="94">
        <f t="shared" ref="F390:J390" ca="1" si="257">-F53</f>
        <v>397.34262342841265</v>
      </c>
      <c r="G390" s="94">
        <f t="shared" ca="1" si="257"/>
        <v>410.02448948365975</v>
      </c>
      <c r="H390" s="94">
        <f t="shared" ca="1" si="257"/>
        <v>423.11111887704448</v>
      </c>
      <c r="I390" s="94">
        <f t="shared" ca="1" si="257"/>
        <v>436.61543031936111</v>
      </c>
      <c r="J390" s="94">
        <f t="shared" ca="1" si="257"/>
        <v>450.55075484404506</v>
      </c>
      <c r="L390" s="111" t="str">
        <f ca="1">_xlfn.FORMULATEXT(E390)</f>
        <v>=-E53</v>
      </c>
      <c r="V390" s="60"/>
    </row>
    <row r="391" spans="1:22" ht="18.5" thickBot="1" x14ac:dyDescent="0.45">
      <c r="A391" s="57"/>
      <c r="B391" s="12" t="s">
        <v>24</v>
      </c>
      <c r="C391" s="12"/>
      <c r="D391" s="12"/>
      <c r="E391" s="98">
        <f>E17</f>
        <v>21.189197278338828</v>
      </c>
      <c r="F391" s="98">
        <f t="shared" ref="F391:J391" ca="1" si="258">F17</f>
        <v>21.865486570898234</v>
      </c>
      <c r="G391" s="98">
        <f t="shared" ca="1" si="258"/>
        <v>22.563360787191307</v>
      </c>
      <c r="H391" s="98">
        <f t="shared" ca="1" si="258"/>
        <v>23.2835088467939</v>
      </c>
      <c r="I391" s="98">
        <f t="shared" ca="1" si="258"/>
        <v>24.026641657322596</v>
      </c>
      <c r="J391" s="98">
        <f t="shared" ca="1" si="258"/>
        <v>24.793492816220436</v>
      </c>
      <c r="K391" s="147" t="s">
        <v>188</v>
      </c>
      <c r="L391" s="111" t="str">
        <f ca="1">_xlfn.FORMULATEXT(E391)</f>
        <v>=E17</v>
      </c>
      <c r="V391" s="60"/>
    </row>
    <row r="392" spans="1:22" x14ac:dyDescent="0.4">
      <c r="A392" s="57"/>
      <c r="B392" s="39" t="s">
        <v>203</v>
      </c>
      <c r="C392" s="39"/>
      <c r="D392" s="168"/>
      <c r="E392" s="169">
        <f>E390/E391</f>
        <v>18.172137269392117</v>
      </c>
      <c r="F392" s="169">
        <f t="shared" ref="F392:J392" ca="1" si="259">F390/F391</f>
        <v>18.172137269392117</v>
      </c>
      <c r="G392" s="169">
        <f t="shared" ca="1" si="259"/>
        <v>18.172137269392113</v>
      </c>
      <c r="H392" s="169">
        <f t="shared" ca="1" si="259"/>
        <v>18.172137269392117</v>
      </c>
      <c r="I392" s="169">
        <f t="shared" ca="1" si="259"/>
        <v>18.172137269392117</v>
      </c>
      <c r="J392" s="169">
        <f t="shared" ca="1" si="259"/>
        <v>18.172137269392117</v>
      </c>
      <c r="K392" s="232"/>
      <c r="L392" s="111" t="str">
        <f ca="1">_xlfn.FORMULATEXT(E392)</f>
        <v>=E390/E391</v>
      </c>
      <c r="V392" s="60"/>
    </row>
    <row r="393" spans="1:22" x14ac:dyDescent="0.4">
      <c r="A393" s="57"/>
      <c r="B393" s="3" t="s">
        <v>189</v>
      </c>
      <c r="D393" s="148"/>
      <c r="E393" s="159">
        <f>$K393/E392</f>
        <v>20.085694631791089</v>
      </c>
      <c r="F393" s="159">
        <f t="shared" ref="F393:J393" ca="1" si="260">$K393/F392</f>
        <v>20.085694631791089</v>
      </c>
      <c r="G393" s="159">
        <f t="shared" ca="1" si="260"/>
        <v>20.085694631791092</v>
      </c>
      <c r="H393" s="159">
        <f t="shared" ca="1" si="260"/>
        <v>20.085694631791089</v>
      </c>
      <c r="I393" s="159">
        <f t="shared" ca="1" si="260"/>
        <v>20.085694631791089</v>
      </c>
      <c r="J393" s="159">
        <f t="shared" ca="1" si="260"/>
        <v>20.085694631791089</v>
      </c>
      <c r="K393" s="233">
        <v>365</v>
      </c>
      <c r="L393" s="111" t="str">
        <f ca="1">_xlfn.FORMULATEXT(E393)</f>
        <v>=$K393/E392</v>
      </c>
      <c r="V393" s="60"/>
    </row>
    <row r="394" spans="1:22" x14ac:dyDescent="0.4">
      <c r="A394" s="57"/>
      <c r="V394" s="60"/>
    </row>
    <row r="395" spans="1:22" x14ac:dyDescent="0.4">
      <c r="A395" s="57"/>
      <c r="B395" s="3" t="s">
        <v>12</v>
      </c>
      <c r="E395" s="94">
        <f>E379</f>
        <v>1226.4932478133608</v>
      </c>
      <c r="F395" s="94">
        <f t="shared" ref="F395:J395" ca="1" si="261">F379</f>
        <v>1265.6388671587679</v>
      </c>
      <c r="G395" s="94">
        <f t="shared" ca="1" si="261"/>
        <v>1306.0338855666382</v>
      </c>
      <c r="H395" s="94">
        <f t="shared" ca="1" si="261"/>
        <v>1347.7181797343746</v>
      </c>
      <c r="I395" s="94">
        <f t="shared" ca="1" si="261"/>
        <v>1390.7328990920428</v>
      </c>
      <c r="J395" s="94">
        <f t="shared" ca="1" si="261"/>
        <v>1435.1205064238004</v>
      </c>
      <c r="L395" s="111" t="str">
        <f ca="1">_xlfn.FORMULATEXT(E395)</f>
        <v>=E379</v>
      </c>
      <c r="V395" s="60"/>
    </row>
    <row r="396" spans="1:22" x14ac:dyDescent="0.4">
      <c r="A396" s="57"/>
      <c r="B396" s="12" t="s">
        <v>29</v>
      </c>
      <c r="C396" s="12"/>
      <c r="D396" s="12"/>
      <c r="E396" s="98">
        <f>E16</f>
        <v>38.148202547386084</v>
      </c>
      <c r="F396" s="98">
        <f t="shared" ref="F396:J396" ca="1" si="262">F16</f>
        <v>39.365767355259131</v>
      </c>
      <c r="G396" s="98">
        <f t="shared" ca="1" si="262"/>
        <v>40.622192816121782</v>
      </c>
      <c r="H396" s="98">
        <f t="shared" ca="1" si="262"/>
        <v>41.918719233850268</v>
      </c>
      <c r="I396" s="98">
        <f t="shared" ca="1" si="262"/>
        <v>43.256626498729887</v>
      </c>
      <c r="J396" s="98">
        <f t="shared" ca="1" si="262"/>
        <v>44.637235350922609</v>
      </c>
      <c r="L396" s="111" t="str">
        <f ca="1">_xlfn.FORMULATEXT(E396)</f>
        <v>=E16</v>
      </c>
      <c r="V396" s="60"/>
    </row>
    <row r="397" spans="1:22" x14ac:dyDescent="0.4">
      <c r="A397" s="57"/>
      <c r="B397" s="39" t="s">
        <v>205</v>
      </c>
      <c r="C397" s="39"/>
      <c r="D397" s="168"/>
      <c r="E397" s="169">
        <f>E395/E396</f>
        <v>32.150748027770447</v>
      </c>
      <c r="F397" s="169">
        <f t="shared" ref="F397" ca="1" si="263">F395/F396</f>
        <v>32.150748027770447</v>
      </c>
      <c r="G397" s="169">
        <f t="shared" ref="G397" ca="1" si="264">G395/G396</f>
        <v>32.150748027770447</v>
      </c>
      <c r="H397" s="169">
        <f t="shared" ref="H397" ca="1" si="265">H395/H396</f>
        <v>32.150748027770447</v>
      </c>
      <c r="I397" s="169">
        <f t="shared" ref="I397" ca="1" si="266">I395/I396</f>
        <v>32.150748027770447</v>
      </c>
      <c r="J397" s="169">
        <f t="shared" ref="J397" ca="1" si="267">J395/J396</f>
        <v>32.150748027770447</v>
      </c>
      <c r="L397" s="111" t="str">
        <f ca="1">_xlfn.FORMULATEXT(E397)</f>
        <v>=E395/E396</v>
      </c>
      <c r="V397" s="60"/>
    </row>
    <row r="398" spans="1:22" x14ac:dyDescent="0.4">
      <c r="A398" s="57"/>
      <c r="B398" s="3" t="s">
        <v>190</v>
      </c>
      <c r="D398" s="150"/>
      <c r="E398" s="159">
        <f>$K398/E397</f>
        <v>11.352768516761369</v>
      </c>
      <c r="F398" s="159">
        <f t="shared" ref="F398" ca="1" si="268">$K398/F397</f>
        <v>11.352768516761369</v>
      </c>
      <c r="G398" s="159">
        <f t="shared" ref="G398" ca="1" si="269">$K398/G397</f>
        <v>11.352768516761369</v>
      </c>
      <c r="H398" s="159">
        <f t="shared" ref="H398" ca="1" si="270">$K398/H397</f>
        <v>11.352768516761369</v>
      </c>
      <c r="I398" s="159">
        <f t="shared" ref="I398" ca="1" si="271">$K398/I397</f>
        <v>11.352768516761369</v>
      </c>
      <c r="J398" s="159">
        <f t="shared" ref="J398" ca="1" si="272">$K398/J397</f>
        <v>11.352768516761369</v>
      </c>
      <c r="K398" s="149">
        <v>365</v>
      </c>
      <c r="L398" s="111" t="str">
        <f ca="1">_xlfn.FORMULATEXT(E398)</f>
        <v>=$K398/E397</v>
      </c>
      <c r="V398" s="60"/>
    </row>
    <row r="399" spans="1:22" x14ac:dyDescent="0.4">
      <c r="A399" s="57"/>
      <c r="V399" s="60"/>
    </row>
    <row r="400" spans="1:22" x14ac:dyDescent="0.4">
      <c r="A400" s="57"/>
      <c r="B400" s="3" t="s">
        <v>204</v>
      </c>
      <c r="E400" s="94">
        <f>E390</f>
        <v>385.05300157020298</v>
      </c>
      <c r="F400" s="94">
        <f t="shared" ref="F400:J400" ca="1" si="273">F390</f>
        <v>397.34262342841265</v>
      </c>
      <c r="G400" s="94">
        <f t="shared" ca="1" si="273"/>
        <v>410.02448948365975</v>
      </c>
      <c r="H400" s="94">
        <f t="shared" ca="1" si="273"/>
        <v>423.11111887704448</v>
      </c>
      <c r="I400" s="94">
        <f t="shared" ca="1" si="273"/>
        <v>436.61543031936111</v>
      </c>
      <c r="J400" s="94">
        <f t="shared" ca="1" si="273"/>
        <v>450.55075484404506</v>
      </c>
      <c r="L400" s="111" t="str">
        <f ca="1">_xlfn.FORMULATEXT(E400)</f>
        <v>=E390</v>
      </c>
      <c r="V400" s="60"/>
    </row>
    <row r="401" spans="1:22" x14ac:dyDescent="0.4">
      <c r="A401" s="57"/>
      <c r="B401" s="12" t="s">
        <v>39</v>
      </c>
      <c r="C401" s="12"/>
      <c r="D401" s="12"/>
      <c r="E401" s="98">
        <f>E31</f>
        <v>75.809721058314324</v>
      </c>
      <c r="F401" s="98">
        <f t="shared" ref="F401:J401" ca="1" si="274">F31</f>
        <v>78.229317324760189</v>
      </c>
      <c r="G401" s="98">
        <f t="shared" ca="1" si="274"/>
        <v>80.726139123906464</v>
      </c>
      <c r="H401" s="98">
        <f t="shared" ca="1" si="274"/>
        <v>83.302651240057713</v>
      </c>
      <c r="I401" s="98">
        <f t="shared" ca="1" si="274"/>
        <v>85.961397125304302</v>
      </c>
      <c r="J401" s="98">
        <f t="shared" ca="1" si="274"/>
        <v>88.705001410338724</v>
      </c>
      <c r="L401" s="111" t="str">
        <f ca="1">_xlfn.FORMULATEXT(E401)</f>
        <v>=E31</v>
      </c>
      <c r="V401" s="60"/>
    </row>
    <row r="402" spans="1:22" x14ac:dyDescent="0.4">
      <c r="A402" s="57"/>
      <c r="B402" s="39" t="s">
        <v>206</v>
      </c>
      <c r="C402" s="39"/>
      <c r="D402" s="168"/>
      <c r="E402" s="169">
        <f>E400/E401</f>
        <v>5.0792035136762035</v>
      </c>
      <c r="F402" s="169">
        <f t="shared" ref="F402" ca="1" si="275">F400/F401</f>
        <v>5.0792035136762035</v>
      </c>
      <c r="G402" s="169">
        <f t="shared" ref="G402" ca="1" si="276">G400/G401</f>
        <v>5.0792035136762035</v>
      </c>
      <c r="H402" s="169">
        <f t="shared" ref="H402" ca="1" si="277">H400/H401</f>
        <v>5.0792035136762035</v>
      </c>
      <c r="I402" s="169">
        <f t="shared" ref="I402" ca="1" si="278">I400/I401</f>
        <v>5.0792035136762035</v>
      </c>
      <c r="J402" s="169">
        <f t="shared" ref="J402" ca="1" si="279">J400/J401</f>
        <v>5.0792035136762035</v>
      </c>
      <c r="L402" s="111" t="str">
        <f ca="1">_xlfn.FORMULATEXT(E402)</f>
        <v>=E400/E401</v>
      </c>
      <c r="V402" s="60"/>
    </row>
    <row r="403" spans="1:22" x14ac:dyDescent="0.4">
      <c r="A403" s="57"/>
      <c r="B403" s="3" t="s">
        <v>191</v>
      </c>
      <c r="D403" s="148"/>
      <c r="E403" s="159">
        <f>$K403/E402</f>
        <v>71.861660793312438</v>
      </c>
      <c r="F403" s="159">
        <f t="shared" ref="F403" ca="1" si="280">$K403/F402</f>
        <v>71.861660793312438</v>
      </c>
      <c r="G403" s="159">
        <f t="shared" ref="G403" ca="1" si="281">$K403/G402</f>
        <v>71.861660793312438</v>
      </c>
      <c r="H403" s="159">
        <f t="shared" ref="H403" ca="1" si="282">$K403/H402</f>
        <v>71.861660793312438</v>
      </c>
      <c r="I403" s="159">
        <f t="shared" ref="I403" ca="1" si="283">$K403/I402</f>
        <v>71.861660793312438</v>
      </c>
      <c r="J403" s="159">
        <f t="shared" ref="J403" ca="1" si="284">$K403/J402</f>
        <v>71.861660793312438</v>
      </c>
      <c r="K403" s="149">
        <v>365</v>
      </c>
      <c r="L403" s="111" t="str">
        <f ca="1">_xlfn.FORMULATEXT(E403)</f>
        <v>=$K403/E402</v>
      </c>
      <c r="V403" s="60"/>
    </row>
    <row r="404" spans="1:22" x14ac:dyDescent="0.4">
      <c r="A404" s="57"/>
      <c r="V404" s="60"/>
    </row>
    <row r="405" spans="1:22" x14ac:dyDescent="0.4">
      <c r="A405" s="57"/>
      <c r="B405" s="13" t="s">
        <v>323</v>
      </c>
      <c r="D405" s="148"/>
      <c r="E405" s="159">
        <f>E393+E398-E403</f>
        <v>-40.423197644759981</v>
      </c>
      <c r="F405" s="159">
        <f t="shared" ref="F405:J405" ca="1" si="285">F393+F398-F403</f>
        <v>-40.423197644759981</v>
      </c>
      <c r="G405" s="159">
        <f t="shared" ca="1" si="285"/>
        <v>-40.423197644759981</v>
      </c>
      <c r="H405" s="159">
        <f t="shared" ca="1" si="285"/>
        <v>-40.423197644759981</v>
      </c>
      <c r="I405" s="159">
        <f t="shared" ca="1" si="285"/>
        <v>-40.423197644759981</v>
      </c>
      <c r="J405" s="159">
        <f t="shared" ca="1" si="285"/>
        <v>-40.423197644759981</v>
      </c>
      <c r="K405" s="149">
        <v>365</v>
      </c>
      <c r="L405" s="111" t="str">
        <f ca="1">_xlfn.FORMULATEXT(E405)</f>
        <v>=E393+E398-E403</v>
      </c>
      <c r="V405" s="60"/>
    </row>
    <row r="406" spans="1:22" x14ac:dyDescent="0.4">
      <c r="A406" s="57"/>
      <c r="V406" s="60"/>
    </row>
    <row r="407" spans="1:22" ht="18.5" thickBot="1" x14ac:dyDescent="0.45">
      <c r="A407" s="57" t="s">
        <v>67</v>
      </c>
      <c r="B407" s="206" t="s">
        <v>309</v>
      </c>
      <c r="C407" s="207"/>
      <c r="D407" s="207"/>
      <c r="E407" s="207"/>
      <c r="F407" s="207"/>
      <c r="G407" s="207"/>
      <c r="H407" s="207"/>
      <c r="I407" s="207"/>
      <c r="J407" s="207"/>
      <c r="K407" s="207"/>
      <c r="L407" s="207"/>
      <c r="M407" s="207"/>
      <c r="N407" s="207"/>
      <c r="O407" s="207"/>
      <c r="P407" s="207"/>
      <c r="V407" s="60"/>
    </row>
    <row r="408" spans="1:22" x14ac:dyDescent="0.4">
      <c r="A408" s="57"/>
      <c r="B408" s="229" t="s">
        <v>360</v>
      </c>
      <c r="C408" s="61"/>
      <c r="D408" s="61"/>
      <c r="E408" s="61"/>
      <c r="F408" s="61"/>
      <c r="G408" s="61"/>
      <c r="H408" s="61"/>
      <c r="I408" s="61"/>
      <c r="J408" s="61"/>
      <c r="K408" s="61"/>
      <c r="L408" s="61"/>
      <c r="M408" s="61"/>
      <c r="N408" s="61"/>
      <c r="O408" s="61"/>
      <c r="P408" s="61"/>
      <c r="V408" s="60"/>
    </row>
    <row r="409" spans="1:22" x14ac:dyDescent="0.4">
      <c r="A409" s="57"/>
      <c r="B409" s="229" t="s">
        <v>321</v>
      </c>
      <c r="C409" s="61"/>
      <c r="D409" s="61"/>
      <c r="E409" s="61"/>
      <c r="F409" s="61"/>
      <c r="G409" s="61"/>
      <c r="H409" s="61"/>
      <c r="I409" s="61"/>
      <c r="J409" s="61"/>
      <c r="K409" s="61"/>
      <c r="V409" s="60"/>
    </row>
    <row r="410" spans="1:22" x14ac:dyDescent="0.4">
      <c r="A410" s="57"/>
      <c r="B410" s="230" t="s">
        <v>318</v>
      </c>
      <c r="C410" s="61"/>
      <c r="D410" s="61"/>
      <c r="E410" s="61"/>
      <c r="F410" s="61"/>
      <c r="G410" s="61"/>
      <c r="H410" s="61"/>
      <c r="I410" s="61"/>
      <c r="J410" s="61"/>
      <c r="K410" s="61"/>
      <c r="V410" s="60"/>
    </row>
    <row r="411" spans="1:22" x14ac:dyDescent="0.4">
      <c r="A411" s="57"/>
      <c r="B411" s="230" t="s">
        <v>322</v>
      </c>
      <c r="C411" s="61"/>
      <c r="D411" s="61"/>
      <c r="E411" s="61"/>
      <c r="F411" s="61"/>
      <c r="G411" s="61"/>
      <c r="H411" s="61"/>
      <c r="I411" s="61"/>
      <c r="J411" s="61"/>
      <c r="K411" s="61"/>
      <c r="V411" s="60"/>
    </row>
    <row r="412" spans="1:22" x14ac:dyDescent="0.4">
      <c r="A412" s="57"/>
      <c r="B412" s="230" t="s">
        <v>361</v>
      </c>
      <c r="C412" s="61"/>
      <c r="D412" s="61"/>
      <c r="E412" s="61"/>
      <c r="F412" s="61"/>
      <c r="G412" s="61"/>
      <c r="H412" s="61"/>
      <c r="I412" s="61"/>
      <c r="J412" s="61"/>
      <c r="K412" s="61"/>
      <c r="V412" s="60"/>
    </row>
    <row r="413" spans="1:22" x14ac:dyDescent="0.4">
      <c r="A413" s="57"/>
      <c r="B413" s="231" t="s">
        <v>362</v>
      </c>
      <c r="C413" s="61"/>
      <c r="D413" s="61"/>
      <c r="E413" s="61"/>
      <c r="F413" s="61"/>
      <c r="G413" s="61"/>
      <c r="H413" s="61"/>
      <c r="I413" s="61"/>
      <c r="J413" s="61"/>
      <c r="K413" s="61"/>
      <c r="V413" s="60"/>
    </row>
    <row r="414" spans="1:22" x14ac:dyDescent="0.4">
      <c r="A414" s="57"/>
      <c r="B414" s="231" t="s">
        <v>363</v>
      </c>
      <c r="C414" s="61"/>
      <c r="D414" s="61"/>
      <c r="E414" s="61"/>
      <c r="F414" s="61"/>
      <c r="G414" s="61"/>
      <c r="H414" s="61"/>
      <c r="I414" s="61"/>
      <c r="J414" s="61"/>
      <c r="K414" s="61"/>
      <c r="V414" s="60"/>
    </row>
    <row r="415" spans="1:22" x14ac:dyDescent="0.4">
      <c r="A415" s="57"/>
      <c r="B415" s="230" t="s">
        <v>319</v>
      </c>
      <c r="C415" s="61"/>
      <c r="D415" s="61"/>
      <c r="E415" s="61"/>
      <c r="F415" s="61"/>
      <c r="G415" s="61"/>
      <c r="H415" s="61"/>
      <c r="I415" s="61"/>
      <c r="J415" s="61"/>
      <c r="K415" s="61"/>
      <c r="V415" s="60"/>
    </row>
    <row r="416" spans="1:22" x14ac:dyDescent="0.4">
      <c r="A416" s="57"/>
      <c r="B416" s="230" t="s">
        <v>320</v>
      </c>
      <c r="C416" s="61"/>
      <c r="D416" s="61"/>
      <c r="E416" s="61"/>
      <c r="F416" s="61"/>
      <c r="G416" s="61"/>
      <c r="H416" s="61"/>
      <c r="I416" s="61"/>
      <c r="J416" s="61"/>
      <c r="K416" s="61"/>
      <c r="V416" s="60"/>
    </row>
    <row r="417" spans="1:27" x14ac:dyDescent="0.4">
      <c r="A417" s="57"/>
      <c r="B417" s="208"/>
      <c r="C417" s="61"/>
      <c r="D417" s="61"/>
      <c r="E417" s="61"/>
      <c r="F417" s="61"/>
      <c r="G417" s="61"/>
      <c r="H417" s="61"/>
      <c r="I417" s="61"/>
      <c r="J417" s="61"/>
      <c r="K417" s="61"/>
      <c r="V417" s="60"/>
    </row>
    <row r="418" spans="1:27" ht="22" x14ac:dyDescent="0.8">
      <c r="A418" s="57"/>
      <c r="B418" s="12"/>
      <c r="C418" s="12"/>
      <c r="D418" s="8" t="s">
        <v>70</v>
      </c>
      <c r="E418" s="59" t="str">
        <f>$E136</f>
        <v>LBO</v>
      </c>
      <c r="F418" s="8" t="s">
        <v>59</v>
      </c>
      <c r="G418" s="8"/>
      <c r="H418" s="8"/>
      <c r="I418" s="8"/>
      <c r="J418" s="8"/>
      <c r="K418" s="12"/>
      <c r="V418" s="60"/>
    </row>
    <row r="419" spans="1:27" ht="18.5" thickBot="1" x14ac:dyDescent="0.45">
      <c r="A419" s="57"/>
      <c r="D419" s="75">
        <f t="shared" ref="D419:J419" si="286">D$12</f>
        <v>2019</v>
      </c>
      <c r="E419" s="75">
        <f t="shared" si="286"/>
        <v>2020</v>
      </c>
      <c r="F419" s="75">
        <f t="shared" si="286"/>
        <v>2021</v>
      </c>
      <c r="G419" s="75">
        <f t="shared" si="286"/>
        <v>2022</v>
      </c>
      <c r="H419" s="75">
        <f t="shared" si="286"/>
        <v>2023</v>
      </c>
      <c r="I419" s="75">
        <f t="shared" si="286"/>
        <v>2024</v>
      </c>
      <c r="J419" s="75">
        <f t="shared" si="286"/>
        <v>2025</v>
      </c>
      <c r="K419" s="12"/>
      <c r="L419" s="377">
        <f>E393+E398-E403</f>
        <v>-40.423197644759981</v>
      </c>
      <c r="V419" s="60"/>
    </row>
    <row r="420" spans="1:27" s="12" customFormat="1" x14ac:dyDescent="0.4">
      <c r="A420" s="60"/>
      <c r="D420" s="214"/>
      <c r="E420" s="214"/>
      <c r="F420" s="214"/>
      <c r="G420" s="214"/>
      <c r="H420" s="214"/>
      <c r="I420" s="214"/>
      <c r="J420" s="214"/>
      <c r="S420" s="61"/>
      <c r="T420" s="215"/>
      <c r="U420" s="215"/>
      <c r="V420" s="60"/>
      <c r="W420" s="61"/>
      <c r="X420" s="61"/>
      <c r="Y420" s="61"/>
      <c r="Z420" s="61"/>
      <c r="AA420" s="61"/>
    </row>
    <row r="421" spans="1:27" x14ac:dyDescent="0.4">
      <c r="A421" s="57"/>
      <c r="D421" s="7"/>
      <c r="E421" s="205" t="s">
        <v>310</v>
      </c>
      <c r="J421" s="121" t="s">
        <v>311</v>
      </c>
      <c r="K421" s="376"/>
      <c r="R421" s="205" t="s">
        <v>368</v>
      </c>
      <c r="V421" s="60"/>
    </row>
    <row r="422" spans="1:27" x14ac:dyDescent="0.4">
      <c r="A422" s="57"/>
      <c r="B422" s="3" t="s">
        <v>192</v>
      </c>
      <c r="D422" s="7"/>
      <c r="E422" s="94">
        <f>E381</f>
        <v>492.10435426842656</v>
      </c>
      <c r="F422" s="111" t="str">
        <f ca="1">_xlfn.FORMULATEXT(E422)</f>
        <v>=E381</v>
      </c>
      <c r="J422" s="94">
        <f ca="1">J381</f>
        <v>575.81160872279884</v>
      </c>
      <c r="K422" s="111" t="str">
        <f ca="1">_xlfn.FORMULATEXT(J422)</f>
        <v>=J381</v>
      </c>
      <c r="R422" s="45">
        <f ca="1">J422-E422</f>
        <v>83.707254454372276</v>
      </c>
      <c r="V422" s="60"/>
    </row>
    <row r="423" spans="1:27" x14ac:dyDescent="0.4">
      <c r="A423" s="57"/>
      <c r="B423" s="12" t="s">
        <v>346</v>
      </c>
      <c r="C423" s="12"/>
      <c r="D423" s="10"/>
      <c r="E423" s="212">
        <f>E343</f>
        <v>6</v>
      </c>
      <c r="F423" s="111" t="str">
        <f ca="1">_xlfn.FORMULATEXT(E423)</f>
        <v>=E343</v>
      </c>
      <c r="G423" s="12"/>
      <c r="H423" s="12"/>
      <c r="I423" s="12"/>
      <c r="J423" s="212">
        <f>E423</f>
        <v>6</v>
      </c>
      <c r="K423" s="111" t="str">
        <f ca="1">_xlfn.FORMULATEXT(J423)</f>
        <v>=E423</v>
      </c>
      <c r="R423" s="45">
        <f>J423-E423</f>
        <v>0</v>
      </c>
      <c r="V423" s="60"/>
    </row>
    <row r="424" spans="1:27" x14ac:dyDescent="0.4">
      <c r="A424" s="57"/>
      <c r="B424" s="39" t="s">
        <v>156</v>
      </c>
      <c r="C424" s="39"/>
      <c r="D424" s="274" t="str">
        <f ca="1">_xlfn.FORMULATEXT(E424)</f>
        <v>=E422*E423</v>
      </c>
      <c r="E424" s="96">
        <f>E422*E423</f>
        <v>2952.6261256105595</v>
      </c>
      <c r="F424" s="244" t="s">
        <v>339</v>
      </c>
      <c r="G424" s="246" t="s">
        <v>337</v>
      </c>
      <c r="H424" s="241"/>
      <c r="I424" s="249"/>
      <c r="J424" s="96">
        <f ca="1">J422*J423</f>
        <v>3454.869652336793</v>
      </c>
      <c r="K424" s="120" t="str">
        <f ca="1">_xlfn.FORMULATEXT(J424)</f>
        <v>=J422*J423</v>
      </c>
      <c r="L424" s="240" t="s">
        <v>337</v>
      </c>
      <c r="M424" s="241"/>
      <c r="N424" s="249"/>
      <c r="O424" s="249"/>
      <c r="P424" s="249"/>
      <c r="R424" s="45">
        <f ca="1">J424-E424</f>
        <v>502.24352672623354</v>
      </c>
      <c r="V424" s="60"/>
    </row>
    <row r="425" spans="1:27" x14ac:dyDescent="0.4">
      <c r="A425" s="57"/>
      <c r="D425" s="7"/>
      <c r="E425" s="258" t="s">
        <v>342</v>
      </c>
      <c r="F425" s="245" t="s">
        <v>312</v>
      </c>
      <c r="G425" s="247" t="s">
        <v>342</v>
      </c>
      <c r="H425" s="121" t="s">
        <v>412</v>
      </c>
      <c r="I425" s="250" t="s">
        <v>338</v>
      </c>
      <c r="J425" s="258" t="s">
        <v>342</v>
      </c>
      <c r="K425" s="259" t="s">
        <v>312</v>
      </c>
      <c r="L425" s="261" t="s">
        <v>342</v>
      </c>
      <c r="N425" s="121" t="s">
        <v>338</v>
      </c>
      <c r="O425" s="174"/>
      <c r="P425" s="259" t="s">
        <v>342</v>
      </c>
      <c r="R425" s="45"/>
      <c r="V425" s="60"/>
    </row>
    <row r="426" spans="1:27" x14ac:dyDescent="0.4">
      <c r="A426" s="57"/>
      <c r="B426" s="3" t="str">
        <f>B148</f>
        <v xml:space="preserve">Short-term Debt: </v>
      </c>
      <c r="D426" s="260" t="str">
        <f ca="1">_xlfn.FORMULATEXT(E426)</f>
        <v>=F426*$E$422</v>
      </c>
      <c r="E426" s="131">
        <f>F426*$E$422</f>
        <v>421.91703324559626</v>
      </c>
      <c r="F426" s="304">
        <f>$F$429*I426</f>
        <v>0.85737309492582658</v>
      </c>
      <c r="G426" s="305">
        <f>E30</f>
        <v>143.42556404204501</v>
      </c>
      <c r="H426" s="300">
        <f>G426/$E$422</f>
        <v>0.29145355613702034</v>
      </c>
      <c r="I426" s="251">
        <f>G426/$G$429</f>
        <v>0.28579103164194219</v>
      </c>
      <c r="J426" s="100">
        <f ca="1">J30</f>
        <v>0</v>
      </c>
      <c r="K426" s="120" t="str">
        <f ca="1">_xlfn.FORMULATEXT(F426)</f>
        <v>=$F$429*I426</v>
      </c>
      <c r="L426" s="262" t="str">
        <f t="shared" ref="K426:M429" ca="1" si="287">_xlfn.FORMULATEXT(G426)</f>
        <v>=E30</v>
      </c>
      <c r="M426" s="262" t="str">
        <f t="shared" ca="1" si="287"/>
        <v>=G426/$E$422</v>
      </c>
      <c r="N426" s="120" t="str">
        <f ca="1">_xlfn.FORMULATEXT(I426)</f>
        <v>=G426/$G$429</v>
      </c>
      <c r="O426" s="12"/>
      <c r="P426" s="120" t="str">
        <f ca="1">_xlfn.FORMULATEXT(J426)</f>
        <v>=J30</v>
      </c>
      <c r="R426" s="45">
        <f ca="1">J426-E426</f>
        <v>-421.91703324559626</v>
      </c>
      <c r="V426" s="60"/>
    </row>
    <row r="427" spans="1:27" x14ac:dyDescent="0.4">
      <c r="A427" s="57"/>
      <c r="B427" s="3" t="str">
        <f>B159</f>
        <v>Long-term Debt:</v>
      </c>
      <c r="D427" s="260" t="str">
        <f ca="1">_xlfn.FORMULATEXT(E427)</f>
        <v>=F427*$E$422</v>
      </c>
      <c r="E427" s="131">
        <f>F427*$E$422</f>
        <v>960.70211918596351</v>
      </c>
      <c r="F427" s="304">
        <f>$F$429*I427</f>
        <v>1.9522325109562686</v>
      </c>
      <c r="G427" s="305">
        <f>E35</f>
        <v>326.57900123323105</v>
      </c>
      <c r="H427" s="300">
        <f t="shared" ref="H427:H428" si="288">G427/$E$422</f>
        <v>0.66363769879405099</v>
      </c>
      <c r="I427" s="251">
        <f t="shared" ref="I427:I428" si="289">G427/$G$429</f>
        <v>0.6507441703187562</v>
      </c>
      <c r="J427" s="100">
        <f ca="1">J35</f>
        <v>445.16094550511559</v>
      </c>
      <c r="K427" s="120" t="str">
        <f t="shared" ca="1" si="287"/>
        <v>=$F$429*I427</v>
      </c>
      <c r="L427" s="262" t="str">
        <f t="shared" ca="1" si="287"/>
        <v>=E35</v>
      </c>
      <c r="M427" s="262" t="str">
        <f t="shared" ca="1" si="287"/>
        <v>=G427/$E$422</v>
      </c>
      <c r="N427" s="111" t="str">
        <f ca="1">_xlfn.FORMULATEXT(I427)</f>
        <v>=G427/$G$429</v>
      </c>
      <c r="P427" s="111" t="str">
        <f ca="1">_xlfn.FORMULATEXT(J427)</f>
        <v>=J35</v>
      </c>
      <c r="R427" s="45">
        <f ca="1">J427-E427</f>
        <v>-515.54117368084792</v>
      </c>
      <c r="V427" s="60"/>
    </row>
    <row r="428" spans="1:27" x14ac:dyDescent="0.4">
      <c r="A428" s="57"/>
      <c r="B428" s="12" t="str">
        <f>B170</f>
        <v>Leases/LT Liab.</v>
      </c>
      <c r="C428" s="12"/>
      <c r="D428" s="253" t="str">
        <f ca="1">_xlfn.FORMULATEXT(E428)</f>
        <v>=F428*$E$422</v>
      </c>
      <c r="E428" s="131">
        <f t="shared" ref="E428" si="290">F428*$E$422</f>
        <v>93.693910373719916</v>
      </c>
      <c r="F428" s="304">
        <f t="shared" ref="F428" si="291">$F$429*I428</f>
        <v>0.19039439411790493</v>
      </c>
      <c r="G428" s="305">
        <f>E36</f>
        <v>31.8501053140306</v>
      </c>
      <c r="H428" s="300">
        <f t="shared" si="288"/>
        <v>6.472225867901471E-2</v>
      </c>
      <c r="I428" s="251">
        <f t="shared" si="289"/>
        <v>6.3464798039301648E-2</v>
      </c>
      <c r="J428" s="100">
        <f ca="1">J36</f>
        <v>93.693910373719916</v>
      </c>
      <c r="K428" s="120" t="str">
        <f t="shared" ca="1" si="287"/>
        <v>=$F$429*I428</v>
      </c>
      <c r="L428" s="262" t="str">
        <f t="shared" ca="1" si="287"/>
        <v>=E36</v>
      </c>
      <c r="M428" s="262" t="str">
        <f t="shared" ca="1" si="287"/>
        <v>=G428/$E$422</v>
      </c>
      <c r="N428" s="111" t="str">
        <f ca="1">_xlfn.FORMULATEXT(I428)</f>
        <v>=G428/$G$429</v>
      </c>
      <c r="P428" s="111" t="str">
        <f ca="1">_xlfn.FORMULATEXT(J428)</f>
        <v>=J36</v>
      </c>
      <c r="R428" s="45">
        <f ca="1">J428-E428</f>
        <v>0</v>
      </c>
      <c r="V428" s="60"/>
    </row>
    <row r="429" spans="1:27" x14ac:dyDescent="0.4">
      <c r="A429" s="57"/>
      <c r="B429" s="39" t="s">
        <v>336</v>
      </c>
      <c r="C429" s="39"/>
      <c r="D429" s="260" t="str">
        <f ca="1">_xlfn.FORMULATEXT(E429)</f>
        <v>=SUM(E426:E428)</v>
      </c>
      <c r="E429" s="96">
        <f>SUM(E426:E428)</f>
        <v>1476.3130628052797</v>
      </c>
      <c r="F429" s="334">
        <v>3</v>
      </c>
      <c r="G429" s="248">
        <f>SUM(G426:G428)</f>
        <v>501.85467058930664</v>
      </c>
      <c r="H429" s="301">
        <f>SUM(H426:H428)</f>
        <v>1.0198135136100861</v>
      </c>
      <c r="I429" s="252"/>
      <c r="J429" s="248">
        <f ca="1">SUM(J426:J428)</f>
        <v>538.85485587883545</v>
      </c>
      <c r="K429" s="120" t="e">
        <f t="shared" ca="1" si="287"/>
        <v>#N/A</v>
      </c>
      <c r="L429" s="262" t="str">
        <f ca="1">_xlfn.FORMULATEXT(G429)</f>
        <v>=SUM(G426:G428)</v>
      </c>
      <c r="M429" s="262" t="str">
        <f ca="1">_xlfn.FORMULATEXT(H429)</f>
        <v>=SUM(H426:H428)</v>
      </c>
      <c r="N429" s="111" t="e">
        <f ca="1">_xlfn.FORMULATEXT(I429)</f>
        <v>#N/A</v>
      </c>
      <c r="P429" s="111" t="str">
        <f ca="1">_xlfn.FORMULATEXT(J429)</f>
        <v>=SUM(J426:J428)</v>
      </c>
      <c r="R429" s="45">
        <f ca="1">J429-E429</f>
        <v>-937.45820692644429</v>
      </c>
      <c r="V429" s="60"/>
    </row>
    <row r="430" spans="1:27" x14ac:dyDescent="0.4">
      <c r="A430" s="57"/>
      <c r="D430" s="7"/>
      <c r="E430" s="7"/>
      <c r="F430" s="203" t="s">
        <v>343</v>
      </c>
      <c r="G430" s="257">
        <f>E429-G429</f>
        <v>974.45839221597316</v>
      </c>
      <c r="H430" s="302" t="str">
        <f ca="1">_xlfn.FORMULATEXT(G430)</f>
        <v>=E429-G429</v>
      </c>
      <c r="I430" s="7"/>
      <c r="J430" s="7"/>
      <c r="K430" s="7"/>
      <c r="R430" s="45"/>
      <c r="V430" s="60"/>
    </row>
    <row r="431" spans="1:27" x14ac:dyDescent="0.4">
      <c r="A431" s="57"/>
      <c r="B431" s="3" t="str">
        <f>B424</f>
        <v>Implied Enterprise Value</v>
      </c>
      <c r="C431" s="3" t="s">
        <v>364</v>
      </c>
      <c r="D431" s="7"/>
      <c r="E431" s="94">
        <f>E424</f>
        <v>2952.6261256105595</v>
      </c>
      <c r="F431" s="111" t="str">
        <f t="shared" ref="F431:F434" ca="1" si="292">_xlfn.FORMULATEXT(E431)</f>
        <v>=E424</v>
      </c>
      <c r="G431" s="370">
        <f ca="1">G430-F128</f>
        <v>1948.9167844319461</v>
      </c>
      <c r="H431" s="306"/>
      <c r="J431" s="94">
        <f ca="1">J424</f>
        <v>3454.869652336793</v>
      </c>
      <c r="K431" s="111" t="str">
        <f t="shared" ref="K431:K436" ca="1" si="293">_xlfn.FORMULATEXT(J431)</f>
        <v>=J424</v>
      </c>
      <c r="L431" s="3" t="s">
        <v>355</v>
      </c>
      <c r="R431" s="45">
        <f ca="1">J431-E431</f>
        <v>502.24352672623354</v>
      </c>
      <c r="V431" s="60"/>
    </row>
    <row r="432" spans="1:27" x14ac:dyDescent="0.4">
      <c r="A432" s="57"/>
      <c r="B432" s="3" t="s">
        <v>194</v>
      </c>
      <c r="C432" s="3" t="s">
        <v>354</v>
      </c>
      <c r="D432" s="7"/>
      <c r="E432" s="94">
        <f>-E429</f>
        <v>-1476.3130628052797</v>
      </c>
      <c r="F432" s="111" t="str">
        <f t="shared" ca="1" si="292"/>
        <v>=-E429</v>
      </c>
      <c r="J432" s="94">
        <f ca="1">-J429</f>
        <v>-538.85485587883545</v>
      </c>
      <c r="K432" s="111" t="str">
        <f t="shared" ca="1" si="293"/>
        <v>=-J429</v>
      </c>
      <c r="L432" s="3" t="s">
        <v>356</v>
      </c>
      <c r="R432" s="45">
        <f ca="1">J432-E432</f>
        <v>937.45820692644429</v>
      </c>
      <c r="V432" s="60"/>
    </row>
    <row r="433" spans="1:22" x14ac:dyDescent="0.4">
      <c r="A433" s="57"/>
      <c r="B433" s="12" t="s">
        <v>195</v>
      </c>
      <c r="C433" s="3" t="s">
        <v>365</v>
      </c>
      <c r="D433" s="10"/>
      <c r="E433" s="98">
        <f>E15</f>
        <v>64.555154902886215</v>
      </c>
      <c r="F433" s="120" t="str">
        <f t="shared" ca="1" si="292"/>
        <v>=E15</v>
      </c>
      <c r="G433" s="12"/>
      <c r="H433" s="12"/>
      <c r="I433" s="12"/>
      <c r="J433" s="98">
        <f ca="1">J15</f>
        <v>64.555154902886215</v>
      </c>
      <c r="K433" s="111" t="str">
        <f t="shared" ca="1" si="293"/>
        <v>=J15</v>
      </c>
      <c r="L433" s="3" t="s">
        <v>357</v>
      </c>
      <c r="R433" s="45">
        <f ca="1">J433-E433</f>
        <v>0</v>
      </c>
      <c r="V433" s="60"/>
    </row>
    <row r="434" spans="1:22" x14ac:dyDescent="0.4">
      <c r="A434" s="57"/>
      <c r="B434" s="39" t="s">
        <v>313</v>
      </c>
      <c r="C434" s="162" t="s">
        <v>366</v>
      </c>
      <c r="D434" s="216"/>
      <c r="E434" s="96">
        <f>SUM(E431:E433)</f>
        <v>1540.868217708166</v>
      </c>
      <c r="F434" s="256" t="str">
        <f t="shared" ca="1" si="292"/>
        <v>=SUM(E431:E433)</v>
      </c>
      <c r="G434" s="39"/>
      <c r="H434" s="39"/>
      <c r="I434" s="39"/>
      <c r="J434" s="96">
        <f ca="1">SUM(J431:J433)</f>
        <v>2980.5699513608433</v>
      </c>
      <c r="K434" s="111" t="str">
        <f t="shared" ca="1" si="293"/>
        <v>=SUM(J431:J433)</v>
      </c>
      <c r="M434" s="3" t="s">
        <v>358</v>
      </c>
      <c r="R434" s="45">
        <f ca="1">J434-E434</f>
        <v>1439.7017336526774</v>
      </c>
      <c r="V434" s="60"/>
    </row>
    <row r="435" spans="1:22" x14ac:dyDescent="0.4">
      <c r="A435" s="57"/>
      <c r="D435" s="7"/>
      <c r="E435" s="45">
        <f>E434*10</f>
        <v>15408.68217708166</v>
      </c>
      <c r="F435" s="3" t="s">
        <v>367</v>
      </c>
      <c r="J435" s="210"/>
      <c r="K435" s="111"/>
      <c r="V435" s="60"/>
    </row>
    <row r="436" spans="1:22" x14ac:dyDescent="0.4">
      <c r="A436" s="57"/>
      <c r="B436" s="3" t="s">
        <v>369</v>
      </c>
      <c r="C436" s="12"/>
      <c r="D436" s="10"/>
      <c r="E436" s="210"/>
      <c r="F436" s="12"/>
      <c r="G436" s="12"/>
      <c r="H436" s="12"/>
      <c r="I436" s="12"/>
      <c r="J436" s="211">
        <f ca="1">(J434/E434)^(1/(J419-E419))-1</f>
        <v>0.14105548849428562</v>
      </c>
      <c r="K436" s="111" t="str">
        <f t="shared" ca="1" si="293"/>
        <v>=(J434/E434)^(1/(J419-E419))-1</v>
      </c>
      <c r="V436" s="60"/>
    </row>
    <row r="437" spans="1:22" x14ac:dyDescent="0.4">
      <c r="A437" s="57"/>
      <c r="B437" s="12" t="s">
        <v>317</v>
      </c>
      <c r="C437" s="12"/>
      <c r="D437" s="10"/>
      <c r="E437" s="210"/>
      <c r="F437" s="12"/>
      <c r="G437" s="12"/>
      <c r="H437" s="12"/>
      <c r="I437" s="12"/>
      <c r="J437" s="132">
        <v>0.25</v>
      </c>
      <c r="K437" s="111"/>
      <c r="L437" s="3" t="str">
        <f ca="1">IF(J436&lt;J437,"NO LBO", "YES LBO")</f>
        <v>NO LBO</v>
      </c>
      <c r="V437" s="60"/>
    </row>
    <row r="438" spans="1:22" x14ac:dyDescent="0.4">
      <c r="A438" s="57"/>
      <c r="J438" s="3" t="s">
        <v>359</v>
      </c>
      <c r="K438" s="12"/>
      <c r="V438" s="60"/>
    </row>
    <row r="439" spans="1:22" x14ac:dyDescent="0.4">
      <c r="A439" s="57"/>
      <c r="D439" s="228" t="s">
        <v>316</v>
      </c>
      <c r="E439" s="205"/>
      <c r="F439" s="205"/>
      <c r="G439" s="205"/>
      <c r="H439" s="205"/>
      <c r="I439" s="205"/>
      <c r="J439" s="205"/>
      <c r="K439" s="205"/>
      <c r="L439" s="205"/>
      <c r="M439" s="217"/>
      <c r="N439" s="217"/>
      <c r="O439" s="217"/>
      <c r="P439" s="217"/>
      <c r="V439" s="60"/>
    </row>
    <row r="440" spans="1:22" x14ac:dyDescent="0.4">
      <c r="A440" s="57"/>
      <c r="D440" s="7"/>
      <c r="E440" s="111" t="str">
        <f ca="1">_xlfn.FORMULATEXT(E441)</f>
        <v>=J436</v>
      </c>
      <c r="F440" s="254" t="str">
        <f ca="1">_xlfn.FORMULATEXT(F441)</f>
        <v>=G441-$R$441</v>
      </c>
      <c r="G440" s="205"/>
      <c r="H440" s="205" t="s">
        <v>314</v>
      </c>
      <c r="I440" s="255"/>
      <c r="J440" s="254" t="str">
        <f ca="1">_xlfn.FORMULATEXT(J441)</f>
        <v>=I441+$R$441</v>
      </c>
      <c r="L440" s="205" t="s">
        <v>370</v>
      </c>
      <c r="M440" s="205"/>
      <c r="N440" s="205"/>
      <c r="O440" s="205"/>
      <c r="P440" s="217"/>
      <c r="R440" s="121" t="s">
        <v>341</v>
      </c>
      <c r="V440" s="60"/>
    </row>
    <row r="441" spans="1:22" x14ac:dyDescent="0.4">
      <c r="A441" s="57"/>
      <c r="E441" s="167">
        <f ca="1">J436</f>
        <v>0.14105548849428562</v>
      </c>
      <c r="F441" s="160">
        <f>G441-$R$441</f>
        <v>5</v>
      </c>
      <c r="G441" s="160">
        <f>H441-$R$441</f>
        <v>5.5</v>
      </c>
      <c r="H441" s="227">
        <v>6</v>
      </c>
      <c r="I441" s="160">
        <f>H441+$R$441</f>
        <v>6.5</v>
      </c>
      <c r="J441" s="160">
        <f>I441+$R$441</f>
        <v>7</v>
      </c>
      <c r="K441" s="167">
        <f ca="1">$J$436</f>
        <v>0.14105548849428562</v>
      </c>
      <c r="L441" s="157">
        <f>M441-0.01</f>
        <v>1.1916701877647833E-2</v>
      </c>
      <c r="M441" s="157">
        <f>N441-0.01</f>
        <v>2.1916701877647833E-2</v>
      </c>
      <c r="N441" s="178">
        <v>3.1916701877647835E-2</v>
      </c>
      <c r="O441" s="157">
        <f>N441+0.01</f>
        <v>4.1916701877647837E-2</v>
      </c>
      <c r="P441" s="157">
        <f>O441+0.01</f>
        <v>5.1916701877647839E-2</v>
      </c>
      <c r="R441" s="227">
        <v>0.5</v>
      </c>
      <c r="S441" s="3"/>
      <c r="V441" s="60"/>
    </row>
    <row r="442" spans="1:22" x14ac:dyDescent="0.4">
      <c r="A442" s="57"/>
      <c r="C442" s="183" t="str">
        <f ca="1">_xlfn.FORMULATEXT(E442)</f>
        <v>=F441</v>
      </c>
      <c r="D442" s="187"/>
      <c r="E442" s="209">
        <f>F441</f>
        <v>5</v>
      </c>
      <c r="F442" s="220">
        <f t="dataTable" ref="F442:J446" dt2D="1" dtr="1" r1="E423" r2="J423" ca="1"/>
        <v>0.18053466745795776</v>
      </c>
      <c r="G442" s="163">
        <v>0.13180777712254654</v>
      </c>
      <c r="H442" s="163">
        <v>9.31032575290065E-2</v>
      </c>
      <c r="I442" s="163">
        <v>6.1190239657850976E-2</v>
      </c>
      <c r="J442" s="221">
        <v>3.4160591365564485E-2</v>
      </c>
      <c r="K442" s="209">
        <f>E442</f>
        <v>5</v>
      </c>
      <c r="L442" s="220">
        <f t="dataTable" ref="L442:P446" dt2D="1" dtr="1" r1="E264" r2="J423" ca="1"/>
        <v>6.334757930241941E-2</v>
      </c>
      <c r="M442" s="163">
        <v>7.8367453332049752E-2</v>
      </c>
      <c r="N442" s="163">
        <v>9.3103252888151244E-2</v>
      </c>
      <c r="O442" s="163">
        <v>0.1075813366160483</v>
      </c>
      <c r="P442" s="221">
        <v>0.12182482047663257</v>
      </c>
      <c r="Q442" s="111" t="str">
        <f t="shared" ref="Q442" ca="1" si="294">_xlfn.FORMULATEXT(P442)</f>
        <v>{=TABLE(E264,J423)}</v>
      </c>
      <c r="V442" s="60"/>
    </row>
    <row r="443" spans="1:22" x14ac:dyDescent="0.4">
      <c r="A443" s="57"/>
      <c r="C443" s="183" t="str">
        <f ca="1">_xlfn.FORMULATEXT(E443)</f>
        <v>=G441</v>
      </c>
      <c r="D443" s="189" t="s">
        <v>311</v>
      </c>
      <c r="E443" s="209">
        <f>G441</f>
        <v>5.5</v>
      </c>
      <c r="F443" s="222">
        <v>0.20753824509466146</v>
      </c>
      <c r="G443" s="157">
        <v>0.15769677468082577</v>
      </c>
      <c r="H443" s="157">
        <v>0.11810692700203274</v>
      </c>
      <c r="I443" s="157">
        <v>8.5463930013846001E-2</v>
      </c>
      <c r="J443" s="223">
        <v>5.7816004914481356E-2</v>
      </c>
      <c r="K443" s="209">
        <f t="shared" ref="K443:K446" si="295">E443</f>
        <v>5.5</v>
      </c>
      <c r="L443" s="222">
        <v>8.8621438373755579E-2</v>
      </c>
      <c r="M443" s="157">
        <v>0.10349026974389286</v>
      </c>
      <c r="N443" s="157">
        <v>0.11810692276256884</v>
      </c>
      <c r="O443" s="157">
        <v>0.1324939239887315</v>
      </c>
      <c r="P443" s="223">
        <v>0.14667114833531891</v>
      </c>
      <c r="Q443" s="3" t="str">
        <f ca="1">_xlfn.FORMULATEXT(K443)</f>
        <v>=E443</v>
      </c>
      <c r="V443" s="60"/>
    </row>
    <row r="444" spans="1:22" x14ac:dyDescent="0.4">
      <c r="A444" s="57"/>
      <c r="C444" s="154"/>
      <c r="D444" s="189" t="s">
        <v>150</v>
      </c>
      <c r="E444" s="209">
        <f>H441</f>
        <v>6</v>
      </c>
      <c r="F444" s="222">
        <v>0.23232233774499855</v>
      </c>
      <c r="G444" s="157">
        <v>0.18145789714733351</v>
      </c>
      <c r="H444" s="307">
        <v>0.14105548849428562</v>
      </c>
      <c r="I444" s="157">
        <v>0.10774251101891674</v>
      </c>
      <c r="J444" s="223">
        <v>7.952712667754791E-2</v>
      </c>
      <c r="K444" s="209">
        <f t="shared" si="295"/>
        <v>6</v>
      </c>
      <c r="L444" s="222">
        <v>0.11174524625829685</v>
      </c>
      <c r="M444" s="157">
        <v>0.12651390499279969</v>
      </c>
      <c r="N444" s="307">
        <v>0.1410554845857217</v>
      </c>
      <c r="O444" s="157">
        <v>0.15538963035670772</v>
      </c>
      <c r="P444" s="223">
        <v>0.16953376386406238</v>
      </c>
      <c r="Q444" s="3" t="str">
        <f t="shared" ref="Q444:Q445" ca="1" si="296">_xlfn.FORMULATEXT(K444)</f>
        <v>=E444</v>
      </c>
      <c r="V444" s="60"/>
    </row>
    <row r="445" spans="1:22" x14ac:dyDescent="0.4">
      <c r="A445" s="57"/>
      <c r="C445" s="183" t="str">
        <f ca="1">_xlfn.FORMULATEXT(E445)</f>
        <v>=I441</v>
      </c>
      <c r="D445" s="218"/>
      <c r="E445" s="209">
        <f>I441</f>
        <v>6.5</v>
      </c>
      <c r="F445" s="372">
        <v>0.25525948196842019</v>
      </c>
      <c r="G445" s="157">
        <v>0.20344830448698881</v>
      </c>
      <c r="H445" s="157">
        <v>0.16229388814418</v>
      </c>
      <c r="I445" s="157">
        <v>0.12836085815052067</v>
      </c>
      <c r="J445" s="223">
        <v>9.9620302496310487E-2</v>
      </c>
      <c r="K445" s="209">
        <f t="shared" si="295"/>
        <v>6.5</v>
      </c>
      <c r="L445" s="222">
        <v>0.13309132304460314</v>
      </c>
      <c r="M445" s="157">
        <v>0.14779600842233975</v>
      </c>
      <c r="N445" s="157">
        <v>0.16229388451356264</v>
      </c>
      <c r="O445" s="157">
        <v>0.17660236244478478</v>
      </c>
      <c r="P445" s="223">
        <v>0.19073694806693919</v>
      </c>
      <c r="Q445" s="3" t="str">
        <f t="shared" ca="1" si="296"/>
        <v>=E445</v>
      </c>
      <c r="V445" s="60"/>
    </row>
    <row r="446" spans="1:22" x14ac:dyDescent="0.4">
      <c r="A446" s="57"/>
      <c r="C446" s="183" t="str">
        <f ca="1">_xlfn.FORMULATEXT(E446)</f>
        <v>=J441</v>
      </c>
      <c r="D446" s="219"/>
      <c r="E446" s="209">
        <f>J441</f>
        <v>7</v>
      </c>
      <c r="F446" s="373">
        <v>0.27663317807342436</v>
      </c>
      <c r="G446" s="225">
        <v>0.22393979545573384</v>
      </c>
      <c r="H446" s="225">
        <v>0.18208462998421848</v>
      </c>
      <c r="I446" s="225">
        <v>0.14757381166756711</v>
      </c>
      <c r="J446" s="226">
        <v>0.11834388157622566</v>
      </c>
      <c r="K446" s="209">
        <f t="shared" si="295"/>
        <v>7</v>
      </c>
      <c r="L446" s="224">
        <v>0.15294043126606405</v>
      </c>
      <c r="M446" s="225">
        <v>0.16760757363796697</v>
      </c>
      <c r="N446" s="225">
        <v>0.18208462659070168</v>
      </c>
      <c r="O446" s="225">
        <v>0.19638722273713571</v>
      </c>
      <c r="P446" s="226">
        <v>0.2105293339221197</v>
      </c>
      <c r="Q446" s="111" t="str">
        <f ca="1">_xlfn.FORMULATEXT(K446)</f>
        <v>=E446</v>
      </c>
      <c r="V446" s="60"/>
    </row>
    <row r="447" spans="1:22" x14ac:dyDescent="0.4">
      <c r="A447" s="57"/>
      <c r="D447" s="7"/>
      <c r="F447" s="205" t="s">
        <v>314</v>
      </c>
      <c r="G447" s="205"/>
      <c r="H447" s="205"/>
      <c r="I447" s="205"/>
      <c r="J447" s="217"/>
      <c r="L447" s="205" t="str">
        <f>L440</f>
        <v>Projected 2021-2025 Base Case Revenue Growth Rate</v>
      </c>
      <c r="M447" s="205"/>
      <c r="N447" s="205"/>
      <c r="O447" s="205"/>
      <c r="P447" s="217"/>
      <c r="V447" s="60"/>
    </row>
    <row r="448" spans="1:22" x14ac:dyDescent="0.4">
      <c r="A448" s="57"/>
      <c r="E448" s="167">
        <f ca="1">$J$436</f>
        <v>0.14105548849428562</v>
      </c>
      <c r="F448" s="160">
        <f>G448-$R$441</f>
        <v>5</v>
      </c>
      <c r="G448" s="160">
        <f>H448-$R$441</f>
        <v>5.5</v>
      </c>
      <c r="H448" s="371">
        <v>6</v>
      </c>
      <c r="I448" s="160">
        <f>H448+$R$441</f>
        <v>6.5</v>
      </c>
      <c r="J448" s="160">
        <f>I448+$R$441</f>
        <v>7</v>
      </c>
      <c r="K448" s="167">
        <f ca="1">$J$436</f>
        <v>0.14105548849428562</v>
      </c>
      <c r="L448" s="156">
        <f t="shared" ref="L448:M448" si="297">L441</f>
        <v>1.1916701877647833E-2</v>
      </c>
      <c r="M448" s="156">
        <f t="shared" si="297"/>
        <v>2.1916701877647833E-2</v>
      </c>
      <c r="N448" s="156">
        <v>3.1916701877647835E-2</v>
      </c>
      <c r="O448" s="156">
        <f t="shared" ref="O448:P448" si="298">O441</f>
        <v>4.1916701877647837E-2</v>
      </c>
      <c r="P448" s="156">
        <f t="shared" si="298"/>
        <v>5.1916701877647839E-2</v>
      </c>
      <c r="Q448" s="111" t="str">
        <f t="shared" ref="Q448:Q449" ca="1" si="299">_xlfn.FORMULATEXT(P448)</f>
        <v>=P441</v>
      </c>
      <c r="V448" s="60"/>
    </row>
    <row r="449" spans="1:22" x14ac:dyDescent="0.4">
      <c r="A449" s="57"/>
      <c r="C449" s="183" t="str">
        <f ca="1">_xlfn.FORMULATEXT(E449)</f>
        <v>=E450-$E$455</v>
      </c>
      <c r="D449" s="187"/>
      <c r="E449" s="160">
        <f>E450-$E$455</f>
        <v>2</v>
      </c>
      <c r="F449" s="220">
        <f t="dataTable" ref="F449:J453" dt2D="1" dtr="1" r1="E423" r2="F429" ca="1"/>
        <v>0.14190685839344153</v>
      </c>
      <c r="G449" s="163">
        <v>0.12912870485412942</v>
      </c>
      <c r="H449" s="163">
        <v>0.1190433796237842</v>
      </c>
      <c r="I449" s="163">
        <v>0.1108735051135048</v>
      </c>
      <c r="J449" s="221">
        <v>0.10411666945831199</v>
      </c>
      <c r="K449" s="160">
        <f>E449</f>
        <v>2</v>
      </c>
      <c r="L449" s="220">
        <f t="dataTable" ref="L449:P453" dt2D="1" dtr="1" r1="E264" r2="F429" ca="1"/>
        <v>9.5277341101714486E-2</v>
      </c>
      <c r="M449" s="163">
        <v>0.10719815583552061</v>
      </c>
      <c r="N449" s="163">
        <v>0.11904337704609613</v>
      </c>
      <c r="O449" s="163">
        <v>0.13081840488256558</v>
      </c>
      <c r="P449" s="221">
        <v>0.14252817026410947</v>
      </c>
      <c r="Q449" s="111" t="str">
        <f t="shared" ca="1" si="299"/>
        <v>{=TABLE(E264,F429)}</v>
      </c>
      <c r="V449" s="60"/>
    </row>
    <row r="450" spans="1:22" x14ac:dyDescent="0.4">
      <c r="A450" s="57"/>
      <c r="C450" s="183" t="str">
        <f t="shared" ref="C450:C453" ca="1" si="300">_xlfn.FORMULATEXT(E450)</f>
        <v>=E451-$E$455</v>
      </c>
      <c r="D450" s="189" t="s">
        <v>310</v>
      </c>
      <c r="E450" s="160">
        <f>E451-$E$455</f>
        <v>2.5</v>
      </c>
      <c r="F450" s="222">
        <v>0.15818531781215839</v>
      </c>
      <c r="G450" s="157">
        <v>0.14149052462599032</v>
      </c>
      <c r="H450" s="157">
        <v>0.12875318673289482</v>
      </c>
      <c r="I450" s="157">
        <v>0.11870126849376117</v>
      </c>
      <c r="J450" s="223">
        <v>0.11055926682740025</v>
      </c>
      <c r="K450" s="160">
        <f t="shared" ref="K450:K453" si="301">E450</f>
        <v>2.5</v>
      </c>
      <c r="L450" s="222">
        <v>0.10248068992430448</v>
      </c>
      <c r="M450" s="157">
        <v>0.11568630618971887</v>
      </c>
      <c r="N450" s="157">
        <v>0.12875318233957311</v>
      </c>
      <c r="O450" s="157">
        <v>0.14169209594774257</v>
      </c>
      <c r="P450" s="223">
        <v>0.15451277146250453</v>
      </c>
      <c r="V450" s="60"/>
    </row>
    <row r="451" spans="1:22" x14ac:dyDescent="0.4">
      <c r="A451" s="57"/>
      <c r="C451" s="154"/>
      <c r="D451" s="189" t="s">
        <v>315</v>
      </c>
      <c r="E451" s="227">
        <v>3</v>
      </c>
      <c r="F451" s="222">
        <v>0.18053467515000876</v>
      </c>
      <c r="G451" s="157">
        <v>0.15769677454073672</v>
      </c>
      <c r="H451" s="307">
        <v>0.14105548849654981</v>
      </c>
      <c r="I451" s="157">
        <v>0.12836085815048826</v>
      </c>
      <c r="J451" s="223">
        <v>0.11834388157622611</v>
      </c>
      <c r="K451" s="160">
        <f t="shared" si="301"/>
        <v>3</v>
      </c>
      <c r="L451" s="222">
        <v>0.11174524920580842</v>
      </c>
      <c r="M451" s="157">
        <v>0.12651390499279969</v>
      </c>
      <c r="N451" s="307">
        <v>0.1410554845857217</v>
      </c>
      <c r="O451" s="157">
        <v>0.15538963035670772</v>
      </c>
      <c r="P451" s="223">
        <v>0.16953376386406238</v>
      </c>
      <c r="V451" s="60"/>
    </row>
    <row r="452" spans="1:22" x14ac:dyDescent="0.4">
      <c r="A452" s="57"/>
      <c r="C452" s="183" t="str">
        <f t="shared" ca="1" si="300"/>
        <v>=E451+$E$455</v>
      </c>
      <c r="D452" s="218"/>
      <c r="E452" s="160">
        <f>E451+$E$455</f>
        <v>3.5</v>
      </c>
      <c r="F452" s="222">
        <v>0.21345139919291056</v>
      </c>
      <c r="G452" s="157">
        <v>0.1800471271000843</v>
      </c>
      <c r="H452" s="157">
        <v>0.15726982428653358</v>
      </c>
      <c r="I452" s="157">
        <v>0.14067535050885938</v>
      </c>
      <c r="J452" s="223">
        <v>0.12801808163214679</v>
      </c>
      <c r="K452" s="160">
        <f t="shared" si="301"/>
        <v>3.5</v>
      </c>
      <c r="L452" s="222">
        <v>0.12410766379164007</v>
      </c>
      <c r="M452" s="157">
        <v>0.14086774681037006</v>
      </c>
      <c r="N452" s="157">
        <v>0.1572698198879694</v>
      </c>
      <c r="O452" s="157">
        <v>0.17334889649876906</v>
      </c>
      <c r="P452" s="223">
        <v>0.18913540199139556</v>
      </c>
      <c r="V452" s="60"/>
    </row>
    <row r="453" spans="1:22" x14ac:dyDescent="0.4">
      <c r="A453" s="57"/>
      <c r="C453" s="183" t="str">
        <f t="shared" ca="1" si="300"/>
        <v>=E452+$E$455</v>
      </c>
      <c r="D453" s="219"/>
      <c r="E453" s="160">
        <f>E452+$E$455</f>
        <v>4</v>
      </c>
      <c r="F453" s="373">
        <v>0.26729082861080933</v>
      </c>
      <c r="G453" s="225">
        <v>0.21294470023670531</v>
      </c>
      <c r="H453" s="225">
        <v>0.1796135437022468</v>
      </c>
      <c r="I453" s="225">
        <v>0.15689018850976</v>
      </c>
      <c r="J453" s="226">
        <v>0.14033738497857118</v>
      </c>
      <c r="K453" s="160">
        <f t="shared" si="301"/>
        <v>4</v>
      </c>
      <c r="L453" s="224">
        <v>0.14142245439762124</v>
      </c>
      <c r="M453" s="225">
        <v>0.16079717648692471</v>
      </c>
      <c r="N453" s="225">
        <v>0.17961353975582406</v>
      </c>
      <c r="O453" s="225">
        <v>0.19793409039654564</v>
      </c>
      <c r="P453" s="226">
        <v>0.21581182981474756</v>
      </c>
      <c r="V453" s="60"/>
    </row>
    <row r="454" spans="1:22" x14ac:dyDescent="0.4">
      <c r="A454" s="57"/>
      <c r="F454" s="111" t="str">
        <f ca="1">_xlfn.FORMULATEXT(F453)</f>
        <v>{=TABLE(E423,F429)}</v>
      </c>
      <c r="H454" s="154"/>
      <c r="J454" s="111"/>
      <c r="K454" s="111" t="str">
        <f ca="1">_xlfn.FORMULATEXT(K453)</f>
        <v>=E453</v>
      </c>
      <c r="N454" s="154"/>
      <c r="V454" s="60"/>
    </row>
    <row r="455" spans="1:22" x14ac:dyDescent="0.4">
      <c r="A455" s="57"/>
      <c r="C455" s="3" t="s">
        <v>340</v>
      </c>
      <c r="E455" s="227">
        <v>0.5</v>
      </c>
      <c r="K455" s="12"/>
      <c r="V455" s="60"/>
    </row>
    <row r="456" spans="1:22" customFormat="1" x14ac:dyDescent="0.4">
      <c r="A456" s="57"/>
      <c r="V456" s="60"/>
    </row>
    <row r="457" spans="1:22" ht="18.5" thickBot="1" x14ac:dyDescent="0.45">
      <c r="A457" s="57" t="s">
        <v>67</v>
      </c>
      <c r="B457" s="243" t="s">
        <v>351</v>
      </c>
      <c r="C457" s="207"/>
      <c r="D457" s="207"/>
      <c r="E457" s="207"/>
      <c r="F457" s="308" t="e">
        <f ca="1">_xlfn.FORMULATEXT(F459)</f>
        <v>#N/A</v>
      </c>
      <c r="G457" s="308" t="str">
        <f ca="1">_xlfn.FORMULATEXT(G459)</f>
        <v>=$D$7</v>
      </c>
      <c r="H457" s="308" t="str">
        <f ca="1">_xlfn.FORMULATEXT(H459)</f>
        <v>=$D$8</v>
      </c>
      <c r="I457" s="308" t="str">
        <f ca="1">_xlfn.FORMULATEXT(I459)</f>
        <v>=$D$9</v>
      </c>
      <c r="J457" s="207"/>
      <c r="K457" s="207"/>
      <c r="L457" s="207"/>
      <c r="M457" s="207"/>
      <c r="N457" s="207"/>
      <c r="O457" s="207"/>
      <c r="P457" s="207"/>
      <c r="V457" s="60"/>
    </row>
    <row r="458" spans="1:22" ht="22" x14ac:dyDescent="0.8">
      <c r="A458" s="57"/>
      <c r="B458" s="208"/>
      <c r="C458" s="61"/>
      <c r="D458" s="8"/>
      <c r="F458" s="242" t="s">
        <v>240</v>
      </c>
      <c r="G458" s="8" t="s">
        <v>347</v>
      </c>
      <c r="H458" s="8"/>
      <c r="I458" s="8"/>
      <c r="J458"/>
      <c r="K458" s="8" t="s">
        <v>350</v>
      </c>
      <c r="L458" s="8"/>
      <c r="M458" s="8"/>
      <c r="N458" s="61"/>
      <c r="O458" s="61"/>
      <c r="P458" s="331" t="str">
        <f>F458</f>
        <v>Active</v>
      </c>
      <c r="V458" s="60"/>
    </row>
    <row r="459" spans="1:22" ht="18.5" thickBot="1" x14ac:dyDescent="0.45">
      <c r="A459" s="57"/>
      <c r="B459" s="208"/>
      <c r="C459" s="61"/>
      <c r="D459" s="264"/>
      <c r="F459" s="294"/>
      <c r="G459" s="294" t="str">
        <f>$D$7</f>
        <v>Base</v>
      </c>
      <c r="H459" s="294" t="str">
        <f>$D$8</f>
        <v>Upside</v>
      </c>
      <c r="I459" s="294" t="str">
        <f>$D$9</f>
        <v>Downside</v>
      </c>
      <c r="J459"/>
      <c r="K459" s="294" t="str">
        <f>G459</f>
        <v>Base</v>
      </c>
      <c r="L459" s="294" t="str">
        <f t="shared" ref="L459:M459" si="302">H459</f>
        <v>Upside</v>
      </c>
      <c r="M459" s="294" t="str">
        <f t="shared" si="302"/>
        <v>Downside</v>
      </c>
      <c r="N459" s="61"/>
      <c r="O459" s="61"/>
      <c r="P459" s="332">
        <f>F459</f>
        <v>0</v>
      </c>
      <c r="V459" s="60"/>
    </row>
    <row r="460" spans="1:22" x14ac:dyDescent="0.4">
      <c r="A460" s="266">
        <v>4</v>
      </c>
      <c r="B460" s="263" t="s">
        <v>349</v>
      </c>
      <c r="C460" s="61"/>
      <c r="D460" s="61"/>
      <c r="E460" s="12"/>
      <c r="F460" s="297"/>
      <c r="G460" s="295">
        <v>1</v>
      </c>
      <c r="H460" s="296">
        <f>G460+1</f>
        <v>2</v>
      </c>
      <c r="I460" s="296">
        <f>H460+1</f>
        <v>3</v>
      </c>
      <c r="J460" s="281"/>
      <c r="K460" s="267"/>
      <c r="L460" s="265"/>
      <c r="M460" s="265"/>
      <c r="N460" s="61"/>
      <c r="O460" s="61"/>
      <c r="P460" s="61"/>
      <c r="V460" s="60"/>
    </row>
    <row r="461" spans="1:22" x14ac:dyDescent="0.4">
      <c r="A461" s="57"/>
      <c r="B461" s="268" t="str">
        <f>B52</f>
        <v>Revenue</v>
      </c>
      <c r="C461" s="309" t="str">
        <f ca="1">_xlfn.FORMULATEXT(B461)</f>
        <v>=B52</v>
      </c>
      <c r="D461" s="61"/>
      <c r="E461" s="111" t="str">
        <f ca="1">_xlfn.FORMULATEXT(F461)</f>
        <v>=IF(AND(J52&lt;0,F52&lt;0),-((J52/F52)^(1/$A$460)-1),IF(AND(J52&gt;0,F52&gt;0),((J52/F52)^(1/$A$460)-1),"NM"))</v>
      </c>
      <c r="F461" s="275">
        <f ca="1">IF(AND(J52&lt;0,F52&lt;0),-((J52/F52)^(1/$A$460)-1),IF(AND(J52&gt;0,F52&gt;0),((J52/F52)^(1/$A$460)-1),"NM"))</f>
        <v>3.1916701877647835E-2</v>
      </c>
      <c r="G461" s="211">
        <f t="dataTable" ref="G461:I487" dt2D="0" dtr="1" r1="D5" ca="1"/>
        <v>3.1916701877647835E-2</v>
      </c>
      <c r="H461" s="211">
        <v>0.38300042253177402</v>
      </c>
      <c r="I461" s="211">
        <v>1.5958350938825028E-3</v>
      </c>
      <c r="J461" s="282"/>
      <c r="K461" s="211">
        <f ca="1">G461-$F461</f>
        <v>0</v>
      </c>
      <c r="L461" s="211">
        <f t="shared" ref="L461:M461" ca="1" si="303">H461-$F461</f>
        <v>0.35108372065412619</v>
      </c>
      <c r="M461" s="211">
        <f t="shared" ca="1" si="303"/>
        <v>-3.0320866783765332E-2</v>
      </c>
      <c r="N461" s="270" t="str">
        <f t="shared" ref="N461:N487" ca="1" si="304">_xlfn.FORMULATEXT(M461)</f>
        <v>=I461-$F461</v>
      </c>
      <c r="O461" s="61"/>
      <c r="P461" s="113" t="str">
        <f ca="1">_xlfn.FORMULATEXT(F461)</f>
        <v>=IF(AND(J52&lt;0,F52&lt;0),-((J52/F52)^(1/$A$460)-1),IF(AND(J52&gt;0,F52&gt;0),((J52/F52)^(1/$A$460)-1),"NM"))</v>
      </c>
      <c r="V461" s="60"/>
    </row>
    <row r="462" spans="1:22" x14ac:dyDescent="0.4">
      <c r="A462" s="57"/>
      <c r="B462" s="268" t="str">
        <f>B381</f>
        <v>EBITDA</v>
      </c>
      <c r="C462" s="309" t="str">
        <f t="shared" ref="C462:C487" ca="1" si="305">_xlfn.FORMULATEXT(B462)</f>
        <v>=B381</v>
      </c>
      <c r="D462" s="61"/>
      <c r="E462" s="111" t="str">
        <f t="shared" ref="E462:E463" ca="1" si="306">_xlfn.FORMULATEXT(F462)</f>
        <v>=IF(AND(J381&lt;0,F381&lt;0),-((J381/F381)^(1/$A$460)-1),IF(AND(J381&gt;0,F381&gt;0),((J381/F381)^(1/$A$460)-1),"NM"))</v>
      </c>
      <c r="F462" s="275">
        <f ca="1">IF(AND(J381&lt;0,F381&lt;0),-((J381/F381)^(1/$A$460)-1),IF(AND(J381&gt;0,F381&gt;0),((J381/F381)^(1/$A$460)-1),"NM"))</f>
        <v>3.1916701877647835E-2</v>
      </c>
      <c r="G462" s="211">
        <v>3.1916701877647835E-2</v>
      </c>
      <c r="H462" s="211">
        <v>0.38300042253177424</v>
      </c>
      <c r="I462" s="211">
        <v>-1.5958350938820587E-3</v>
      </c>
      <c r="J462" s="283"/>
      <c r="K462" s="211">
        <f ca="1">G462-$F462</f>
        <v>0</v>
      </c>
      <c r="L462" s="211">
        <f t="shared" ref="L462:L463" ca="1" si="307">H462-$F462</f>
        <v>0.35108372065412641</v>
      </c>
      <c r="M462" s="211">
        <f t="shared" ref="M462:M463" ca="1" si="308">I462-$F462</f>
        <v>-3.3512536971529894E-2</v>
      </c>
      <c r="N462" s="270" t="str">
        <f t="shared" ca="1" si="304"/>
        <v>=I462-$F462</v>
      </c>
      <c r="O462" s="61"/>
      <c r="P462" s="113" t="str">
        <f ca="1">_xlfn.FORMULATEXT(F462)</f>
        <v>=IF(AND(J381&lt;0,F381&lt;0),-((J381/F381)^(1/$A$460)-1),IF(AND(J381&gt;0,F381&gt;0),((J381/F381)^(1/$A$460)-1),"NM"))</v>
      </c>
      <c r="V462" s="60"/>
    </row>
    <row r="463" spans="1:22" x14ac:dyDescent="0.4">
      <c r="A463" s="57"/>
      <c r="B463" s="268" t="str">
        <f>B63</f>
        <v>Net Income</v>
      </c>
      <c r="C463" s="309" t="str">
        <f t="shared" ca="1" si="305"/>
        <v>=B63</v>
      </c>
      <c r="D463" s="61"/>
      <c r="E463" s="111" t="str">
        <f t="shared" ca="1" si="306"/>
        <v>=IF(AND(J63&lt;0,F63&lt;0),-((J63/F63)^(1/$A$460)-1),IF(AND(J63&gt;0,F63&gt;0),((J63/F63)^(1/$A$460)-1),"NM"))</v>
      </c>
      <c r="F463" s="275">
        <f ca="1">IF(AND(J63&lt;0,F63&lt;0),-((J63/F63)^(1/$A$460)-1),IF(AND(J63&gt;0,F63&gt;0),((J63/F63)^(1/$A$460)-1),"NM"))</f>
        <v>-1.7974987477891946E-2</v>
      </c>
      <c r="G463" s="211">
        <v>-1.7974987477891946E-2</v>
      </c>
      <c r="H463" s="211">
        <v>0.35722847513848088</v>
      </c>
      <c r="I463" s="333">
        <v>-6.6678815489081389E-2</v>
      </c>
      <c r="J463" s="283"/>
      <c r="K463" s="211">
        <f ca="1">G463-$F463</f>
        <v>0</v>
      </c>
      <c r="L463" s="211">
        <f t="shared" ca="1" si="307"/>
        <v>0.37520346261637283</v>
      </c>
      <c r="M463" s="211">
        <f t="shared" ca="1" si="308"/>
        <v>-4.8703828011189443E-2</v>
      </c>
      <c r="N463" s="270" t="str">
        <f t="shared" ca="1" si="304"/>
        <v>=I463-$F463</v>
      </c>
      <c r="O463" s="61"/>
      <c r="P463" s="113" t="str">
        <f ca="1">_xlfn.FORMULATEXT(F463)</f>
        <v>=IF(AND(J63&lt;0,F63&lt;0),-((J63/F63)^(1/$A$460)-1),IF(AND(J63&gt;0,F63&gt;0),((J63/F63)^(1/$A$460)-1),"NM"))</v>
      </c>
      <c r="V463" s="60"/>
    </row>
    <row r="464" spans="1:22" ht="2.15" customHeight="1" x14ac:dyDescent="0.4">
      <c r="A464" s="57"/>
      <c r="B464" s="61"/>
      <c r="C464" s="309" t="e">
        <f t="shared" ca="1" si="305"/>
        <v>#N/A</v>
      </c>
      <c r="D464" s="61"/>
      <c r="E464" s="183"/>
      <c r="F464" s="288"/>
      <c r="G464" s="289">
        <v>0</v>
      </c>
      <c r="H464" s="289">
        <v>0</v>
      </c>
      <c r="I464" s="289">
        <v>0</v>
      </c>
      <c r="J464" s="283"/>
      <c r="K464" s="290"/>
      <c r="L464" s="290"/>
      <c r="M464" s="290"/>
      <c r="N464" s="270"/>
      <c r="O464" s="61"/>
      <c r="P464" s="61"/>
      <c r="V464" s="60"/>
    </row>
    <row r="465" spans="1:22" x14ac:dyDescent="0.4">
      <c r="A465" s="57"/>
      <c r="B465" s="263" t="s">
        <v>345</v>
      </c>
      <c r="C465" s="309" t="e">
        <f t="shared" ca="1" si="305"/>
        <v>#N/A</v>
      </c>
      <c r="D465" s="61"/>
      <c r="E465" s="183"/>
      <c r="F465" s="288"/>
      <c r="G465" s="289">
        <v>0</v>
      </c>
      <c r="H465" s="313">
        <v>0</v>
      </c>
      <c r="I465" s="313">
        <v>0</v>
      </c>
      <c r="J465" s="323" t="s">
        <v>379</v>
      </c>
      <c r="K465" s="314"/>
      <c r="L465" s="314"/>
      <c r="M465" s="314"/>
      <c r="N465" s="270"/>
      <c r="O465" s="61"/>
      <c r="P465" s="61"/>
      <c r="V465" s="60"/>
    </row>
    <row r="466" spans="1:22" x14ac:dyDescent="0.4">
      <c r="A466" s="57"/>
      <c r="B466" s="268" t="str">
        <f>B71</f>
        <v>Operating Cash Flow</v>
      </c>
      <c r="C466" s="309" t="str">
        <f t="shared" ca="1" si="305"/>
        <v>=B71</v>
      </c>
      <c r="D466" s="61"/>
      <c r="E466" s="183" t="str">
        <f t="shared" ref="E466:E487" ca="1" si="309">_xlfn.FORMULATEXT(F466)</f>
        <v>=SUM(F71:J71)</v>
      </c>
      <c r="F466" s="276">
        <f ca="1">SUM(F71:J71)</f>
        <v>2379.8535636686706</v>
      </c>
      <c r="G466" s="213">
        <v>2379.8535636686706</v>
      </c>
      <c r="H466" s="213">
        <v>10806.135286518485</v>
      </c>
      <c r="I466" s="213">
        <v>202.91990374704727</v>
      </c>
      <c r="J466" s="283"/>
      <c r="K466" s="213">
        <f t="shared" ref="K466:K478" ca="1" si="310">G466-$F466</f>
        <v>0</v>
      </c>
      <c r="L466" s="213">
        <f t="shared" ref="L466:L479" ca="1" si="311">H466-$F466</f>
        <v>8426.2817228498152</v>
      </c>
      <c r="M466" s="213">
        <f t="shared" ref="M466:M479" ca="1" si="312">I466-$F466</f>
        <v>-2176.9336599216235</v>
      </c>
      <c r="N466" s="270" t="str">
        <f t="shared" ca="1" si="304"/>
        <v>=I466-$F466</v>
      </c>
      <c r="O466" s="61"/>
      <c r="P466" s="61"/>
      <c r="V466" s="60"/>
    </row>
    <row r="467" spans="1:22" x14ac:dyDescent="0.4">
      <c r="A467" s="57"/>
      <c r="B467" s="268" t="str">
        <f>B93</f>
        <v>Investing Cash Flow</v>
      </c>
      <c r="C467" s="309" t="str">
        <f t="shared" ca="1" si="305"/>
        <v>=B93</v>
      </c>
      <c r="D467" s="61"/>
      <c r="E467" s="273" t="str">
        <f t="shared" ca="1" si="309"/>
        <v>=SUM(F93:J93)</v>
      </c>
      <c r="F467" s="276">
        <f ca="1">SUM(F93:J93)</f>
        <v>-795.75490096143642</v>
      </c>
      <c r="G467" s="213">
        <v>-795.75490096143642</v>
      </c>
      <c r="H467" s="213">
        <v>-3269.4383920766954</v>
      </c>
      <c r="I467" s="213">
        <v>-680.89159926288823</v>
      </c>
      <c r="J467" s="284"/>
      <c r="K467" s="213">
        <f t="shared" ca="1" si="310"/>
        <v>0</v>
      </c>
      <c r="L467" s="213">
        <f t="shared" ca="1" si="311"/>
        <v>-2473.6834911152591</v>
      </c>
      <c r="M467" s="213">
        <f t="shared" ca="1" si="312"/>
        <v>114.86330169854818</v>
      </c>
      <c r="N467" s="271" t="str">
        <f t="shared" ca="1" si="304"/>
        <v>=I467-$F467</v>
      </c>
      <c r="O467" s="61"/>
      <c r="P467" s="61"/>
      <c r="V467" s="60"/>
    </row>
    <row r="468" spans="1:22" x14ac:dyDescent="0.4">
      <c r="A468" s="57"/>
      <c r="B468" s="326" t="str">
        <f>B124</f>
        <v>Free Cash Flow</v>
      </c>
      <c r="C468" s="327" t="str">
        <f t="shared" ca="1" si="305"/>
        <v>=B124</v>
      </c>
      <c r="D468" s="174"/>
      <c r="E468" s="253" t="str">
        <f t="shared" ca="1" si="309"/>
        <v>=SUM(F124:J124)</v>
      </c>
      <c r="F468" s="328">
        <f ca="1">SUM(F124:J124)</f>
        <v>1585.2792903988443</v>
      </c>
      <c r="G468" s="329">
        <v>1585.2792903988443</v>
      </c>
      <c r="H468" s="329">
        <v>7795.5033839927546</v>
      </c>
      <c r="I468" s="329">
        <v>-573.80476407511833</v>
      </c>
      <c r="J468" s="330"/>
      <c r="K468" s="329">
        <f t="shared" ca="1" si="310"/>
        <v>0</v>
      </c>
      <c r="L468" s="329">
        <f t="shared" ca="1" si="311"/>
        <v>6210.2240935939099</v>
      </c>
      <c r="M468" s="329">
        <f t="shared" ca="1" si="312"/>
        <v>-2159.0840544739626</v>
      </c>
      <c r="N468" s="254" t="str">
        <f t="shared" ca="1" si="304"/>
        <v>=I468-$F468</v>
      </c>
      <c r="O468" s="61"/>
      <c r="P468" s="61"/>
      <c r="V468" s="60"/>
    </row>
    <row r="469" spans="1:22" ht="2.15" customHeight="1" x14ac:dyDescent="0.4">
      <c r="A469" s="57"/>
      <c r="B469" s="268"/>
      <c r="C469" s="309" t="e">
        <f t="shared" ca="1" si="305"/>
        <v>#N/A</v>
      </c>
      <c r="D469" s="12"/>
      <c r="E469" s="273"/>
      <c r="F469" s="291"/>
      <c r="G469" s="286">
        <v>0</v>
      </c>
      <c r="H469" s="286">
        <v>0</v>
      </c>
      <c r="I469" s="286">
        <v>0</v>
      </c>
      <c r="J469" s="284"/>
      <c r="K469" s="292">
        <f t="shared" si="310"/>
        <v>0</v>
      </c>
      <c r="L469" s="292">
        <f t="shared" si="311"/>
        <v>0</v>
      </c>
      <c r="M469" s="292">
        <f t="shared" si="312"/>
        <v>0</v>
      </c>
      <c r="N469" s="293"/>
      <c r="O469" s="61"/>
      <c r="P469" s="61"/>
      <c r="V469" s="60"/>
    </row>
    <row r="470" spans="1:22" x14ac:dyDescent="0.4">
      <c r="A470" s="57"/>
      <c r="B470" s="268" t="str">
        <f>B102</f>
        <v>Net Interest Income / (Expense)</v>
      </c>
      <c r="C470" s="309" t="str">
        <f t="shared" ca="1" si="305"/>
        <v>=B102</v>
      </c>
      <c r="D470" s="61"/>
      <c r="E470" s="273" t="str">
        <f t="shared" ca="1" si="309"/>
        <v>=SUM(F102:J102)</v>
      </c>
      <c r="F470" s="276">
        <f ca="1">SUM(F102:J102)</f>
        <v>-298.80255687960016</v>
      </c>
      <c r="G470" s="213">
        <v>-298.80255687960016</v>
      </c>
      <c r="H470" s="213">
        <v>-311.53584696522177</v>
      </c>
      <c r="I470" s="213">
        <v>-512.94540460975895</v>
      </c>
      <c r="J470" s="284"/>
      <c r="K470" s="213">
        <f t="shared" ca="1" si="310"/>
        <v>0</v>
      </c>
      <c r="L470" s="213">
        <f t="shared" ca="1" si="311"/>
        <v>-12.733290085621604</v>
      </c>
      <c r="M470" s="213">
        <f t="shared" ca="1" si="312"/>
        <v>-214.14284773015879</v>
      </c>
      <c r="N470" s="271" t="str">
        <f t="shared" ca="1" si="304"/>
        <v>=I470-$F470</v>
      </c>
      <c r="O470" s="61"/>
      <c r="P470" s="61"/>
      <c r="V470" s="60"/>
    </row>
    <row r="471" spans="1:22" x14ac:dyDescent="0.4">
      <c r="A471" s="57"/>
      <c r="B471" s="268" t="str">
        <f>B103</f>
        <v>Issued / (Retired) Short-term Debt</v>
      </c>
      <c r="C471" s="309" t="str">
        <f t="shared" ca="1" si="305"/>
        <v>=B103</v>
      </c>
      <c r="D471" s="61"/>
      <c r="E471" s="273" t="str">
        <f t="shared" ca="1" si="309"/>
        <v>=SUM(F103:J103)</v>
      </c>
      <c r="F471" s="276">
        <f ca="1">SUM(F103:J103)</f>
        <v>-143.42556404204501</v>
      </c>
      <c r="G471" s="213">
        <v>-143.42556404204501</v>
      </c>
      <c r="H471" s="213">
        <v>-143.42556404204501</v>
      </c>
      <c r="I471" s="213">
        <v>1234.9106204202233</v>
      </c>
      <c r="J471" s="284"/>
      <c r="K471" s="213">
        <f t="shared" ca="1" si="310"/>
        <v>0</v>
      </c>
      <c r="L471" s="213">
        <f t="shared" ca="1" si="311"/>
        <v>0</v>
      </c>
      <c r="M471" s="213">
        <f t="shared" ca="1" si="312"/>
        <v>1378.3361844622682</v>
      </c>
      <c r="N471" s="271" t="str">
        <f t="shared" ca="1" si="304"/>
        <v>=I471-$F471</v>
      </c>
      <c r="O471" s="61"/>
      <c r="P471" s="61"/>
      <c r="V471" s="60"/>
    </row>
    <row r="472" spans="1:22" x14ac:dyDescent="0.4">
      <c r="A472" s="57"/>
      <c r="B472" s="268" t="str">
        <f>B104</f>
        <v>Issued / (Retired) Long-term Debt</v>
      </c>
      <c r="C472" s="309" t="str">
        <f t="shared" ca="1" si="305"/>
        <v>=B104</v>
      </c>
      <c r="D472" s="61"/>
      <c r="E472" s="273" t="str">
        <f t="shared" ca="1" si="309"/>
        <v>=SUM(F104:J104)</v>
      </c>
      <c r="F472" s="276">
        <f ca="1">SUM(F104:J104)</f>
        <v>118.58194427188448</v>
      </c>
      <c r="G472" s="213">
        <v>118.58194427188448</v>
      </c>
      <c r="H472" s="213">
        <v>21.264540252327151</v>
      </c>
      <c r="I472" s="213">
        <v>634.1231179527324</v>
      </c>
      <c r="J472" s="284"/>
      <c r="K472" s="213">
        <f t="shared" ca="1" si="310"/>
        <v>0</v>
      </c>
      <c r="L472" s="213">
        <f t="shared" ca="1" si="311"/>
        <v>-97.31740401955733</v>
      </c>
      <c r="M472" s="213">
        <f t="shared" ca="1" si="312"/>
        <v>515.54117368084792</v>
      </c>
      <c r="N472" s="271" t="str">
        <f t="shared" ca="1" si="304"/>
        <v>=I472-$F472</v>
      </c>
      <c r="O472" s="61"/>
      <c r="P472" s="61"/>
      <c r="V472" s="60"/>
    </row>
    <row r="473" spans="1:22" x14ac:dyDescent="0.4">
      <c r="A473" s="57"/>
      <c r="B473" s="326" t="str">
        <f>B105</f>
        <v>Issued / (Retired) Leases &amp; Other Long-term Liabilities</v>
      </c>
      <c r="C473" s="327" t="str">
        <f t="shared" ca="1" si="305"/>
        <v>=B105</v>
      </c>
      <c r="D473" s="174"/>
      <c r="E473" s="253" t="str">
        <f t="shared" ca="1" si="309"/>
        <v>=SUM(F105:J105)</v>
      </c>
      <c r="F473" s="276">
        <f ca="1">SUM(F105:J105)</f>
        <v>61.843805059689316</v>
      </c>
      <c r="G473" s="213">
        <v>61.843805059689316</v>
      </c>
      <c r="H473" s="213">
        <v>61.843805059689316</v>
      </c>
      <c r="I473" s="213">
        <v>61.843805059689316</v>
      </c>
      <c r="J473" s="284"/>
      <c r="K473" s="213">
        <f t="shared" ca="1" si="310"/>
        <v>0</v>
      </c>
      <c r="L473" s="213">
        <f t="shared" ca="1" si="311"/>
        <v>0</v>
      </c>
      <c r="M473" s="213">
        <f t="shared" ca="1" si="312"/>
        <v>0</v>
      </c>
      <c r="N473" s="271" t="str">
        <f t="shared" ca="1" si="304"/>
        <v>=I473-$F473</v>
      </c>
      <c r="O473" s="61"/>
      <c r="P473" s="61"/>
      <c r="V473" s="60"/>
    </row>
    <row r="474" spans="1:22" x14ac:dyDescent="0.4">
      <c r="A474" s="57"/>
      <c r="B474" s="326" t="str">
        <f>B106</f>
        <v>Cash Flow from / (to) Creditors (CF(B))</v>
      </c>
      <c r="C474" s="327" t="str">
        <f t="shared" ca="1" si="305"/>
        <v>=B106</v>
      </c>
      <c r="D474" s="174"/>
      <c r="E474" s="253" t="str">
        <f t="shared" ca="1" si="309"/>
        <v>=SUM(F106:J106)</v>
      </c>
      <c r="F474" s="277">
        <f ca="1">SUM(F106:J106)</f>
        <v>-261.8023715900714</v>
      </c>
      <c r="G474" s="96">
        <v>-261.8023715900714</v>
      </c>
      <c r="H474" s="96">
        <v>-371.85306569525045</v>
      </c>
      <c r="I474" s="96">
        <v>1417.9321388228859</v>
      </c>
      <c r="J474" s="285"/>
      <c r="K474" s="96">
        <f t="shared" ca="1" si="310"/>
        <v>0</v>
      </c>
      <c r="L474" s="96">
        <f t="shared" ca="1" si="311"/>
        <v>-110.05069410517905</v>
      </c>
      <c r="M474" s="96">
        <f t="shared" ca="1" si="312"/>
        <v>1679.7345104129572</v>
      </c>
      <c r="N474" s="272" t="str">
        <f t="shared" ca="1" si="304"/>
        <v>=I474-$F474</v>
      </c>
      <c r="O474" s="61"/>
      <c r="P474" s="61"/>
      <c r="V474" s="60"/>
    </row>
    <row r="475" spans="1:22" s="287" customFormat="1" ht="2.15" customHeight="1" x14ac:dyDescent="0.4">
      <c r="A475" s="57"/>
      <c r="B475" s="268"/>
      <c r="C475" s="309" t="e">
        <f t="shared" ca="1" si="305"/>
        <v>#N/A</v>
      </c>
      <c r="D475" s="12"/>
      <c r="E475" s="273"/>
      <c r="F475" s="374">
        <f ca="1">SUM(F109:J109)</f>
        <v>-349.01852659280007</v>
      </c>
      <c r="G475" s="286">
        <v>-349.01852659280007</v>
      </c>
      <c r="H475" s="286">
        <v>-6449.191808591183</v>
      </c>
      <c r="I475" s="286">
        <v>130.33105815279532</v>
      </c>
      <c r="J475" s="284"/>
      <c r="K475" s="292">
        <f t="shared" ca="1" si="310"/>
        <v>0</v>
      </c>
      <c r="L475" s="292">
        <f t="shared" ca="1" si="311"/>
        <v>-6100.1732819983827</v>
      </c>
      <c r="M475" s="292">
        <f t="shared" ca="1" si="312"/>
        <v>479.34958474559539</v>
      </c>
      <c r="N475" s="293"/>
      <c r="O475" s="286"/>
      <c r="P475" s="286"/>
      <c r="T475" s="281"/>
      <c r="U475" s="281"/>
      <c r="V475" s="60"/>
    </row>
    <row r="476" spans="1:22" x14ac:dyDescent="0.4">
      <c r="A476" s="57"/>
      <c r="B476" s="269" t="str">
        <f t="shared" ref="B476:B479" si="313">B109</f>
        <v>Dividends Paid (must complete row 115-row 117)</v>
      </c>
      <c r="C476" s="256" t="str">
        <f t="shared" ca="1" si="305"/>
        <v>=B109</v>
      </c>
      <c r="D476" s="39"/>
      <c r="E476" s="274" t="str">
        <f t="shared" ca="1" si="309"/>
        <v>=SUM(F109:J109)</v>
      </c>
      <c r="F476" s="277">
        <f ca="1">SUM(F109:J109)</f>
        <v>-349.01852659280007</v>
      </c>
      <c r="G476" s="96">
        <v>-349.01852659280007</v>
      </c>
      <c r="H476" s="96">
        <v>-6449.191808591183</v>
      </c>
      <c r="I476" s="96">
        <v>130.33105815279532</v>
      </c>
      <c r="J476" s="285"/>
      <c r="K476" s="96">
        <f t="shared" ca="1" si="310"/>
        <v>0</v>
      </c>
      <c r="L476" s="96">
        <f t="shared" ca="1" si="311"/>
        <v>-6100.1732819983827</v>
      </c>
      <c r="M476" s="96">
        <f t="shared" ca="1" si="312"/>
        <v>479.34958474559539</v>
      </c>
      <c r="N476" s="272" t="str">
        <f t="shared" ca="1" si="304"/>
        <v>=I476-$F476</v>
      </c>
      <c r="O476" s="61"/>
      <c r="P476" s="61"/>
      <c r="V476" s="60"/>
    </row>
    <row r="477" spans="1:22" x14ac:dyDescent="0.4">
      <c r="A477" s="57"/>
      <c r="B477" s="268" t="str">
        <f t="shared" si="313"/>
        <v>Issued Equity (Change Comm Stock + Add PIC)</v>
      </c>
      <c r="C477" s="309" t="str">
        <f t="shared" ca="1" si="305"/>
        <v>=B110</v>
      </c>
      <c r="E477" s="273" t="str">
        <f t="shared" ca="1" si="309"/>
        <v>=SUM(F110:J110)</v>
      </c>
      <c r="F477" s="276">
        <f>SUM(F110:J110)</f>
        <v>0</v>
      </c>
      <c r="G477" s="213">
        <v>0</v>
      </c>
      <c r="H477" s="213">
        <v>0</v>
      </c>
      <c r="I477" s="213">
        <v>0</v>
      </c>
      <c r="J477" s="284"/>
      <c r="K477" s="213">
        <f t="shared" si="310"/>
        <v>0</v>
      </c>
      <c r="L477" s="213">
        <f t="shared" si="311"/>
        <v>0</v>
      </c>
      <c r="M477" s="213">
        <f t="shared" si="312"/>
        <v>0</v>
      </c>
      <c r="N477" s="271" t="str">
        <f t="shared" ca="1" si="304"/>
        <v>=I477-$F477</v>
      </c>
      <c r="O477" s="61"/>
      <c r="P477" s="61"/>
      <c r="V477" s="60"/>
    </row>
    <row r="478" spans="1:22" x14ac:dyDescent="0.4">
      <c r="A478" s="57"/>
      <c r="B478" s="268" t="str">
        <f t="shared" si="313"/>
        <v>Repurchased Shares (Change in Treasury Stock)</v>
      </c>
      <c r="C478" s="309" t="str">
        <f t="shared" ca="1" si="305"/>
        <v>=B111</v>
      </c>
      <c r="D478" s="12"/>
      <c r="E478" s="273" t="str">
        <f t="shared" ca="1" si="309"/>
        <v>=SUM(F111:J111)</v>
      </c>
      <c r="F478" s="276">
        <f>SUM(F111:J111)</f>
        <v>0</v>
      </c>
      <c r="G478" s="213">
        <v>0</v>
      </c>
      <c r="H478" s="213">
        <v>0</v>
      </c>
      <c r="I478" s="213">
        <v>0</v>
      </c>
      <c r="J478" s="284"/>
      <c r="K478" s="213">
        <f t="shared" si="310"/>
        <v>0</v>
      </c>
      <c r="L478" s="213">
        <f t="shared" si="311"/>
        <v>0</v>
      </c>
      <c r="M478" s="213">
        <f t="shared" si="312"/>
        <v>0</v>
      </c>
      <c r="N478" s="271" t="str">
        <f t="shared" ca="1" si="304"/>
        <v>=I478-$F478</v>
      </c>
      <c r="O478" s="61"/>
      <c r="P478" s="61"/>
      <c r="V478" s="60"/>
    </row>
    <row r="479" spans="1:22" x14ac:dyDescent="0.4">
      <c r="A479" s="57"/>
      <c r="B479" s="269" t="str">
        <f t="shared" si="313"/>
        <v>Cash Flow from / (to) Shareholders (CF(S))</v>
      </c>
      <c r="C479" s="256" t="str">
        <f t="shared" ca="1" si="305"/>
        <v>=B112</v>
      </c>
      <c r="D479" s="39"/>
      <c r="E479" s="274" t="str">
        <f t="shared" ca="1" si="309"/>
        <v>=SUM(F112:J112)</v>
      </c>
      <c r="F479" s="277">
        <f ca="1">SUM(F112:J112)</f>
        <v>-349.01852659280007</v>
      </c>
      <c r="G479" s="96">
        <v>-349.01852659280007</v>
      </c>
      <c r="H479" s="96">
        <v>-6449.191808591183</v>
      </c>
      <c r="I479" s="96">
        <v>130.33105815279532</v>
      </c>
      <c r="J479" s="285"/>
      <c r="K479" s="96">
        <f ca="1">G479-$F479</f>
        <v>0</v>
      </c>
      <c r="L479" s="96">
        <f t="shared" ca="1" si="311"/>
        <v>-6100.1732819983827</v>
      </c>
      <c r="M479" s="96">
        <f t="shared" ca="1" si="312"/>
        <v>479.34958474559539</v>
      </c>
      <c r="N479" s="272" t="str">
        <f t="shared" ca="1" si="304"/>
        <v>=I479-$F479</v>
      </c>
      <c r="O479" s="61"/>
      <c r="P479" s="61"/>
      <c r="V479" s="60"/>
    </row>
    <row r="480" spans="1:22" ht="2.15" customHeight="1" x14ac:dyDescent="0.4">
      <c r="A480" s="57"/>
      <c r="B480" s="61"/>
      <c r="C480" s="309" t="e">
        <f t="shared" ca="1" si="305"/>
        <v>#N/A</v>
      </c>
      <c r="D480" s="61"/>
      <c r="E480" s="273"/>
      <c r="F480" s="288">
        <f t="shared" ref="F480" si="314">SUM(F136:J136)</f>
        <v>0</v>
      </c>
      <c r="G480" s="289">
        <v>0</v>
      </c>
      <c r="H480" s="289">
        <v>0</v>
      </c>
      <c r="I480" s="289">
        <v>0</v>
      </c>
      <c r="J480" s="284"/>
      <c r="K480" s="290"/>
      <c r="L480" s="290"/>
      <c r="M480" s="290"/>
      <c r="N480" s="271"/>
      <c r="V480" s="60"/>
    </row>
    <row r="481" spans="1:22" x14ac:dyDescent="0.4">
      <c r="A481" s="57"/>
      <c r="B481" s="263" t="s">
        <v>344</v>
      </c>
      <c r="C481" s="309"/>
      <c r="D481" s="61"/>
      <c r="E481" s="273"/>
      <c r="F481" s="288"/>
      <c r="G481" s="289">
        <v>0</v>
      </c>
      <c r="H481" s="289">
        <v>0</v>
      </c>
      <c r="I481" s="289">
        <v>0</v>
      </c>
      <c r="J481" s="284"/>
      <c r="K481" s="290"/>
      <c r="L481" s="290"/>
      <c r="M481" s="290"/>
      <c r="N481" s="271"/>
      <c r="V481" s="60"/>
    </row>
    <row r="482" spans="1:22" x14ac:dyDescent="0.4">
      <c r="A482" s="57"/>
      <c r="B482" s="268" t="str">
        <f>B307</f>
        <v>Implied Enterprise Value</v>
      </c>
      <c r="C482" s="309" t="str">
        <f t="shared" ca="1" si="305"/>
        <v>=B307</v>
      </c>
      <c r="D482" s="61"/>
      <c r="E482" s="273" t="str">
        <f t="shared" ca="1" si="309"/>
        <v>=E307</v>
      </c>
      <c r="F482" s="310">
        <f ca="1">E307</f>
        <v>3946.6194699450516</v>
      </c>
      <c r="G482" s="213">
        <v>3946.6194699450516</v>
      </c>
      <c r="H482" s="213">
        <v>29379.421743474828</v>
      </c>
      <c r="I482" s="213">
        <v>-1566.5501781815638</v>
      </c>
      <c r="J482" s="284"/>
      <c r="K482" s="375">
        <f t="shared" ref="K482:K483" ca="1" si="315">G482-$F482</f>
        <v>0</v>
      </c>
      <c r="L482" s="375">
        <f ca="1">H482-$F482</f>
        <v>25432.802273529778</v>
      </c>
      <c r="M482" s="375">
        <f ca="1">I482-$F482</f>
        <v>-5513.1696481266154</v>
      </c>
      <c r="N482" s="271" t="str">
        <f t="shared" ca="1" si="304"/>
        <v>=I482-$F482</v>
      </c>
      <c r="V482" s="60"/>
    </row>
    <row r="483" spans="1:22" x14ac:dyDescent="0.4">
      <c r="A483" s="57"/>
      <c r="B483" s="268" t="str">
        <f>B312</f>
        <v>Implied Equity Value per Share</v>
      </c>
      <c r="C483" s="309" t="str">
        <f t="shared" ca="1" si="305"/>
        <v>=B312</v>
      </c>
      <c r="D483" s="61"/>
      <c r="E483" s="273" t="str">
        <f t="shared" ca="1" si="309"/>
        <v>=E312</v>
      </c>
      <c r="F483" s="311">
        <f ca="1">E312</f>
        <v>70.035563305960665</v>
      </c>
      <c r="G483" s="278">
        <v>70.035563305960665</v>
      </c>
      <c r="H483" s="278">
        <v>728.31179183139977</v>
      </c>
      <c r="I483" s="278">
        <v>-72.661555860689845</v>
      </c>
      <c r="J483" s="284"/>
      <c r="K483" s="211">
        <f t="shared" ca="1" si="315"/>
        <v>0</v>
      </c>
      <c r="L483" s="211">
        <f t="shared" ref="L483" ca="1" si="316">H483-$F483</f>
        <v>658.27622852543914</v>
      </c>
      <c r="M483" s="211">
        <f t="shared" ref="M483" ca="1" si="317">I483-$F483</f>
        <v>-142.69711916665051</v>
      </c>
      <c r="N483" s="271" t="str">
        <f t="shared" ca="1" si="304"/>
        <v>=I483-$F483</v>
      </c>
      <c r="V483" s="60"/>
    </row>
    <row r="484" spans="1:22" ht="2.15" customHeight="1" x14ac:dyDescent="0.4">
      <c r="A484" s="57"/>
      <c r="B484" s="61"/>
      <c r="C484" s="309" t="e">
        <f t="shared" ca="1" si="305"/>
        <v>#N/A</v>
      </c>
      <c r="D484" s="61"/>
      <c r="E484" s="273"/>
      <c r="F484" s="288"/>
      <c r="G484" s="289">
        <v>0</v>
      </c>
      <c r="H484" s="289">
        <v>0</v>
      </c>
      <c r="I484" s="289">
        <v>0</v>
      </c>
      <c r="J484" s="284"/>
      <c r="K484" s="290"/>
      <c r="L484" s="290"/>
      <c r="M484" s="290"/>
      <c r="N484" s="271"/>
      <c r="V484" s="60"/>
    </row>
    <row r="485" spans="1:22" x14ac:dyDescent="0.4">
      <c r="A485" s="57"/>
      <c r="B485" s="263" t="s">
        <v>339</v>
      </c>
      <c r="C485" s="309"/>
      <c r="D485" s="61"/>
      <c r="E485" s="273"/>
      <c r="F485" s="288"/>
      <c r="G485" s="289">
        <v>0</v>
      </c>
      <c r="H485" s="289">
        <v>0</v>
      </c>
      <c r="I485" s="289">
        <v>0</v>
      </c>
      <c r="J485" s="284"/>
      <c r="K485" s="290"/>
      <c r="L485" s="290"/>
      <c r="M485" s="290"/>
      <c r="N485" s="271"/>
      <c r="V485" s="60"/>
    </row>
    <row r="486" spans="1:22" x14ac:dyDescent="0.4">
      <c r="A486" s="57"/>
      <c r="B486" s="268" t="str">
        <f>B434&amp;" Multiple of Money (MoM)"</f>
        <v>Private Equity Firm's Equity Multiple of Money (MoM)</v>
      </c>
      <c r="C486" s="309" t="str">
        <f t="shared" ca="1" si="305"/>
        <v>=B434&amp;" Multiple of Money (MoM)"</v>
      </c>
      <c r="D486" s="61"/>
      <c r="E486" s="273" t="str">
        <f t="shared" ca="1" si="309"/>
        <v>=J434/E434</v>
      </c>
      <c r="F486" s="279">
        <f ca="1">J434/E434</f>
        <v>1.9343444929989144</v>
      </c>
      <c r="G486" s="280">
        <v>1.9343444929989144</v>
      </c>
      <c r="H486" s="280">
        <v>16.858064758431247</v>
      </c>
      <c r="I486" s="280">
        <v>-1.7538556898700612</v>
      </c>
      <c r="J486" s="284"/>
      <c r="K486" s="280">
        <f t="shared" ref="K486:K487" ca="1" si="318">G486-$F486</f>
        <v>0</v>
      </c>
      <c r="L486" s="280">
        <f t="shared" ref="L486:L487" ca="1" si="319">H486-$F486</f>
        <v>14.923720265432333</v>
      </c>
      <c r="M486" s="280">
        <f t="shared" ref="M486:M487" ca="1" si="320">I486-$F486</f>
        <v>-3.6882001828689757</v>
      </c>
      <c r="N486" s="271" t="str">
        <f t="shared" ca="1" si="304"/>
        <v>=I486-$F486</v>
      </c>
      <c r="V486" s="60"/>
    </row>
    <row r="487" spans="1:22" x14ac:dyDescent="0.4">
      <c r="A487" s="57"/>
      <c r="B487" s="268" t="str">
        <f>B436</f>
        <v>IRR of Private Equity Firm's Equity - Internal Rate of Return on Initial Equity Investment - Compounded Annual Growth Rate</v>
      </c>
      <c r="C487" s="309" t="str">
        <f t="shared" ca="1" si="305"/>
        <v>=B436</v>
      </c>
      <c r="D487" s="61"/>
      <c r="E487" s="273" t="str">
        <f t="shared" ca="1" si="309"/>
        <v>=J436</v>
      </c>
      <c r="F487" s="312">
        <f ca="1">J436</f>
        <v>0.14105548849428562</v>
      </c>
      <c r="G487" s="211">
        <v>0.14105548849428562</v>
      </c>
      <c r="H487" s="211">
        <v>0.75938766798363755</v>
      </c>
      <c r="I487" s="211">
        <v>-2.1189193160804836</v>
      </c>
      <c r="J487" s="284"/>
      <c r="K487" s="211">
        <f t="shared" ca="1" si="318"/>
        <v>0</v>
      </c>
      <c r="L487" s="211">
        <f t="shared" ca="1" si="319"/>
        <v>0.61833217948935193</v>
      </c>
      <c r="M487" s="211">
        <f t="shared" ca="1" si="320"/>
        <v>-2.2599748045747692</v>
      </c>
      <c r="N487" s="271" t="str">
        <f t="shared" ca="1" si="304"/>
        <v>=I487-$F487</v>
      </c>
      <c r="V487" s="60"/>
    </row>
    <row r="488" spans="1:22" x14ac:dyDescent="0.4">
      <c r="A488" s="57"/>
      <c r="B488" s="208"/>
      <c r="C488" s="61"/>
      <c r="D488" s="61"/>
      <c r="E488" s="61"/>
      <c r="F488" s="61"/>
      <c r="G488" s="61"/>
      <c r="H488" s="61"/>
      <c r="I488" s="61"/>
      <c r="J488" s="286"/>
      <c r="K488" s="61"/>
      <c r="V488" s="60"/>
    </row>
    <row r="489" spans="1:22" x14ac:dyDescent="0.4">
      <c r="A489" s="57"/>
      <c r="B489" s="208"/>
      <c r="C489" s="61"/>
      <c r="D489" s="61"/>
      <c r="E489" s="61"/>
      <c r="F489" s="61"/>
      <c r="G489" s="61"/>
      <c r="H489" s="61"/>
      <c r="I489" s="61"/>
      <c r="J489" s="286"/>
      <c r="K489" s="61"/>
      <c r="V489" s="60"/>
    </row>
    <row r="490" spans="1:22" x14ac:dyDescent="0.4">
      <c r="A490" s="57"/>
      <c r="B490" s="57"/>
      <c r="C490" s="57"/>
      <c r="D490" s="57"/>
      <c r="E490" s="57"/>
      <c r="F490" s="57"/>
      <c r="G490" s="57"/>
      <c r="H490" s="57"/>
      <c r="I490" s="57"/>
      <c r="J490" s="57"/>
      <c r="K490" s="57"/>
      <c r="L490" s="57"/>
      <c r="M490" s="57"/>
      <c r="N490" s="57"/>
      <c r="O490" s="57"/>
      <c r="P490" s="57"/>
      <c r="Q490" s="57"/>
      <c r="R490" s="57"/>
      <c r="S490" s="57"/>
      <c r="T490" s="57"/>
      <c r="U490" s="57"/>
      <c r="V490" s="60"/>
    </row>
    <row r="491" spans="1:22" x14ac:dyDescent="0.4">
      <c r="J491" s="287"/>
    </row>
  </sheetData>
  <sheetProtection formatCells="0" formatColumns="0" formatRows="0"/>
  <protectedRanges>
    <protectedRange sqref="K50 F28:K28 F41:K41 F191:K191 F230:J230 F244:J244 F262:J262 F136:J136" name="Range1_2"/>
    <protectedRange sqref="D20 L27:P27" name="Range1_9_1"/>
    <protectedRange sqref="D294:E294 D363:E363 D376:E376 D388:E388 B317:B318 D364:J364 D377:J377 D298:H298 B319:D323 M308 B324:E325 N296 D389:J389 B338:D338 F341:J341 E302:H302 D304:E314 D295:J295 B294:C295 H305:H309 C316:E318 G343:H346 L335:L336 B329:E337 B328:D328 B297:C314 I334 L329:L330 B339:E341 B343:E346 D301:D302 G329:G331 G316:H324 B327:C327 E327 H328 H331:H333 G333 I340 H335:H340 G335:G339 D419:J419 K391:K392 D459 H326:I326 C293:J293 D297:J297 E300:J301 D303:J303 F304:J304 B342:J342 G310:G314 H311:H314 D299:J299 F459:M459" name="Range1_3"/>
    <protectedRange sqref="F294:J294 F388:J388 F363:J363 F376:J376" name="Range1_2_2"/>
    <protectedRange sqref="B392:C394 B397:C399 B402:C403 B405:C405" name="Range1_4_1"/>
    <protectedRange sqref="E338 L358:N358 K359:K361 E359:E361 F358:H358" name="Range1_8_1"/>
    <protectedRange sqref="E319:E323" name="Range1_11_1"/>
    <protectedRange sqref="E351 E352:I353" name="Range1_12_1"/>
    <protectedRange sqref="H421:J421 D430 D436:J437 D421:D423 D431:E434 E423:E425 K430 N425 K425:L425 E421 P425 L424:P424 G432:G434 H423:J423 H422:I422 H431:J434 D425 D435 G435:J435 F424:J425" name="Range1_10"/>
    <protectedRange sqref="D443:D447 D440 D450:D453 K439:P440 E456 F447:J447 J439 G439:I440 L447:P447 F451:J451 E441 E449:J450 E452:J453 E448 K441 E442:P446 K448:P453" name="Range1_10_1"/>
    <protectedRange sqref="D384:J384" name="Range1_3_1"/>
    <protectedRange sqref="E29 E42:E47 E31:E34 E37:E40 E15:E20 E22 E24:E25 F33:P33 E27:K27 F25:P25 F38:P38 F40:P40 F47:P47 F19:P19" name="Range1_9_1_2"/>
    <protectedRange sqref="E21" name="Range1_9_1_4_1"/>
    <protectedRange sqref="E430:G430 I430:J430 I426:J428 F426:F428 E429:J429 E451" name="Range1_10_2"/>
    <protectedRange sqref="G426:H428 E426:E428" name="Range1_10_2_1"/>
    <protectedRange sqref="E422 J422" name="Range1_10_3"/>
    <protectedRange sqref="E435:F435" name="Range1_10_4"/>
    <protectedRange sqref="R441" name="Range1_10_1_1"/>
    <protectedRange sqref="F441:J441 F448:J448 O441:P441 L441:M441" name="Range1_10_1_3"/>
    <protectedRange sqref="E455" name="Range1_10_1_4"/>
  </protectedRanges>
  <conditionalFormatting sqref="B298:J298 C297:J297">
    <cfRule type="expression" dxfId="8" priority="9">
      <formula>#REF!=1</formula>
    </cfRule>
  </conditionalFormatting>
  <conditionalFormatting sqref="B298:J298 C297:J297">
    <cfRule type="expression" dxfId="7" priority="8">
      <formula>#REF!=1</formula>
    </cfRule>
  </conditionalFormatting>
  <conditionalFormatting sqref="B364:C364 B295:C295">
    <cfRule type="expression" dxfId="6" priority="10">
      <formula>$R$2=1</formula>
    </cfRule>
  </conditionalFormatting>
  <conditionalFormatting sqref="B297">
    <cfRule type="expression" dxfId="5" priority="5">
      <formula>#REF!=1</formula>
    </cfRule>
  </conditionalFormatting>
  <conditionalFormatting sqref="B297">
    <cfRule type="expression" dxfId="4" priority="6">
      <formula>#REF!=1</formula>
    </cfRule>
  </conditionalFormatting>
  <conditionalFormatting sqref="C342:J342">
    <cfRule type="expression" dxfId="3" priority="4">
      <formula>#REF!=1</formula>
    </cfRule>
  </conditionalFormatting>
  <conditionalFormatting sqref="C342:J342">
    <cfRule type="expression" dxfId="2" priority="3">
      <formula>#REF!=1</formula>
    </cfRule>
  </conditionalFormatting>
  <conditionalFormatting sqref="B342">
    <cfRule type="expression" dxfId="1" priority="1">
      <formula>#REF!=1</formula>
    </cfRule>
  </conditionalFormatting>
  <conditionalFormatting sqref="B342">
    <cfRule type="expression" dxfId="0" priority="2">
      <formula>#REF!=1</formula>
    </cfRule>
  </conditionalFormatting>
  <dataValidations disablePrompts="1" count="1">
    <dataValidation type="list" allowBlank="1" showInputMessage="1" showErrorMessage="1" sqref="E315 K375 K371" xr:uid="{BD3D4BDC-E56A-4C90-9A15-CE568E3B699D}">
      <formula1>"0,1"</formula1>
    </dataValidation>
  </dataValidations>
  <pageMargins left="0" right="0" top="0" bottom="0" header="0" footer="0"/>
  <pageSetup scale="53" fitToHeight="8" orientation="landscape" horizontalDpi="4294967295" verticalDpi="4294967295"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BBEE5FB39D02B4E98BF5BD1FA38D753" ma:contentTypeVersion="9" ma:contentTypeDescription="Create a new document." ma:contentTypeScope="" ma:versionID="c860c0770af59d3a548d7842df667668">
  <xsd:schema xmlns:xsd="http://www.w3.org/2001/XMLSchema" xmlns:xs="http://www.w3.org/2001/XMLSchema" xmlns:p="http://schemas.microsoft.com/office/2006/metadata/properties" xmlns:ns3="c58ec4ee-4b32-475d-8e0f-76bfb9e86858" targetNamespace="http://schemas.microsoft.com/office/2006/metadata/properties" ma:root="true" ma:fieldsID="663984433e08c855125709acd0c0baf9" ns3:_="">
    <xsd:import namespace="c58ec4ee-4b32-475d-8e0f-76bfb9e8685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8ec4ee-4b32-475d-8e0f-76bfb9e868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DD49489-18E1-4148-835E-69CA916B572A}">
  <ds:schemaRefs>
    <ds:schemaRef ds:uri="http://purl.org/dc/dcmitype/"/>
    <ds:schemaRef ds:uri="http://schemas.microsoft.com/office/2006/metadata/properties"/>
    <ds:schemaRef ds:uri="http://schemas.microsoft.com/office/infopath/2007/PartnerControls"/>
    <ds:schemaRef ds:uri="http://schemas.microsoft.com/office/2006/documentManagement/types"/>
    <ds:schemaRef ds:uri="http://www.w3.org/XML/1998/namespace"/>
    <ds:schemaRef ds:uri="http://purl.org/dc/elements/1.1/"/>
    <ds:schemaRef ds:uri="http://schemas.openxmlformats.org/package/2006/metadata/core-properties"/>
    <ds:schemaRef ds:uri="c58ec4ee-4b32-475d-8e0f-76bfb9e86858"/>
    <ds:schemaRef ds:uri="http://purl.org/dc/terms/"/>
  </ds:schemaRefs>
</ds:datastoreItem>
</file>

<file path=customXml/itemProps2.xml><?xml version="1.0" encoding="utf-8"?>
<ds:datastoreItem xmlns:ds="http://schemas.openxmlformats.org/officeDocument/2006/customXml" ds:itemID="{21709E6E-EE90-41D8-BED3-83C4EC3F37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8ec4ee-4b32-475d-8e0f-76bfb9e868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08B515-E476-4709-B20A-2016042BBF5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Financial Modeling Co. LLC</vt:lpstr>
      <vt:lpstr>OCFlow</vt:lpstr>
      <vt:lpstr>'Financial Modeling Co. LLC'!Print_Area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Coleman, Will</dc:creator>
  <cp:lastModifiedBy>David Corcoran</cp:lastModifiedBy>
  <cp:lastPrinted>2020-10-04T20:05:13Z</cp:lastPrinted>
  <dcterms:created xsi:type="dcterms:W3CDTF">2020-09-07T22:22:54Z</dcterms:created>
  <dcterms:modified xsi:type="dcterms:W3CDTF">2021-10-20T23:01:28Z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0x0101007BBEE5FB39D02B4E98BF5BD1FA38D753</vt:lpwstr>
  </property>
</Properties>
</file>