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bec91a8651c45/Documents/Virginia Tech/4 - Senior - 1st Semester/Fin Modeling In Excel/"/>
    </mc:Choice>
  </mc:AlternateContent>
  <xr:revisionPtr revIDLastSave="1153" documentId="8_{2BD51D83-E48C-4370-B3D2-4277A1C8F597}" xr6:coauthVersionLast="47" xr6:coauthVersionMax="47" xr10:uidLastSave="{782D2DF5-6050-45A0-A8CE-70C10D9F4D3A}"/>
  <bookViews>
    <workbookView xWindow="-110" yWindow="-110" windowWidth="22780" windowHeight="14660" xr2:uid="{96BE2333-6D23-4646-B399-25A3C2502586}"/>
  </bookViews>
  <sheets>
    <sheet name="Fin Modeling Co. LLC" sheetId="7" r:id="rId1"/>
    <sheet name="Indirect" sheetId="8" r:id="rId2"/>
    <sheet name="GE" sheetId="9" r:id="rId3"/>
    <sheet name="HON" sheetId="10" r:id="rId4"/>
    <sheet name="RTX" sheetId="11" r:id="rId5"/>
    <sheet name="ETN" sheetId="12" r:id="rId6"/>
    <sheet name="DOV" sheetId="13" r:id="rId7"/>
    <sheet name="EMR" sheetId="14" r:id="rId8"/>
  </sheets>
  <definedNames>
    <definedName name="_xlnm.Print_Area" localSheetId="0">'Fin Modeling Co. LLC'!$B$2:$T$293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34" i="7" l="1"/>
  <c r="E423" i="7"/>
  <c r="J423" i="7"/>
  <c r="E264" i="7"/>
  <c r="E115" i="7"/>
  <c r="E116" i="7"/>
  <c r="E424" i="7" l="1"/>
  <c r="E393" i="7"/>
  <c r="E382" i="7"/>
  <c r="H352" i="7"/>
  <c r="E308" i="7"/>
  <c r="E332" i="7"/>
  <c r="F330" i="7"/>
  <c r="F329" i="7"/>
  <c r="E323" i="7"/>
  <c r="E325" i="7" s="1"/>
  <c r="F426" i="7"/>
  <c r="E430" i="7" s="1"/>
  <c r="F246" i="7"/>
  <c r="E131" i="7"/>
  <c r="E132" i="7"/>
  <c r="E128" i="7"/>
  <c r="E109" i="7"/>
  <c r="E117" i="7"/>
  <c r="E110" i="7"/>
  <c r="E106" i="7"/>
  <c r="E102" i="7"/>
  <c r="E69" i="7"/>
  <c r="E91" i="7"/>
  <c r="E87" i="7"/>
  <c r="E82" i="7"/>
  <c r="D80" i="7"/>
  <c r="E75" i="7"/>
  <c r="E74" i="7"/>
  <c r="E70" i="7"/>
  <c r="F368" i="8" a="1"/>
  <c r="F368" i="8" l="1"/>
  <c r="E433" i="7" l="1"/>
  <c r="F427" i="7"/>
  <c r="E427" i="7" s="1"/>
  <c r="E426" i="7"/>
  <c r="E431" i="7"/>
  <c r="E383" i="7"/>
  <c r="E381" i="7"/>
  <c r="E380" i="7"/>
  <c r="E373" i="7"/>
  <c r="H353" i="7"/>
  <c r="F299" i="7"/>
  <c r="E329" i="7"/>
  <c r="F186" i="7"/>
  <c r="F182" i="7"/>
  <c r="F154" i="7"/>
  <c r="G329" i="7"/>
  <c r="D6" i="7"/>
  <c r="E198" i="7"/>
  <c r="L15" i="7"/>
  <c r="D79" i="7"/>
  <c r="E405" i="7"/>
  <c r="C8" i="8" a="1"/>
  <c r="E429" i="7" l="1"/>
  <c r="E432" i="7" s="1"/>
  <c r="E434" i="7" s="1"/>
  <c r="C8" i="8"/>
  <c r="F210" i="7"/>
  <c r="F205" i="7"/>
  <c r="G210" i="7"/>
  <c r="H210" i="7"/>
  <c r="I210" i="7"/>
  <c r="J210" i="7"/>
  <c r="G215" i="7"/>
  <c r="H215" i="7"/>
  <c r="I215" i="7"/>
  <c r="J215" i="7"/>
  <c r="G220" i="7"/>
  <c r="H220" i="7"/>
  <c r="I220" i="7"/>
  <c r="J220" i="7"/>
  <c r="F220" i="7"/>
  <c r="G227" i="7"/>
  <c r="G234" i="7"/>
  <c r="F234" i="7"/>
  <c r="F227" i="7"/>
  <c r="G239" i="7"/>
  <c r="H239" i="7"/>
  <c r="I239" i="7"/>
  <c r="J239" i="7"/>
  <c r="F239" i="7"/>
  <c r="F291" i="7"/>
  <c r="F271" i="7"/>
  <c r="G281" i="7"/>
  <c r="H281" i="7"/>
  <c r="I281" i="7"/>
  <c r="J281" i="7"/>
  <c r="F281" i="7"/>
  <c r="G276" i="7"/>
  <c r="H276" i="7"/>
  <c r="I276" i="7"/>
  <c r="J276" i="7"/>
  <c r="F276" i="7"/>
  <c r="F215" i="7"/>
  <c r="G430" i="7" l="1"/>
  <c r="M473" i="7"/>
  <c r="L473" i="7"/>
  <c r="E265" i="7" l="1"/>
  <c r="F265" i="7" s="1"/>
  <c r="F266" i="7" s="1"/>
  <c r="E401" i="7"/>
  <c r="E400" i="7"/>
  <c r="E402" i="7" s="1"/>
  <c r="E403" i="7" s="1"/>
  <c r="E397" i="7"/>
  <c r="E398" i="7" s="1"/>
  <c r="E396" i="7"/>
  <c r="E395" i="7"/>
  <c r="E392" i="7"/>
  <c r="E391" i="7"/>
  <c r="E390" i="7"/>
  <c r="E379" i="7"/>
  <c r="L246" i="7"/>
  <c r="F257" i="7"/>
  <c r="F251" i="7"/>
  <c r="E125" i="7"/>
  <c r="E309" i="7"/>
  <c r="E330" i="7"/>
  <c r="G330" i="7"/>
  <c r="F331" i="7"/>
  <c r="E324" i="7"/>
  <c r="E321" i="7"/>
  <c r="H299" i="7"/>
  <c r="I299" i="7" s="1"/>
  <c r="J299" i="7" s="1"/>
  <c r="G299" i="7"/>
  <c r="F46" i="7"/>
  <c r="F44" i="7"/>
  <c r="F43" i="7"/>
  <c r="L257" i="7"/>
  <c r="L251" i="7"/>
  <c r="G186" i="7"/>
  <c r="H186" i="7"/>
  <c r="I186" i="7"/>
  <c r="J186" i="7"/>
  <c r="G165" i="7"/>
  <c r="H165" i="7"/>
  <c r="I165" i="7"/>
  <c r="J165" i="7"/>
  <c r="F165" i="7"/>
  <c r="G154" i="7"/>
  <c r="H154" i="7"/>
  <c r="I154" i="7"/>
  <c r="J154" i="7"/>
  <c r="J289" i="7"/>
  <c r="I289" i="7"/>
  <c r="H289" i="7"/>
  <c r="G289" i="7"/>
  <c r="F289" i="7"/>
  <c r="G290" i="7"/>
  <c r="H290" i="7"/>
  <c r="I290" i="7"/>
  <c r="J290" i="7"/>
  <c r="J291" i="7" s="1"/>
  <c r="G291" i="7"/>
  <c r="H291" i="7"/>
  <c r="I291" i="7"/>
  <c r="F290" i="7"/>
  <c r="E290" i="7"/>
  <c r="E289" i="7"/>
  <c r="G286" i="7"/>
  <c r="H286" i="7"/>
  <c r="I286" i="7"/>
  <c r="J286" i="7"/>
  <c r="F286" i="7"/>
  <c r="G284" i="7"/>
  <c r="H284" i="7"/>
  <c r="I284" i="7"/>
  <c r="J284" i="7"/>
  <c r="F284" i="7"/>
  <c r="G285" i="7"/>
  <c r="H285" i="7" s="1"/>
  <c r="I285" i="7" s="1"/>
  <c r="J285" i="7" s="1"/>
  <c r="F285" i="7"/>
  <c r="E285" i="7"/>
  <c r="E284" i="7"/>
  <c r="E279" i="7"/>
  <c r="E280" i="7" s="1"/>
  <c r="F280" i="7" s="1"/>
  <c r="E274" i="7"/>
  <c r="E275" i="7" s="1"/>
  <c r="F275" i="7" s="1"/>
  <c r="G271" i="7"/>
  <c r="H271" i="7"/>
  <c r="I271" i="7"/>
  <c r="J271" i="7"/>
  <c r="G270" i="7"/>
  <c r="H270" i="7"/>
  <c r="H269" i="7" s="1"/>
  <c r="I270" i="7"/>
  <c r="J270" i="7"/>
  <c r="J269" i="7" s="1"/>
  <c r="F270" i="7"/>
  <c r="E270" i="7"/>
  <c r="I269" i="7"/>
  <c r="G269" i="7"/>
  <c r="F269" i="7"/>
  <c r="E269" i="7"/>
  <c r="G242" i="7"/>
  <c r="H242" i="7"/>
  <c r="I242" i="7"/>
  <c r="J242" i="7"/>
  <c r="F242" i="7"/>
  <c r="E242" i="7"/>
  <c r="E237" i="7"/>
  <c r="E238" i="7" s="1"/>
  <c r="F238" i="7" s="1"/>
  <c r="J232" i="7"/>
  <c r="I232" i="7"/>
  <c r="H232" i="7"/>
  <c r="G232" i="7"/>
  <c r="F232" i="7"/>
  <c r="H234" i="7"/>
  <c r="I234" i="7"/>
  <c r="J234" i="7"/>
  <c r="G233" i="7"/>
  <c r="H233" i="7"/>
  <c r="I233" i="7"/>
  <c r="J233" i="7"/>
  <c r="F233" i="7"/>
  <c r="E233" i="7"/>
  <c r="E232" i="7"/>
  <c r="G225" i="7"/>
  <c r="H225" i="7"/>
  <c r="I225" i="7"/>
  <c r="J225" i="7"/>
  <c r="F225" i="7"/>
  <c r="H227" i="7"/>
  <c r="I227" i="7"/>
  <c r="J227" i="7"/>
  <c r="G226" i="7"/>
  <c r="H226" i="7" s="1"/>
  <c r="I226" i="7" s="1"/>
  <c r="J226" i="7" s="1"/>
  <c r="F226" i="7"/>
  <c r="E226" i="7"/>
  <c r="E225" i="7"/>
  <c r="G223" i="7"/>
  <c r="H223" i="7" s="1"/>
  <c r="I223" i="7" s="1"/>
  <c r="J223" i="7" s="1"/>
  <c r="F223" i="7"/>
  <c r="E223" i="7"/>
  <c r="E218" i="7"/>
  <c r="E213" i="7"/>
  <c r="E208" i="7"/>
  <c r="E209" i="7" s="1"/>
  <c r="F209" i="7" s="1"/>
  <c r="E219" i="7"/>
  <c r="F219" i="7" s="1"/>
  <c r="E214" i="7"/>
  <c r="F214" i="7" s="1"/>
  <c r="G203" i="7"/>
  <c r="H203" i="7"/>
  <c r="I203" i="7"/>
  <c r="J203" i="7"/>
  <c r="F203" i="7"/>
  <c r="G205" i="7"/>
  <c r="H205" i="7"/>
  <c r="I205" i="7"/>
  <c r="J205" i="7"/>
  <c r="G204" i="7"/>
  <c r="H204" i="7"/>
  <c r="I204" i="7" s="1"/>
  <c r="J204" i="7" s="1"/>
  <c r="F204" i="7"/>
  <c r="E204" i="7"/>
  <c r="E203" i="7"/>
  <c r="G198" i="7"/>
  <c r="H198" i="7"/>
  <c r="I198" i="7"/>
  <c r="J198" i="7"/>
  <c r="F198" i="7"/>
  <c r="G199" i="7"/>
  <c r="H199" i="7"/>
  <c r="I199" i="7"/>
  <c r="J199" i="7"/>
  <c r="F199" i="7"/>
  <c r="E199" i="7"/>
  <c r="E112" i="7"/>
  <c r="E126" i="7" s="1"/>
  <c r="E111" i="7"/>
  <c r="E118" i="7"/>
  <c r="E119" i="7" s="1"/>
  <c r="F119" i="7" s="1"/>
  <c r="E104" i="7"/>
  <c r="E103" i="7"/>
  <c r="E98" i="7"/>
  <c r="E96" i="7"/>
  <c r="E93" i="7"/>
  <c r="E92" i="7"/>
  <c r="E90" i="7"/>
  <c r="E89" i="7"/>
  <c r="E88" i="7"/>
  <c r="E81" i="7"/>
  <c r="E80" i="7"/>
  <c r="E79" i="7"/>
  <c r="D81" i="7"/>
  <c r="E68" i="7"/>
  <c r="E71" i="7"/>
  <c r="E76" i="7"/>
  <c r="B1" i="14"/>
  <c r="C3" i="14"/>
  <c r="B1" i="13"/>
  <c r="C3" i="13"/>
  <c r="B1" i="12"/>
  <c r="C3" i="12"/>
  <c r="B1" i="11"/>
  <c r="C3" i="11"/>
  <c r="B1" i="10"/>
  <c r="C3" i="10"/>
  <c r="C3" i="9"/>
  <c r="I13" i="8" a="1"/>
  <c r="H8" i="8" a="1"/>
  <c r="F9" i="8" a="1"/>
  <c r="C11" i="8" a="1"/>
  <c r="E8" i="8" a="1"/>
  <c r="C12" i="8" a="1"/>
  <c r="D11" i="8" a="1"/>
  <c r="H11" i="8" a="1"/>
  <c r="F11" i="8" a="1"/>
  <c r="I9" i="8" a="1"/>
  <c r="E12" i="8" a="1"/>
  <c r="G11" i="8" a="1"/>
  <c r="H12" i="8" a="1"/>
  <c r="G8" i="8" a="1"/>
  <c r="F10" i="8" a="1"/>
  <c r="I11" i="8" a="1"/>
  <c r="C13" i="8" a="1"/>
  <c r="G9" i="8" a="1"/>
  <c r="E11" i="8" a="1"/>
  <c r="E9" i="8" a="1"/>
  <c r="I10" i="8" a="1"/>
  <c r="G12" i="8" a="1"/>
  <c r="F13" i="8" a="1"/>
  <c r="C10" i="8" a="1"/>
  <c r="C9" i="8" a="1"/>
  <c r="I8" i="8" a="1"/>
  <c r="H9" i="8" a="1"/>
  <c r="D8" i="8" a="1"/>
  <c r="D13" i="8" a="1"/>
  <c r="F12" i="8" a="1"/>
  <c r="C6" i="8"/>
  <c r="G10" i="8" a="1"/>
  <c r="E10" i="8" a="1"/>
  <c r="F8" i="8" a="1"/>
  <c r="D10" i="8" a="1"/>
  <c r="D9" i="8" a="1"/>
  <c r="D12" i="8" a="1"/>
  <c r="G13" i="8" a="1"/>
  <c r="H10" i="8" a="1"/>
  <c r="I12" i="8" a="1"/>
  <c r="H13" i="8" a="1"/>
  <c r="E13" i="8" a="1"/>
  <c r="F118" i="7" l="1"/>
  <c r="F120" i="7"/>
  <c r="G119" i="7"/>
  <c r="E83" i="7"/>
  <c r="E97" i="7" s="1"/>
  <c r="E99" i="7" s="1"/>
  <c r="F264" i="7"/>
  <c r="G265" i="7"/>
  <c r="H13" i="8"/>
  <c r="F13" i="8"/>
  <c r="D13" i="8"/>
  <c r="I12" i="8"/>
  <c r="G12" i="8"/>
  <c r="E12" i="8"/>
  <c r="C12" i="8"/>
  <c r="H11" i="8"/>
  <c r="F11" i="8"/>
  <c r="D11" i="8"/>
  <c r="I10" i="8"/>
  <c r="G10" i="8"/>
  <c r="E10" i="8"/>
  <c r="C10" i="8"/>
  <c r="H9" i="8"/>
  <c r="F9" i="8"/>
  <c r="D9" i="8"/>
  <c r="I13" i="8"/>
  <c r="G13" i="8"/>
  <c r="E13" i="8"/>
  <c r="C13" i="8"/>
  <c r="H12" i="8"/>
  <c r="F12" i="8"/>
  <c r="D12" i="8"/>
  <c r="I11" i="8"/>
  <c r="G11" i="8"/>
  <c r="E11" i="8"/>
  <c r="C11" i="8"/>
  <c r="H10" i="8"/>
  <c r="F10" i="8"/>
  <c r="D10" i="8"/>
  <c r="I9" i="8"/>
  <c r="G9" i="8"/>
  <c r="E9" i="8"/>
  <c r="C9" i="8"/>
  <c r="I8" i="8"/>
  <c r="G8" i="8"/>
  <c r="E8" i="8"/>
  <c r="H8" i="8"/>
  <c r="F8" i="8"/>
  <c r="D8" i="8"/>
  <c r="F279" i="7"/>
  <c r="G280" i="7"/>
  <c r="G279" i="7" s="1"/>
  <c r="F274" i="7"/>
  <c r="G275" i="7"/>
  <c r="F237" i="7"/>
  <c r="G238" i="7"/>
  <c r="F218" i="7"/>
  <c r="G219" i="7"/>
  <c r="F213" i="7"/>
  <c r="G214" i="7"/>
  <c r="F208" i="7"/>
  <c r="G209" i="7"/>
  <c r="D184" i="7"/>
  <c r="D163" i="7"/>
  <c r="E54" i="7"/>
  <c r="E57" i="7" s="1"/>
  <c r="E59" i="7" s="1"/>
  <c r="E61" i="7" s="1"/>
  <c r="E63" i="7" s="1"/>
  <c r="E51" i="7"/>
  <c r="D51" i="7"/>
  <c r="E47" i="7"/>
  <c r="D47" i="7"/>
  <c r="E42" i="7"/>
  <c r="D42" i="7"/>
  <c r="D41" i="7"/>
  <c r="E38" i="7"/>
  <c r="D38" i="7"/>
  <c r="E33" i="7"/>
  <c r="D33" i="7"/>
  <c r="E29" i="7"/>
  <c r="D29" i="7"/>
  <c r="D28" i="7"/>
  <c r="E25" i="7"/>
  <c r="D25" i="7"/>
  <c r="E19" i="7"/>
  <c r="D19" i="7"/>
  <c r="F52" i="7" l="1"/>
  <c r="H119" i="7"/>
  <c r="G120" i="7"/>
  <c r="G118" i="7"/>
  <c r="E124" i="7"/>
  <c r="E127" i="7" s="1"/>
  <c r="E133" i="7" s="1"/>
  <c r="E134" i="7" s="1"/>
  <c r="E17" i="8"/>
  <c r="H265" i="7"/>
  <c r="G264" i="7"/>
  <c r="G266" i="7"/>
  <c r="F16" i="8"/>
  <c r="F17" i="8"/>
  <c r="F18" i="8"/>
  <c r="H16" i="8"/>
  <c r="H17" i="8"/>
  <c r="H18" i="8"/>
  <c r="I17" i="8"/>
  <c r="I18" i="8"/>
  <c r="I16" i="8"/>
  <c r="G16" i="8"/>
  <c r="G17" i="8"/>
  <c r="G18" i="8"/>
  <c r="E18" i="8"/>
  <c r="E16" i="8"/>
  <c r="F15" i="8"/>
  <c r="I15" i="8"/>
  <c r="H15" i="8"/>
  <c r="G15" i="8"/>
  <c r="E15" i="8"/>
  <c r="H280" i="7"/>
  <c r="H279" i="7" s="1"/>
  <c r="H275" i="7"/>
  <c r="G274" i="7"/>
  <c r="G237" i="7"/>
  <c r="H238" i="7"/>
  <c r="H219" i="7"/>
  <c r="G218" i="7"/>
  <c r="G213" i="7"/>
  <c r="H214" i="7"/>
  <c r="H209" i="7"/>
  <c r="G208" i="7"/>
  <c r="E40" i="7"/>
  <c r="E49" i="7" s="1"/>
  <c r="D27" i="7"/>
  <c r="D40" i="7"/>
  <c r="D49" i="7" s="1"/>
  <c r="D50" i="7" s="1"/>
  <c r="E27" i="7"/>
  <c r="G52" i="7" l="1"/>
  <c r="G379" i="7" s="1"/>
  <c r="F31" i="7"/>
  <c r="F32" i="7"/>
  <c r="F23" i="7"/>
  <c r="F16" i="7"/>
  <c r="F56" i="7"/>
  <c r="F69" i="7" s="1"/>
  <c r="F91" i="7" s="1"/>
  <c r="F53" i="7"/>
  <c r="F55" i="7"/>
  <c r="F22" i="7"/>
  <c r="F24" i="7"/>
  <c r="F58" i="7"/>
  <c r="F18" i="7"/>
  <c r="F17" i="7"/>
  <c r="F37" i="7"/>
  <c r="F75" i="7" s="1"/>
  <c r="F379" i="7"/>
  <c r="F21" i="7"/>
  <c r="I119" i="7"/>
  <c r="H118" i="7"/>
  <c r="H120" i="7"/>
  <c r="I265" i="7"/>
  <c r="H264" i="7"/>
  <c r="H266" i="7"/>
  <c r="I280" i="7"/>
  <c r="I279" i="7" s="1"/>
  <c r="H274" i="7"/>
  <c r="I275" i="7"/>
  <c r="H237" i="7"/>
  <c r="I238" i="7"/>
  <c r="I219" i="7"/>
  <c r="H218" i="7"/>
  <c r="I214" i="7"/>
  <c r="H213" i="7"/>
  <c r="I209" i="7"/>
  <c r="H208" i="7"/>
  <c r="E50" i="7"/>
  <c r="M375" i="7"/>
  <c r="B102" i="7"/>
  <c r="H52" i="7" l="1"/>
  <c r="H379" i="7" s="1"/>
  <c r="G31" i="7"/>
  <c r="G37" i="7"/>
  <c r="G75" i="7" s="1"/>
  <c r="G17" i="7"/>
  <c r="G32" i="7"/>
  <c r="G16" i="7"/>
  <c r="G18" i="7"/>
  <c r="G21" i="7"/>
  <c r="G24" i="7"/>
  <c r="G23" i="7"/>
  <c r="G58" i="7"/>
  <c r="G56" i="7"/>
  <c r="G69" i="7" s="1"/>
  <c r="G91" i="7" s="1"/>
  <c r="G53" i="7"/>
  <c r="G55" i="7"/>
  <c r="G22" i="7"/>
  <c r="F79" i="7"/>
  <c r="F80" i="7"/>
  <c r="J119" i="7"/>
  <c r="I118" i="7"/>
  <c r="I120" i="7"/>
  <c r="J265" i="7"/>
  <c r="I266" i="7"/>
  <c r="I264" i="7"/>
  <c r="J280" i="7"/>
  <c r="I274" i="7"/>
  <c r="J275" i="7"/>
  <c r="J238" i="7"/>
  <c r="I237" i="7"/>
  <c r="J219" i="7"/>
  <c r="I218" i="7"/>
  <c r="J214" i="7"/>
  <c r="I213" i="7"/>
  <c r="J209" i="7"/>
  <c r="J208" i="7" s="1"/>
  <c r="I208" i="7"/>
  <c r="H326" i="7"/>
  <c r="G326" i="7"/>
  <c r="I52" i="7" l="1"/>
  <c r="G80" i="7"/>
  <c r="H16" i="7"/>
  <c r="H56" i="7"/>
  <c r="H69" i="7" s="1"/>
  <c r="H91" i="7" s="1"/>
  <c r="H23" i="7"/>
  <c r="H58" i="7"/>
  <c r="H55" i="7"/>
  <c r="H18" i="7"/>
  <c r="H32" i="7"/>
  <c r="H24" i="7"/>
  <c r="H53" i="7"/>
  <c r="H37" i="7"/>
  <c r="H75" i="7" s="1"/>
  <c r="I379" i="7"/>
  <c r="H31" i="7"/>
  <c r="H22" i="7"/>
  <c r="H17" i="7"/>
  <c r="H21" i="7"/>
  <c r="G79" i="7"/>
  <c r="F81" i="7"/>
  <c r="F82" i="7" s="1"/>
  <c r="F83" i="7" s="1"/>
  <c r="F97" i="7" s="1"/>
  <c r="J120" i="7"/>
  <c r="J118" i="7"/>
  <c r="J264" i="7"/>
  <c r="J266" i="7"/>
  <c r="J279" i="7"/>
  <c r="J274" i="7"/>
  <c r="J237" i="7"/>
  <c r="J218" i="7"/>
  <c r="J213" i="7"/>
  <c r="B487" i="7"/>
  <c r="B486" i="7"/>
  <c r="B483" i="7"/>
  <c r="B482" i="7"/>
  <c r="B479" i="7"/>
  <c r="B478" i="7"/>
  <c r="B477" i="7"/>
  <c r="B476" i="7"/>
  <c r="B474" i="7"/>
  <c r="B472" i="7"/>
  <c r="B471" i="7"/>
  <c r="B470" i="7"/>
  <c r="B468" i="7"/>
  <c r="B467" i="7"/>
  <c r="B466" i="7"/>
  <c r="B463" i="7"/>
  <c r="B462" i="7"/>
  <c r="B461" i="7"/>
  <c r="M460" i="7"/>
  <c r="H460" i="7"/>
  <c r="M459" i="7"/>
  <c r="L459" i="7"/>
  <c r="H459" i="7"/>
  <c r="G459" i="7"/>
  <c r="J52" i="7" l="1"/>
  <c r="F461" i="7" s="1"/>
  <c r="L461" i="7" s="1"/>
  <c r="G81" i="7"/>
  <c r="G82" i="7" s="1"/>
  <c r="G83" i="7" s="1"/>
  <c r="G97" i="7" s="1"/>
  <c r="H80" i="7"/>
  <c r="H79" i="7"/>
  <c r="I53" i="7"/>
  <c r="I31" i="7"/>
  <c r="I18" i="7"/>
  <c r="I16" i="7"/>
  <c r="I24" i="7"/>
  <c r="I55" i="7"/>
  <c r="I23" i="7"/>
  <c r="I22" i="7"/>
  <c r="I17" i="7"/>
  <c r="I32" i="7"/>
  <c r="I58" i="7"/>
  <c r="I56" i="7"/>
  <c r="I69" i="7" s="1"/>
  <c r="I91" i="7" s="1"/>
  <c r="I37" i="7"/>
  <c r="I75" i="7" s="1"/>
  <c r="I21" i="7"/>
  <c r="G427" i="7"/>
  <c r="G426" i="7"/>
  <c r="H81" i="7" l="1"/>
  <c r="H82" i="7" s="1"/>
  <c r="H83" i="7" s="1"/>
  <c r="H97" i="7" s="1"/>
  <c r="J17" i="7"/>
  <c r="J56" i="7"/>
  <c r="J69" i="7" s="1"/>
  <c r="J91" i="7" s="1"/>
  <c r="J22" i="7"/>
  <c r="I80" i="7"/>
  <c r="J58" i="7"/>
  <c r="J24" i="7"/>
  <c r="J21" i="7"/>
  <c r="I79" i="7"/>
  <c r="J37" i="7"/>
  <c r="J75" i="7" s="1"/>
  <c r="J32" i="7"/>
  <c r="J16" i="7"/>
  <c r="J53" i="7"/>
  <c r="J379" i="7"/>
  <c r="J31" i="7"/>
  <c r="J18" i="7"/>
  <c r="J23" i="7"/>
  <c r="J55" i="7"/>
  <c r="M461" i="7"/>
  <c r="G429" i="7"/>
  <c r="I426" i="7" s="1"/>
  <c r="I81" i="7" l="1"/>
  <c r="I82" i="7" s="1"/>
  <c r="I83" i="7" s="1"/>
  <c r="I97" i="7" s="1"/>
  <c r="J80" i="7"/>
  <c r="J79" i="7"/>
  <c r="I427" i="7"/>
  <c r="J81" i="7" l="1"/>
  <c r="J82" i="7" s="1"/>
  <c r="J83" i="7" s="1"/>
  <c r="J97" i="7" s="1"/>
  <c r="I429" i="7"/>
  <c r="G441" i="7" l="1"/>
  <c r="F441" i="7" s="1"/>
  <c r="I441" i="7"/>
  <c r="E445" i="7" s="1"/>
  <c r="L445" i="7" s="1"/>
  <c r="E450" i="7"/>
  <c r="E449" i="7" s="1"/>
  <c r="E452" i="7"/>
  <c r="E453" i="7" s="1"/>
  <c r="N448" i="7"/>
  <c r="O448" i="7"/>
  <c r="P448" i="7"/>
  <c r="Q448" i="7"/>
  <c r="M448" i="7"/>
  <c r="H448" i="7"/>
  <c r="E444" i="7"/>
  <c r="L444" i="7" s="1"/>
  <c r="B431" i="7"/>
  <c r="J441" i="7" l="1"/>
  <c r="J448" i="7" s="1"/>
  <c r="I448" i="7"/>
  <c r="L451" i="7"/>
  <c r="B427" i="7"/>
  <c r="B426" i="7"/>
  <c r="D419" i="7"/>
  <c r="E446" i="7" l="1"/>
  <c r="L446" i="7" s="1"/>
  <c r="L452" i="7"/>
  <c r="L453" i="7"/>
  <c r="B346" i="7"/>
  <c r="D389" i="7" l="1"/>
  <c r="F388" i="7"/>
  <c r="D388" i="7"/>
  <c r="D377" i="7"/>
  <c r="F376" i="7"/>
  <c r="D376" i="7"/>
  <c r="D364" i="7"/>
  <c r="F363" i="7"/>
  <c r="D363" i="7"/>
  <c r="D360" i="7"/>
  <c r="F357" i="7"/>
  <c r="L356" i="7"/>
  <c r="E356" i="7"/>
  <c r="B347" i="7"/>
  <c r="B339" i="7"/>
  <c r="B324" i="7"/>
  <c r="D295" i="7"/>
  <c r="F294" i="7"/>
  <c r="D294" i="7"/>
  <c r="B291" i="7"/>
  <c r="B290" i="7"/>
  <c r="B286" i="7"/>
  <c r="B285" i="7"/>
  <c r="B281" i="7"/>
  <c r="B280" i="7"/>
  <c r="B276" i="7"/>
  <c r="B275" i="7"/>
  <c r="B271" i="7"/>
  <c r="B270" i="7"/>
  <c r="B266" i="7"/>
  <c r="B265" i="7"/>
  <c r="D263" i="7"/>
  <c r="F262" i="7"/>
  <c r="D262" i="7"/>
  <c r="B259" i="7"/>
  <c r="B258" i="7"/>
  <c r="E257" i="7"/>
  <c r="D257" i="7"/>
  <c r="E256" i="7"/>
  <c r="D256" i="7"/>
  <c r="B253" i="7"/>
  <c r="B252" i="7"/>
  <c r="E251" i="7"/>
  <c r="D251" i="7"/>
  <c r="B248" i="7"/>
  <c r="B247" i="7"/>
  <c r="E246" i="7"/>
  <c r="D246" i="7"/>
  <c r="D245" i="7"/>
  <c r="F244" i="7"/>
  <c r="D244" i="7"/>
  <c r="B239" i="7"/>
  <c r="B238" i="7"/>
  <c r="B234" i="7"/>
  <c r="B233" i="7"/>
  <c r="D231" i="7"/>
  <c r="F230" i="7"/>
  <c r="D230" i="7"/>
  <c r="B227" i="7"/>
  <c r="B226" i="7"/>
  <c r="B220" i="7"/>
  <c r="B219" i="7"/>
  <c r="B215" i="7"/>
  <c r="B214" i="7"/>
  <c r="B210" i="7"/>
  <c r="B209" i="7"/>
  <c r="B205" i="7"/>
  <c r="B204" i="7"/>
  <c r="B200" i="7"/>
  <c r="B199" i="7"/>
  <c r="D194" i="7"/>
  <c r="D192" i="7"/>
  <c r="F191" i="7"/>
  <c r="D191" i="7"/>
  <c r="E184" i="7"/>
  <c r="B166" i="7"/>
  <c r="B165" i="7"/>
  <c r="B164" i="7"/>
  <c r="B163" i="7"/>
  <c r="B162" i="7"/>
  <c r="B161" i="7"/>
  <c r="B160" i="7"/>
  <c r="D152" i="7"/>
  <c r="B146" i="7"/>
  <c r="B168" i="7" s="1"/>
  <c r="B145" i="7"/>
  <c r="B144" i="7"/>
  <c r="E140" i="7"/>
  <c r="F140" i="7" s="1"/>
  <c r="E139" i="7"/>
  <c r="F139" i="7" s="1"/>
  <c r="D137" i="7"/>
  <c r="F136" i="7"/>
  <c r="D136" i="7"/>
  <c r="B120" i="7"/>
  <c r="B119" i="7"/>
  <c r="D78" i="7"/>
  <c r="D65" i="7"/>
  <c r="L62" i="7"/>
  <c r="L60" i="7"/>
  <c r="B60" i="7"/>
  <c r="L58" i="7"/>
  <c r="L56" i="7"/>
  <c r="L55" i="7"/>
  <c r="L53" i="7"/>
  <c r="L52" i="7"/>
  <c r="L50" i="7"/>
  <c r="B49" i="7"/>
  <c r="L46" i="7"/>
  <c r="L45" i="7"/>
  <c r="L44" i="7"/>
  <c r="L43" i="7"/>
  <c r="L41" i="7"/>
  <c r="F41" i="7"/>
  <c r="L37" i="7"/>
  <c r="L35" i="7"/>
  <c r="L32" i="7"/>
  <c r="L31" i="7"/>
  <c r="L30" i="7"/>
  <c r="L28" i="7"/>
  <c r="F28" i="7"/>
  <c r="L24" i="7"/>
  <c r="L23" i="7"/>
  <c r="L22" i="7"/>
  <c r="L21" i="7"/>
  <c r="L18" i="7"/>
  <c r="L17" i="7"/>
  <c r="L16" i="7"/>
  <c r="E12" i="7"/>
  <c r="E8" i="7"/>
  <c r="F459" i="7"/>
  <c r="S261" i="7"/>
  <c r="L12" i="7" l="1"/>
  <c r="E419" i="7"/>
  <c r="F12" i="7"/>
  <c r="G12" i="7" s="1"/>
  <c r="G419" i="7" s="1"/>
  <c r="L33" i="7"/>
  <c r="B157" i="7"/>
  <c r="L19" i="7"/>
  <c r="G327" i="7"/>
  <c r="E130" i="7"/>
  <c r="L25" i="7"/>
  <c r="L54" i="7"/>
  <c r="E192" i="7"/>
  <c r="E295" i="7"/>
  <c r="E245" i="7"/>
  <c r="E194" i="7"/>
  <c r="E137" i="7"/>
  <c r="E123" i="7"/>
  <c r="E85" i="7"/>
  <c r="E101" i="7"/>
  <c r="E389" i="7"/>
  <c r="E377" i="7"/>
  <c r="E231" i="7"/>
  <c r="E65" i="7"/>
  <c r="E364" i="7"/>
  <c r="E263" i="7"/>
  <c r="E108" i="7"/>
  <c r="E78" i="7"/>
  <c r="L38" i="7"/>
  <c r="L47" i="7"/>
  <c r="E95" i="7"/>
  <c r="G139" i="7"/>
  <c r="H327" i="7"/>
  <c r="G140" i="7"/>
  <c r="L29" i="7" l="1"/>
  <c r="L51" i="7"/>
  <c r="L42" i="7"/>
  <c r="F65" i="7"/>
  <c r="F419" i="7"/>
  <c r="L245" i="7"/>
  <c r="L40" i="7"/>
  <c r="L49" i="7" s="1"/>
  <c r="F364" i="7"/>
  <c r="F295" i="7"/>
  <c r="F194" i="7"/>
  <c r="F42" i="7"/>
  <c r="F51" i="7"/>
  <c r="F192" i="7"/>
  <c r="F389" i="7"/>
  <c r="F108" i="7"/>
  <c r="F263" i="7"/>
  <c r="F95" i="7"/>
  <c r="F123" i="7"/>
  <c r="F130" i="7"/>
  <c r="F101" i="7"/>
  <c r="F29" i="7"/>
  <c r="F85" i="7"/>
  <c r="F137" i="7"/>
  <c r="F231" i="7"/>
  <c r="M12" i="7"/>
  <c r="M51" i="7" s="1"/>
  <c r="F245" i="7"/>
  <c r="F377" i="7"/>
  <c r="F78" i="7"/>
  <c r="L27" i="7"/>
  <c r="H140" i="7"/>
  <c r="H139" i="7"/>
  <c r="G42" i="7"/>
  <c r="G389" i="7"/>
  <c r="G95" i="7"/>
  <c r="G51" i="7"/>
  <c r="G377" i="7"/>
  <c r="G231" i="7"/>
  <c r="G65" i="7"/>
  <c r="G364" i="7"/>
  <c r="G130" i="7"/>
  <c r="G263" i="7"/>
  <c r="G108" i="7"/>
  <c r="G78" i="7"/>
  <c r="G192" i="7"/>
  <c r="G295" i="7"/>
  <c r="G245" i="7"/>
  <c r="G194" i="7"/>
  <c r="G137" i="7"/>
  <c r="G123" i="7"/>
  <c r="G85" i="7"/>
  <c r="H12" i="7"/>
  <c r="H419" i="7" s="1"/>
  <c r="N12" i="7"/>
  <c r="G29" i="7"/>
  <c r="G101" i="7"/>
  <c r="L57" i="7"/>
  <c r="M29" i="7" l="1"/>
  <c r="M245" i="7"/>
  <c r="M42" i="7"/>
  <c r="I139" i="7"/>
  <c r="I140" i="7"/>
  <c r="N245" i="7"/>
  <c r="N51" i="7"/>
  <c r="N42" i="7"/>
  <c r="N29" i="7"/>
  <c r="H389" i="7"/>
  <c r="H95" i="7"/>
  <c r="H51" i="7"/>
  <c r="H377" i="7"/>
  <c r="H231" i="7"/>
  <c r="H65" i="7"/>
  <c r="H364" i="7"/>
  <c r="H130" i="7"/>
  <c r="H263" i="7"/>
  <c r="H192" i="7"/>
  <c r="H295" i="7"/>
  <c r="H245" i="7"/>
  <c r="H194" i="7"/>
  <c r="H137" i="7"/>
  <c r="H101" i="7"/>
  <c r="O12" i="7"/>
  <c r="H29" i="7"/>
  <c r="H123" i="7"/>
  <c r="H108" i="7"/>
  <c r="H85" i="7"/>
  <c r="H78" i="7"/>
  <c r="I12" i="7"/>
  <c r="I419" i="7" s="1"/>
  <c r="H42" i="7"/>
  <c r="L59" i="7"/>
  <c r="E368" i="7" l="1"/>
  <c r="E422" i="7"/>
  <c r="L61" i="7"/>
  <c r="J139" i="7"/>
  <c r="O42" i="7"/>
  <c r="O51" i="7"/>
  <c r="O29" i="7"/>
  <c r="O245" i="7"/>
  <c r="I377" i="7"/>
  <c r="I231" i="7"/>
  <c r="I65" i="7"/>
  <c r="I364" i="7"/>
  <c r="I130" i="7"/>
  <c r="I263" i="7"/>
  <c r="I108" i="7"/>
  <c r="I78" i="7"/>
  <c r="I192" i="7"/>
  <c r="I295" i="7"/>
  <c r="I245" i="7"/>
  <c r="I194" i="7"/>
  <c r="I137" i="7"/>
  <c r="I123" i="7"/>
  <c r="I85" i="7"/>
  <c r="I42" i="7"/>
  <c r="P12" i="7"/>
  <c r="I29" i="7"/>
  <c r="I389" i="7"/>
  <c r="I101" i="7"/>
  <c r="I51" i="7"/>
  <c r="J12" i="7"/>
  <c r="J419" i="7" s="1"/>
  <c r="I95" i="7"/>
  <c r="J140" i="7"/>
  <c r="H426" i="7" l="1"/>
  <c r="H427" i="7"/>
  <c r="E163" i="7"/>
  <c r="J364" i="7"/>
  <c r="J341" i="7"/>
  <c r="J130" i="7"/>
  <c r="J263" i="7"/>
  <c r="J108" i="7"/>
  <c r="J78" i="7"/>
  <c r="J192" i="7"/>
  <c r="J295" i="7"/>
  <c r="J245" i="7"/>
  <c r="J194" i="7"/>
  <c r="J137" i="7"/>
  <c r="J123" i="7"/>
  <c r="J101" i="7"/>
  <c r="J389" i="7"/>
  <c r="J95" i="7"/>
  <c r="J51" i="7"/>
  <c r="J29" i="7"/>
  <c r="J231" i="7"/>
  <c r="J65" i="7"/>
  <c r="J377" i="7"/>
  <c r="J42" i="7"/>
  <c r="J85" i="7"/>
  <c r="Q12" i="7"/>
  <c r="L63" i="7"/>
  <c r="P42" i="7"/>
  <c r="P51" i="7"/>
  <c r="P245" i="7"/>
  <c r="P29" i="7"/>
  <c r="F160" i="7" l="1"/>
  <c r="H429" i="7"/>
  <c r="E152" i="7"/>
  <c r="E372" i="7" s="1"/>
  <c r="Q51" i="7"/>
  <c r="Q245" i="7"/>
  <c r="Q29" i="7"/>
  <c r="Q42" i="7"/>
  <c r="E327" i="7" l="1"/>
  <c r="F149" i="7"/>
  <c r="E374" i="7"/>
  <c r="J326" i="7"/>
  <c r="E300" i="7" l="1"/>
  <c r="F300" i="7" s="1"/>
  <c r="F301" i="7" s="1"/>
  <c r="L449" i="7"/>
  <c r="L450" i="7"/>
  <c r="E442" i="7"/>
  <c r="L442" i="7" s="1"/>
  <c r="E443" i="7"/>
  <c r="L443" i="7" s="1"/>
  <c r="F448" i="7"/>
  <c r="G448" i="7"/>
  <c r="E339" i="7" l="1"/>
  <c r="G300" i="7"/>
  <c r="G301" i="7" s="1"/>
  <c r="M16" i="7"/>
  <c r="N16" i="7"/>
  <c r="O16" i="7"/>
  <c r="P16" i="7"/>
  <c r="Q16" i="7"/>
  <c r="M17" i="7"/>
  <c r="N17" i="7"/>
  <c r="O17" i="7"/>
  <c r="P17" i="7"/>
  <c r="Q17" i="7"/>
  <c r="M18" i="7"/>
  <c r="N18" i="7"/>
  <c r="O18" i="7"/>
  <c r="P18" i="7"/>
  <c r="Q18" i="7"/>
  <c r="M21" i="7"/>
  <c r="F87" i="7" s="1"/>
  <c r="N21" i="7"/>
  <c r="G87" i="7" s="1"/>
  <c r="O21" i="7"/>
  <c r="H87" i="7" s="1"/>
  <c r="P21" i="7"/>
  <c r="I87" i="7" s="1"/>
  <c r="Q21" i="7"/>
  <c r="J87" i="7" s="1"/>
  <c r="M22" i="7"/>
  <c r="N22" i="7"/>
  <c r="G88" i="7" s="1"/>
  <c r="O22" i="7"/>
  <c r="H88" i="7" s="1"/>
  <c r="P22" i="7"/>
  <c r="I88" i="7" s="1"/>
  <c r="Q22" i="7"/>
  <c r="J88" i="7" s="1"/>
  <c r="M23" i="7"/>
  <c r="F89" i="7" s="1"/>
  <c r="N23" i="7"/>
  <c r="G89" i="7" s="1"/>
  <c r="O23" i="7"/>
  <c r="P23" i="7"/>
  <c r="Q23" i="7"/>
  <c r="J89" i="7" s="1"/>
  <c r="M24" i="7"/>
  <c r="F90" i="7" s="1"/>
  <c r="N24" i="7"/>
  <c r="G90" i="7" s="1"/>
  <c r="O24" i="7"/>
  <c r="H90" i="7" s="1"/>
  <c r="P24" i="7"/>
  <c r="I90" i="7" s="1"/>
  <c r="Q24" i="7"/>
  <c r="J90" i="7" s="1"/>
  <c r="F25" i="7"/>
  <c r="G25" i="7"/>
  <c r="H25" i="7"/>
  <c r="I25" i="7"/>
  <c r="J25" i="7"/>
  <c r="H300" i="7" l="1"/>
  <c r="I300" i="7" s="1"/>
  <c r="P25" i="7"/>
  <c r="I89" i="7"/>
  <c r="I92" i="7" s="1"/>
  <c r="I93" i="7" s="1"/>
  <c r="I98" i="7" s="1"/>
  <c r="Q25" i="7"/>
  <c r="O25" i="7"/>
  <c r="H89" i="7"/>
  <c r="H92" i="7" s="1"/>
  <c r="H93" i="7" s="1"/>
  <c r="H98" i="7" s="1"/>
  <c r="J92" i="7"/>
  <c r="J93" i="7" s="1"/>
  <c r="J98" i="7" s="1"/>
  <c r="N25" i="7"/>
  <c r="M25" i="7"/>
  <c r="F88" i="7"/>
  <c r="F92" i="7" s="1"/>
  <c r="F93" i="7" s="1"/>
  <c r="G92" i="7"/>
  <c r="G93" i="7" s="1"/>
  <c r="G98" i="7" s="1"/>
  <c r="M31" i="7"/>
  <c r="N31" i="7"/>
  <c r="O31" i="7"/>
  <c r="P31" i="7"/>
  <c r="Q31" i="7"/>
  <c r="M32" i="7"/>
  <c r="N32" i="7"/>
  <c r="O32" i="7"/>
  <c r="P32" i="7"/>
  <c r="Q32" i="7"/>
  <c r="F98" i="7" l="1"/>
  <c r="F467" i="7"/>
  <c r="H301" i="7"/>
  <c r="J300" i="7"/>
  <c r="J301" i="7" s="1"/>
  <c r="E347" i="7" s="1"/>
  <c r="I301" i="7"/>
  <c r="M37" i="7"/>
  <c r="N37" i="7"/>
  <c r="O37" i="7"/>
  <c r="P37" i="7"/>
  <c r="Q37" i="7"/>
  <c r="L467" i="7" l="1"/>
  <c r="M467" i="7"/>
  <c r="M43" i="7"/>
  <c r="M44" i="7"/>
  <c r="M46" i="7"/>
  <c r="F111" i="7" s="1"/>
  <c r="F110" i="7" l="1"/>
  <c r="M52" i="7"/>
  <c r="N52" i="7"/>
  <c r="O52" i="7"/>
  <c r="P52" i="7"/>
  <c r="Q52" i="7"/>
  <c r="M53" i="7"/>
  <c r="N53" i="7"/>
  <c r="O53" i="7"/>
  <c r="P53" i="7"/>
  <c r="Q53" i="7"/>
  <c r="F54" i="7"/>
  <c r="M54" i="7" s="1"/>
  <c r="G54" i="7"/>
  <c r="H54" i="7"/>
  <c r="I54" i="7"/>
  <c r="J54" i="7"/>
  <c r="Q54" i="7" l="1"/>
  <c r="O54" i="7"/>
  <c r="N54" i="7"/>
  <c r="P54" i="7"/>
  <c r="M55" i="7"/>
  <c r="N55" i="7"/>
  <c r="O55" i="7"/>
  <c r="P55" i="7"/>
  <c r="Q55" i="7"/>
  <c r="M56" i="7"/>
  <c r="N56" i="7"/>
  <c r="O56" i="7"/>
  <c r="P56" i="7"/>
  <c r="Q56" i="7"/>
  <c r="F57" i="7"/>
  <c r="M57" i="7" s="1"/>
  <c r="G57" i="7"/>
  <c r="H57" i="7"/>
  <c r="I57" i="7"/>
  <c r="J57" i="7"/>
  <c r="N57" i="7" l="1"/>
  <c r="Q57" i="7"/>
  <c r="P57" i="7"/>
  <c r="O57" i="7"/>
  <c r="M58" i="7" l="1"/>
  <c r="N58" i="7"/>
  <c r="O58" i="7"/>
  <c r="P58" i="7"/>
  <c r="Q58" i="7"/>
  <c r="F59" i="7"/>
  <c r="G59" i="7"/>
  <c r="G68" i="7" s="1"/>
  <c r="H59" i="7"/>
  <c r="I59" i="7"/>
  <c r="I68" i="7" s="1"/>
  <c r="J59" i="7"/>
  <c r="F68" i="7" l="1"/>
  <c r="F368" i="7" s="1"/>
  <c r="G73" i="7"/>
  <c r="G380" i="7"/>
  <c r="G382" i="7" s="1"/>
  <c r="G381" i="7"/>
  <c r="G383" i="7" s="1"/>
  <c r="I380" i="7"/>
  <c r="I382" i="7" s="1"/>
  <c r="I381" i="7"/>
  <c r="I383" i="7" s="1"/>
  <c r="I368" i="7"/>
  <c r="I373" i="7" s="1"/>
  <c r="G368" i="7"/>
  <c r="O59" i="7"/>
  <c r="H68" i="7"/>
  <c r="Q59" i="7"/>
  <c r="J68" i="7"/>
  <c r="P59" i="7"/>
  <c r="N59" i="7"/>
  <c r="M59" i="7"/>
  <c r="J342" i="7" l="1"/>
  <c r="E344" i="7" s="1"/>
  <c r="E341" i="7"/>
  <c r="F381" i="7"/>
  <c r="F383" i="7" s="1"/>
  <c r="F380" i="7"/>
  <c r="F382" i="7" s="1"/>
  <c r="J380" i="7"/>
  <c r="J382" i="7" s="1"/>
  <c r="J381" i="7"/>
  <c r="H380" i="7"/>
  <c r="H382" i="7" s="1"/>
  <c r="H381" i="7"/>
  <c r="H383" i="7" s="1"/>
  <c r="G373" i="7"/>
  <c r="H368" i="7"/>
  <c r="J368" i="7"/>
  <c r="F373" i="7"/>
  <c r="F462" i="7" l="1"/>
  <c r="J384" i="7"/>
  <c r="J383" i="7"/>
  <c r="J422" i="7"/>
  <c r="J424" i="7" s="1"/>
  <c r="J431" i="7" s="1"/>
  <c r="J373" i="7"/>
  <c r="H373" i="7"/>
  <c r="F200" i="7"/>
  <c r="G200" i="7"/>
  <c r="H200" i="7"/>
  <c r="I200" i="7"/>
  <c r="J200" i="7"/>
  <c r="L462" i="7" l="1"/>
  <c r="M462" i="7"/>
  <c r="F15" i="7"/>
  <c r="G15" i="7"/>
  <c r="H15" i="7"/>
  <c r="I15" i="7"/>
  <c r="J15" i="7"/>
  <c r="M15" i="7"/>
  <c r="N15" i="7"/>
  <c r="O15" i="7"/>
  <c r="P15" i="7"/>
  <c r="Q15" i="7"/>
  <c r="F19" i="7"/>
  <c r="G19" i="7"/>
  <c r="H19" i="7"/>
  <c r="I19" i="7"/>
  <c r="J19" i="7"/>
  <c r="M19" i="7"/>
  <c r="N19" i="7"/>
  <c r="O19" i="7"/>
  <c r="P19" i="7"/>
  <c r="Q19" i="7"/>
  <c r="F27" i="7"/>
  <c r="G27" i="7"/>
  <c r="H27" i="7"/>
  <c r="I27" i="7"/>
  <c r="J27" i="7"/>
  <c r="M27" i="7"/>
  <c r="N27" i="7"/>
  <c r="O27" i="7"/>
  <c r="P27" i="7"/>
  <c r="Q27" i="7"/>
  <c r="F30" i="7"/>
  <c r="G30" i="7"/>
  <c r="H30" i="7"/>
  <c r="I30" i="7"/>
  <c r="J30" i="7"/>
  <c r="M30" i="7"/>
  <c r="N30" i="7"/>
  <c r="O30" i="7"/>
  <c r="P30" i="7"/>
  <c r="Q30" i="7"/>
  <c r="F33" i="7"/>
  <c r="G33" i="7"/>
  <c r="H33" i="7"/>
  <c r="I33" i="7"/>
  <c r="J33" i="7"/>
  <c r="M33" i="7"/>
  <c r="N33" i="7"/>
  <c r="O33" i="7"/>
  <c r="P33" i="7"/>
  <c r="Q33" i="7"/>
  <c r="F35" i="7"/>
  <c r="G35" i="7"/>
  <c r="H35" i="7"/>
  <c r="I35" i="7"/>
  <c r="J35" i="7"/>
  <c r="M35" i="7"/>
  <c r="N35" i="7"/>
  <c r="O35" i="7"/>
  <c r="P35" i="7"/>
  <c r="Q35" i="7"/>
  <c r="F38" i="7"/>
  <c r="G38" i="7"/>
  <c r="H38" i="7"/>
  <c r="I38" i="7"/>
  <c r="J38" i="7"/>
  <c r="M38" i="7"/>
  <c r="N38" i="7"/>
  <c r="O38" i="7"/>
  <c r="P38" i="7"/>
  <c r="Q38" i="7"/>
  <c r="F40" i="7"/>
  <c r="G40" i="7"/>
  <c r="H40" i="7"/>
  <c r="I40" i="7"/>
  <c r="J40" i="7"/>
  <c r="M40" i="7"/>
  <c r="N40" i="7"/>
  <c r="O40" i="7"/>
  <c r="P40" i="7"/>
  <c r="Q40" i="7"/>
  <c r="G43" i="7"/>
  <c r="H43" i="7"/>
  <c r="I43" i="7"/>
  <c r="J43" i="7"/>
  <c r="N43" i="7"/>
  <c r="O43" i="7"/>
  <c r="P43" i="7"/>
  <c r="Q43" i="7"/>
  <c r="G44" i="7"/>
  <c r="H44" i="7"/>
  <c r="I44" i="7"/>
  <c r="J44" i="7"/>
  <c r="N44" i="7"/>
  <c r="O44" i="7"/>
  <c r="P44" i="7"/>
  <c r="Q44" i="7"/>
  <c r="F45" i="7"/>
  <c r="G45" i="7"/>
  <c r="H45" i="7"/>
  <c r="I45" i="7"/>
  <c r="J45" i="7"/>
  <c r="M45" i="7"/>
  <c r="N45" i="7"/>
  <c r="O45" i="7"/>
  <c r="P45" i="7"/>
  <c r="Q45" i="7"/>
  <c r="G46" i="7"/>
  <c r="H46" i="7"/>
  <c r="I46" i="7"/>
  <c r="J46" i="7"/>
  <c r="N46" i="7"/>
  <c r="O46" i="7"/>
  <c r="P46" i="7"/>
  <c r="Q46" i="7"/>
  <c r="F47" i="7"/>
  <c r="G47" i="7"/>
  <c r="H47" i="7"/>
  <c r="I47" i="7"/>
  <c r="J47" i="7"/>
  <c r="M47" i="7"/>
  <c r="N47" i="7"/>
  <c r="O47" i="7"/>
  <c r="P47" i="7"/>
  <c r="Q47" i="7"/>
  <c r="F49" i="7"/>
  <c r="G49" i="7"/>
  <c r="H49" i="7"/>
  <c r="I49" i="7"/>
  <c r="J49" i="7"/>
  <c r="M49" i="7"/>
  <c r="N49" i="7"/>
  <c r="O49" i="7"/>
  <c r="P49" i="7"/>
  <c r="Q49" i="7"/>
  <c r="F50" i="7"/>
  <c r="G50" i="7"/>
  <c r="H50" i="7"/>
  <c r="I50" i="7"/>
  <c r="J50" i="7"/>
  <c r="F60" i="7"/>
  <c r="G60" i="7"/>
  <c r="H60" i="7"/>
  <c r="I60" i="7"/>
  <c r="J60" i="7"/>
  <c r="M60" i="7"/>
  <c r="N60" i="7"/>
  <c r="O60" i="7"/>
  <c r="P60" i="7"/>
  <c r="Q60" i="7"/>
  <c r="F61" i="7"/>
  <c r="G61" i="7"/>
  <c r="H61" i="7"/>
  <c r="I61" i="7"/>
  <c r="J61" i="7"/>
  <c r="M61" i="7"/>
  <c r="N61" i="7"/>
  <c r="O61" i="7"/>
  <c r="P61" i="7"/>
  <c r="Q61" i="7"/>
  <c r="F62" i="7"/>
  <c r="G62" i="7"/>
  <c r="H62" i="7"/>
  <c r="I62" i="7"/>
  <c r="J62" i="7"/>
  <c r="M62" i="7"/>
  <c r="N62" i="7"/>
  <c r="O62" i="7"/>
  <c r="P62" i="7"/>
  <c r="Q62" i="7"/>
  <c r="F63" i="7"/>
  <c r="G63" i="7"/>
  <c r="H63" i="7"/>
  <c r="I63" i="7"/>
  <c r="J63" i="7"/>
  <c r="M63" i="7"/>
  <c r="N63" i="7"/>
  <c r="O63" i="7"/>
  <c r="P63" i="7"/>
  <c r="Q63" i="7"/>
  <c r="F70" i="7"/>
  <c r="G70" i="7"/>
  <c r="H70" i="7"/>
  <c r="I70" i="7"/>
  <c r="J70" i="7"/>
  <c r="F71" i="7"/>
  <c r="G71" i="7"/>
  <c r="H71" i="7"/>
  <c r="I71" i="7"/>
  <c r="J71" i="7"/>
  <c r="F74" i="7"/>
  <c r="G74" i="7"/>
  <c r="H74" i="7"/>
  <c r="I74" i="7"/>
  <c r="J74" i="7"/>
  <c r="F76" i="7"/>
  <c r="G76" i="7"/>
  <c r="H76" i="7"/>
  <c r="I76" i="7"/>
  <c r="J76" i="7"/>
  <c r="F96" i="7"/>
  <c r="G96" i="7"/>
  <c r="H96" i="7"/>
  <c r="I96" i="7"/>
  <c r="J96" i="7"/>
  <c r="F99" i="7"/>
  <c r="G99" i="7"/>
  <c r="H99" i="7"/>
  <c r="I99" i="7"/>
  <c r="J99" i="7"/>
  <c r="F102" i="7"/>
  <c r="G102" i="7"/>
  <c r="H102" i="7"/>
  <c r="I102" i="7"/>
  <c r="J102" i="7"/>
  <c r="F103" i="7"/>
  <c r="G103" i="7"/>
  <c r="H103" i="7"/>
  <c r="I103" i="7"/>
  <c r="J103" i="7"/>
  <c r="F104" i="7"/>
  <c r="G104" i="7"/>
  <c r="H104" i="7"/>
  <c r="I104" i="7"/>
  <c r="J104" i="7"/>
  <c r="F106" i="7"/>
  <c r="G106" i="7"/>
  <c r="H106" i="7"/>
  <c r="I106" i="7"/>
  <c r="J106" i="7"/>
  <c r="F109" i="7"/>
  <c r="G109" i="7"/>
  <c r="H109" i="7"/>
  <c r="I109" i="7"/>
  <c r="J109" i="7"/>
  <c r="G110" i="7"/>
  <c r="H110" i="7"/>
  <c r="I110" i="7"/>
  <c r="J110" i="7"/>
  <c r="G111" i="7"/>
  <c r="H111" i="7"/>
  <c r="I111" i="7"/>
  <c r="J111" i="7"/>
  <c r="F112" i="7"/>
  <c r="G112" i="7"/>
  <c r="H112" i="7"/>
  <c r="I112" i="7"/>
  <c r="J112" i="7"/>
  <c r="F115" i="7"/>
  <c r="G115" i="7"/>
  <c r="H115" i="7"/>
  <c r="I115" i="7"/>
  <c r="J115" i="7"/>
  <c r="F117" i="7"/>
  <c r="G117" i="7"/>
  <c r="H117" i="7"/>
  <c r="I117" i="7"/>
  <c r="J117" i="7"/>
  <c r="F124" i="7"/>
  <c r="G124" i="7"/>
  <c r="H124" i="7"/>
  <c r="I124" i="7"/>
  <c r="J124" i="7"/>
  <c r="F125" i="7"/>
  <c r="G125" i="7"/>
  <c r="H125" i="7"/>
  <c r="I125" i="7"/>
  <c r="J125" i="7"/>
  <c r="F126" i="7"/>
  <c r="G126" i="7"/>
  <c r="H126" i="7"/>
  <c r="I126" i="7"/>
  <c r="J126" i="7"/>
  <c r="F127" i="7"/>
  <c r="G127" i="7"/>
  <c r="H127" i="7"/>
  <c r="I127" i="7"/>
  <c r="J127" i="7"/>
  <c r="F128" i="7"/>
  <c r="G128" i="7"/>
  <c r="H128" i="7"/>
  <c r="I128" i="7"/>
  <c r="J128" i="7"/>
  <c r="F131" i="7"/>
  <c r="G131" i="7"/>
  <c r="H131" i="7"/>
  <c r="I131" i="7"/>
  <c r="J131" i="7"/>
  <c r="F132" i="7"/>
  <c r="G132" i="7"/>
  <c r="H132" i="7"/>
  <c r="I132" i="7"/>
  <c r="J132" i="7"/>
  <c r="F133" i="7"/>
  <c r="G133" i="7"/>
  <c r="H133" i="7"/>
  <c r="I133" i="7"/>
  <c r="J133" i="7"/>
  <c r="F134" i="7"/>
  <c r="G134" i="7"/>
  <c r="H134" i="7"/>
  <c r="I134" i="7"/>
  <c r="J134" i="7"/>
  <c r="F143" i="7"/>
  <c r="G143" i="7"/>
  <c r="H143" i="7"/>
  <c r="I143" i="7"/>
  <c r="J143" i="7"/>
  <c r="F144" i="7"/>
  <c r="G144" i="7"/>
  <c r="H144" i="7"/>
  <c r="I144" i="7"/>
  <c r="J144" i="7"/>
  <c r="F145" i="7"/>
  <c r="G145" i="7"/>
  <c r="H145" i="7"/>
  <c r="I145" i="7"/>
  <c r="J145" i="7"/>
  <c r="F146" i="7"/>
  <c r="G146" i="7"/>
  <c r="H146" i="7"/>
  <c r="I146" i="7"/>
  <c r="J146" i="7"/>
  <c r="H148" i="7"/>
  <c r="G149" i="7"/>
  <c r="H149" i="7"/>
  <c r="I149" i="7"/>
  <c r="J149" i="7"/>
  <c r="F150" i="7"/>
  <c r="G150" i="7"/>
  <c r="H150" i="7"/>
  <c r="I150" i="7"/>
  <c r="J150" i="7"/>
  <c r="F151" i="7"/>
  <c r="G151" i="7"/>
  <c r="H151" i="7"/>
  <c r="I151" i="7"/>
  <c r="J151" i="7"/>
  <c r="F152" i="7"/>
  <c r="G152" i="7"/>
  <c r="H152" i="7"/>
  <c r="I152" i="7"/>
  <c r="J152" i="7"/>
  <c r="F153" i="7"/>
  <c r="G153" i="7"/>
  <c r="H153" i="7"/>
  <c r="I153" i="7"/>
  <c r="J153" i="7"/>
  <c r="F155" i="7"/>
  <c r="G155" i="7"/>
  <c r="H155" i="7"/>
  <c r="I155" i="7"/>
  <c r="J155" i="7"/>
  <c r="F157" i="7"/>
  <c r="G157" i="7"/>
  <c r="H157" i="7"/>
  <c r="I157" i="7"/>
  <c r="J157" i="7"/>
  <c r="G160" i="7"/>
  <c r="H160" i="7"/>
  <c r="I160" i="7"/>
  <c r="J160" i="7"/>
  <c r="F161" i="7"/>
  <c r="G161" i="7"/>
  <c r="H161" i="7"/>
  <c r="I161" i="7"/>
  <c r="J161" i="7"/>
  <c r="F162" i="7"/>
  <c r="G162" i="7"/>
  <c r="H162" i="7"/>
  <c r="I162" i="7"/>
  <c r="J162" i="7"/>
  <c r="F163" i="7"/>
  <c r="G163" i="7"/>
  <c r="H163" i="7"/>
  <c r="I163" i="7"/>
  <c r="J163" i="7"/>
  <c r="F164" i="7"/>
  <c r="G164" i="7"/>
  <c r="H164" i="7"/>
  <c r="I164" i="7"/>
  <c r="J164" i="7"/>
  <c r="F166" i="7"/>
  <c r="G166" i="7"/>
  <c r="H166" i="7"/>
  <c r="I166" i="7"/>
  <c r="J166" i="7"/>
  <c r="F168" i="7"/>
  <c r="G168" i="7"/>
  <c r="H168" i="7"/>
  <c r="I168" i="7"/>
  <c r="J168" i="7"/>
  <c r="G182" i="7"/>
  <c r="H182" i="7"/>
  <c r="I182" i="7"/>
  <c r="J182" i="7"/>
  <c r="F183" i="7"/>
  <c r="G183" i="7"/>
  <c r="H183" i="7"/>
  <c r="I183" i="7"/>
  <c r="J183" i="7"/>
  <c r="F184" i="7"/>
  <c r="G184" i="7"/>
  <c r="H184" i="7"/>
  <c r="I184" i="7"/>
  <c r="J184" i="7"/>
  <c r="F185" i="7"/>
  <c r="G185" i="7"/>
  <c r="H185" i="7"/>
  <c r="I185" i="7"/>
  <c r="J185" i="7"/>
  <c r="F187" i="7"/>
  <c r="G187" i="7"/>
  <c r="H187" i="7"/>
  <c r="I187" i="7"/>
  <c r="J187" i="7"/>
  <c r="F189" i="7"/>
  <c r="G189" i="7"/>
  <c r="H189" i="7"/>
  <c r="I189" i="7"/>
  <c r="J189" i="7"/>
  <c r="G246" i="7"/>
  <c r="H246" i="7"/>
  <c r="I246" i="7"/>
  <c r="J246" i="7"/>
  <c r="M246" i="7"/>
  <c r="N246" i="7"/>
  <c r="O246" i="7"/>
  <c r="P246" i="7"/>
  <c r="Q246" i="7"/>
  <c r="M247" i="7"/>
  <c r="N247" i="7"/>
  <c r="O247" i="7"/>
  <c r="P247" i="7"/>
  <c r="Q247" i="7"/>
  <c r="M248" i="7"/>
  <c r="N248" i="7"/>
  <c r="O248" i="7"/>
  <c r="P248" i="7"/>
  <c r="Q248" i="7"/>
  <c r="G251" i="7"/>
  <c r="H251" i="7"/>
  <c r="I251" i="7"/>
  <c r="J251" i="7"/>
  <c r="M251" i="7"/>
  <c r="N251" i="7"/>
  <c r="O251" i="7"/>
  <c r="P251" i="7"/>
  <c r="Q251" i="7"/>
  <c r="M252" i="7"/>
  <c r="N252" i="7"/>
  <c r="O252" i="7"/>
  <c r="P252" i="7"/>
  <c r="Q252" i="7"/>
  <c r="M253" i="7"/>
  <c r="N253" i="7"/>
  <c r="O253" i="7"/>
  <c r="P253" i="7"/>
  <c r="Q253" i="7"/>
  <c r="F256" i="7"/>
  <c r="G256" i="7"/>
  <c r="H256" i="7"/>
  <c r="I256" i="7"/>
  <c r="J256" i="7"/>
  <c r="G257" i="7"/>
  <c r="H257" i="7"/>
  <c r="I257" i="7"/>
  <c r="J257" i="7"/>
  <c r="M257" i="7"/>
  <c r="N257" i="7"/>
  <c r="O257" i="7"/>
  <c r="P257" i="7"/>
  <c r="Q257" i="7"/>
  <c r="M258" i="7"/>
  <c r="N258" i="7"/>
  <c r="O258" i="7"/>
  <c r="P258" i="7"/>
  <c r="Q258" i="7"/>
  <c r="M259" i="7"/>
  <c r="N259" i="7"/>
  <c r="O259" i="7"/>
  <c r="P259" i="7"/>
  <c r="Q259" i="7"/>
  <c r="F297" i="7"/>
  <c r="G297" i="7"/>
  <c r="H297" i="7"/>
  <c r="I297" i="7"/>
  <c r="J297" i="7"/>
  <c r="F303" i="7"/>
  <c r="G303" i="7"/>
  <c r="H303" i="7"/>
  <c r="I303" i="7"/>
  <c r="J303" i="7"/>
  <c r="E305" i="7"/>
  <c r="E306" i="7"/>
  <c r="E307" i="7"/>
  <c r="E310" i="7"/>
  <c r="E311" i="7"/>
  <c r="E312" i="7"/>
  <c r="E314" i="7"/>
  <c r="F323" i="7" a="1"/>
  <c r="F323" i="7"/>
  <c r="E337" i="7"/>
  <c r="E340" i="7"/>
  <c r="E346" i="7"/>
  <c r="E348" i="7"/>
  <c r="E352" i="7"/>
  <c r="I352" i="7"/>
  <c r="E353" i="7"/>
  <c r="I353" i="7"/>
  <c r="E354" i="7"/>
  <c r="E358" i="7"/>
  <c r="L358" i="7"/>
  <c r="F369" i="7"/>
  <c r="G369" i="7"/>
  <c r="H369" i="7"/>
  <c r="I369" i="7"/>
  <c r="J369" i="7"/>
  <c r="F370" i="7"/>
  <c r="G370" i="7"/>
  <c r="H370" i="7"/>
  <c r="I370" i="7"/>
  <c r="J370" i="7"/>
  <c r="F372" i="7"/>
  <c r="G372" i="7"/>
  <c r="H372" i="7"/>
  <c r="I372" i="7"/>
  <c r="J372" i="7"/>
  <c r="F374" i="7"/>
  <c r="G374" i="7"/>
  <c r="H374" i="7"/>
  <c r="I374" i="7"/>
  <c r="J374" i="7"/>
  <c r="J426" i="7"/>
  <c r="J427" i="7"/>
  <c r="J429" i="7"/>
  <c r="J432" i="7"/>
  <c r="J433" i="7"/>
  <c r="J434" i="7"/>
  <c r="J436" i="7"/>
  <c r="E441" i="7"/>
  <c r="L441" i="7"/>
  <c r="E448" i="7"/>
  <c r="L448" i="7"/>
  <c r="F463" i="7"/>
  <c r="L463" i="7"/>
  <c r="M463" i="7"/>
  <c r="F466" i="7"/>
  <c r="L466" i="7"/>
  <c r="M466" i="7"/>
  <c r="F468" i="7"/>
  <c r="L468" i="7"/>
  <c r="M468" i="7"/>
  <c r="F470" i="7"/>
  <c r="L470" i="7"/>
  <c r="M470" i="7"/>
  <c r="F471" i="7"/>
  <c r="L471" i="7"/>
  <c r="M471" i="7"/>
  <c r="F472" i="7"/>
  <c r="L472" i="7"/>
  <c r="M472" i="7"/>
  <c r="F474" i="7"/>
  <c r="L474" i="7"/>
  <c r="M474" i="7"/>
  <c r="F476" i="7"/>
  <c r="L476" i="7"/>
  <c r="M476" i="7"/>
  <c r="F477" i="7"/>
  <c r="L477" i="7"/>
  <c r="M477" i="7"/>
  <c r="F478" i="7"/>
  <c r="L478" i="7"/>
  <c r="M478" i="7"/>
  <c r="F479" i="7"/>
  <c r="L479" i="7"/>
  <c r="M479" i="7"/>
  <c r="F482" i="7"/>
  <c r="L482" i="7"/>
  <c r="M482" i="7"/>
  <c r="F483" i="7"/>
  <c r="L483" i="7"/>
  <c r="M483" i="7"/>
  <c r="F486" i="7"/>
  <c r="L486" i="7"/>
  <c r="M486" i="7"/>
  <c r="F487" i="7"/>
  <c r="L487" i="7"/>
  <c r="M48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<sst xmlns="http://schemas.openxmlformats.org/spreadsheetml/2006/main" count="469" uniqueCount="312">
  <si>
    <t>Cash Flow from / (to) Assets (CF(A))</t>
  </si>
  <si>
    <t>Net Change in Cash</t>
  </si>
  <si>
    <t>Net income</t>
  </si>
  <si>
    <t>Cash Flow from / (to) Shareholders (CF(S))</t>
  </si>
  <si>
    <t>Cash Flow from / (to) Creditors (CF(B))</t>
  </si>
  <si>
    <t>Free Cash Flow</t>
  </si>
  <si>
    <t>Investing Cash Flow</t>
  </si>
  <si>
    <t>(Increase) / Decrease in Operating NWC</t>
  </si>
  <si>
    <t>Income tax expense</t>
  </si>
  <si>
    <t>Operating Cash Flow</t>
  </si>
  <si>
    <t>Depreciation and Amortization</t>
  </si>
  <si>
    <t>Other income</t>
  </si>
  <si>
    <t>Revenue</t>
  </si>
  <si>
    <t>Income Statement</t>
  </si>
  <si>
    <t>Common stock</t>
  </si>
  <si>
    <t>Shareholders Equity:</t>
  </si>
  <si>
    <t>Total Liabilities</t>
  </si>
  <si>
    <t>Total Long-term Liabilities</t>
  </si>
  <si>
    <t>Total Current Liabilities</t>
  </si>
  <si>
    <t>Liabilities</t>
  </si>
  <si>
    <t>Total Assets</t>
  </si>
  <si>
    <t>Total Long-term Assets</t>
  </si>
  <si>
    <t>Goodwill</t>
  </si>
  <si>
    <t>Total Current Assets</t>
  </si>
  <si>
    <t>Inventory</t>
  </si>
  <si>
    <t>Assets:</t>
  </si>
  <si>
    <t>YoY Change</t>
  </si>
  <si>
    <t>Balance Sheet</t>
  </si>
  <si>
    <t>Deferred Tax Liabilities</t>
  </si>
  <si>
    <t>Receivables</t>
  </si>
  <si>
    <t>Gross Profit</t>
  </si>
  <si>
    <t>Selling, General, &amp; Administrative</t>
  </si>
  <si>
    <t>Operating Income</t>
  </si>
  <si>
    <t>Earnings before Interest and Taxes</t>
  </si>
  <si>
    <t>Income Tax Expense</t>
  </si>
  <si>
    <t>Net Income</t>
  </si>
  <si>
    <t>Cash</t>
  </si>
  <si>
    <t>Net Property, Plant &amp; Equipment</t>
  </si>
  <si>
    <t>Other Assets</t>
  </si>
  <si>
    <t>Accounts Payable</t>
  </si>
  <si>
    <t>Short-term Debt</t>
  </si>
  <si>
    <t>Long-term Debt</t>
  </si>
  <si>
    <t>Additional Paid-in Capital</t>
  </si>
  <si>
    <t>Retained Earnings</t>
  </si>
  <si>
    <t>Treasury Stock</t>
  </si>
  <si>
    <t>Less: Cash Taxes Paid</t>
  </si>
  <si>
    <t>Cash Taxes Paid</t>
  </si>
  <si>
    <t xml:space="preserve">YoY Change in Deferred Tax Liabilities </t>
  </si>
  <si>
    <t>Operating Net Working Capital Adjustment</t>
  </si>
  <si>
    <t>Operating Net Working Capital</t>
  </si>
  <si>
    <t>Changes in Long-term Assets:</t>
  </si>
  <si>
    <t>Total Investments in Long-term Assets</t>
  </si>
  <si>
    <t>Dividends Paid</t>
  </si>
  <si>
    <t xml:space="preserve">Less: Change in Retained Earnings </t>
  </si>
  <si>
    <t>Check: CF(A)+CF(B)+CF(S)=0</t>
  </si>
  <si>
    <t>Long-term Investments</t>
  </si>
  <si>
    <t>Total Current Assets Less Cash</t>
  </si>
  <si>
    <t>Less: Total Current Liabilities Less Short-term Debt</t>
  </si>
  <si>
    <t>Plus: Depreciation and Amortization</t>
  </si>
  <si>
    <t>Forecast</t>
  </si>
  <si>
    <t>Change in Operating Net Working Capital</t>
  </si>
  <si>
    <t>Issued / (Retired) Short-term Debt</t>
  </si>
  <si>
    <t>Issued / (Retired) Long-term Debt</t>
  </si>
  <si>
    <t>Less: Net Change in Cash</t>
  </si>
  <si>
    <t>Financial Cash Flows</t>
  </si>
  <si>
    <t>Projection Assumptions/Drivers</t>
  </si>
  <si>
    <t>x</t>
  </si>
  <si>
    <t>Revenue Growth</t>
  </si>
  <si>
    <t>Dividends Payout Ratio (% of Net Income)</t>
  </si>
  <si>
    <t>Income Tax Expense (as % of Earnings before Taxes)</t>
  </si>
  <si>
    <t>Historical</t>
  </si>
  <si>
    <t>US$ in millions, unless otherwise stated</t>
  </si>
  <si>
    <t>Cost of Goods Sold (COGS)</t>
  </si>
  <si>
    <t>Receivables (% of Revenue)</t>
  </si>
  <si>
    <t>Inventory (% of Revenue)</t>
  </si>
  <si>
    <t>Other Current Assets (% of Revenue)</t>
  </si>
  <si>
    <t>Net Property, Plant &amp; Equipment (% of Revenue)</t>
  </si>
  <si>
    <t>Long-term Investments (% of Revenue)</t>
  </si>
  <si>
    <t>Goodwill (% of Revenue)</t>
  </si>
  <si>
    <t>Other Assets (% of Revenue)</t>
  </si>
  <si>
    <t>Accounts Payable (% of Revenue)</t>
  </si>
  <si>
    <t>Other Current Liabilities (% of Revenue)</t>
  </si>
  <si>
    <t>Selling, General, &amp; Administrative (% of Revenue)</t>
  </si>
  <si>
    <t>Depreciation and Amortization (% of Revenue)</t>
  </si>
  <si>
    <t>Other income (% of Revenue)</t>
  </si>
  <si>
    <t>Base</t>
  </si>
  <si>
    <t>Upside</t>
  </si>
  <si>
    <t>Debt Paydown Waterfall</t>
  </si>
  <si>
    <t>Beginning Balance</t>
  </si>
  <si>
    <t>Short-term Debt:</t>
  </si>
  <si>
    <t>Ending Balance</t>
  </si>
  <si>
    <t>Issuance</t>
  </si>
  <si>
    <t>(Retirement)</t>
  </si>
  <si>
    <t>Average Balance</t>
  </si>
  <si>
    <t>Interest Rate</t>
  </si>
  <si>
    <t>Long-term Debt:</t>
  </si>
  <si>
    <t>Interest Income</t>
  </si>
  <si>
    <t>Net Interest Income / (Expense)</t>
  </si>
  <si>
    <t>Cash Added to Balance Sheet</t>
  </si>
  <si>
    <t>Deferred Tax Liabilities (% of Revenue)</t>
  </si>
  <si>
    <t>Other Assets (Intangibles)</t>
  </si>
  <si>
    <t>Repurchased Shares (Change in Treasury Stock)</t>
  </si>
  <si>
    <t>Cost of Goods Sold (% of Revenue)</t>
  </si>
  <si>
    <t>Free Cash Flow (FCF)</t>
  </si>
  <si>
    <t>Earnings before Taxes - Taxable Income</t>
  </si>
  <si>
    <t>Unlevered Free Cash Flow</t>
  </si>
  <si>
    <t>Issued Equity (Change Comm Stock + Add PIC)</t>
  </si>
  <si>
    <t>Dividends Paid (NI * Div Payout Ratio in 2021 onward)</t>
  </si>
  <si>
    <t>Other Current Liabilities (Def Rev)</t>
  </si>
  <si>
    <t>Total Equity</t>
  </si>
  <si>
    <t>Other Current Assets (Prepaid Exp)</t>
  </si>
  <si>
    <t>Check: Net Change in Cash = Change in BS Cash</t>
  </si>
  <si>
    <t>LIBOR (London Inter-bank Offered Rate) (L)</t>
  </si>
  <si>
    <t>SOFR (Secured Overnight Financing Rate) (S)</t>
  </si>
  <si>
    <t>FCF for Discretionary Debt Retirement / (Issuance)</t>
  </si>
  <si>
    <t>Interest (Expense)</t>
  </si>
  <si>
    <t>Average Balance (beginning and ending)</t>
  </si>
  <si>
    <t>Multiple</t>
  </si>
  <si>
    <t>Discounted Cash Flow (DCF) Analysis</t>
  </si>
  <si>
    <t>Year Fraction (# Years to Discount to Valuation Date)</t>
  </si>
  <si>
    <t>Implied Enterprise Value</t>
  </si>
  <si>
    <t>Implied Market Value of Equity</t>
  </si>
  <si>
    <t>Implied Equity Value per Share</t>
  </si>
  <si>
    <t>Actual Equity Value per Share</t>
  </si>
  <si>
    <t>Weighted Average Cost of Capital (WACC)</t>
  </si>
  <si>
    <t>Cost of Equity (Capital Asset Pricing Model - CAPM)</t>
  </si>
  <si>
    <t>Expected Return on Market</t>
  </si>
  <si>
    <t>Risk Free Rate</t>
  </si>
  <si>
    <t>Cost of Equity</t>
  </si>
  <si>
    <t>Pre-tax Cost of Debt</t>
  </si>
  <si>
    <t>Illustrative Target Capital Structure</t>
  </si>
  <si>
    <t>% of Equity</t>
  </si>
  <si>
    <t>% of Debt</t>
  </si>
  <si>
    <t>WACC</t>
  </si>
  <si>
    <t>Terminal Value</t>
  </si>
  <si>
    <t>Perpetual Growth Rate</t>
  </si>
  <si>
    <t>Terminal Value (Gordon Growth Method)</t>
  </si>
  <si>
    <t>Discounted Terminal Value</t>
  </si>
  <si>
    <t>Fully-Diluted Shares Outstanding (in millions)</t>
  </si>
  <si>
    <t>Basic Shares Outstanding</t>
  </si>
  <si>
    <t>Restricted Stock Units (RSUs)</t>
  </si>
  <si>
    <t>Ratio Analysis</t>
  </si>
  <si>
    <t>Leverage for Credit Analysis:</t>
  </si>
  <si>
    <t>Cash Coverage (EBITDA/Interest)</t>
  </si>
  <si>
    <t>Leverage Ratio (Total Debt/EBITDA)</t>
  </si>
  <si>
    <t>Profitability Measures:</t>
  </si>
  <si>
    <t>Profit Margins (EBIT or EBITDA / Revenue)</t>
  </si>
  <si>
    <t>EBIT Margin</t>
  </si>
  <si>
    <t>EBITDA Margin</t>
  </si>
  <si>
    <t>Asset Management and Turnover Measures:</t>
  </si>
  <si>
    <t>Days</t>
  </si>
  <si>
    <t>Days' Revenue in Inventory</t>
  </si>
  <si>
    <t>Days' Revenue in Receivables</t>
  </si>
  <si>
    <t>Days' Revenue in Accounts Payable</t>
  </si>
  <si>
    <t>EBITDA</t>
  </si>
  <si>
    <t>WACC (Discount Rate)</t>
  </si>
  <si>
    <t>Cumulative Discounted FCFs</t>
  </si>
  <si>
    <t>(+) Discounted Terminal Value</t>
  </si>
  <si>
    <t>Less: Total Debt</t>
  </si>
  <si>
    <t>Plus: Cash</t>
  </si>
  <si>
    <t>Divided by: Fully-Diluted Shares Outstanding</t>
  </si>
  <si>
    <t>Implied Premium / (Discount)</t>
  </si>
  <si>
    <t>Market Risk Premium</t>
  </si>
  <si>
    <t>(x) Beta - Correlation between your stock and the market</t>
  </si>
  <si>
    <t>Firm Risk Premium</t>
  </si>
  <si>
    <t>Terminal FCF</t>
  </si>
  <si>
    <t>Terminal Value (Multiple Method)</t>
  </si>
  <si>
    <t>Inventory Turnover</t>
  </si>
  <si>
    <t>COGS</t>
  </si>
  <si>
    <t>Receivables Turnover</t>
  </si>
  <si>
    <t>Accounts Payable Turnover</t>
  </si>
  <si>
    <t>Discounted FCF as of 2020</t>
  </si>
  <si>
    <t>Free Cash Flow (FCF) - Available to All Stakeholders (Debt+Equity)</t>
  </si>
  <si>
    <t>Active</t>
  </si>
  <si>
    <t>Actual $</t>
  </si>
  <si>
    <t>Actual %</t>
  </si>
  <si>
    <t>Stock Options Outstanding</t>
  </si>
  <si>
    <t>Fully-Dil.</t>
  </si>
  <si>
    <t>Outstanding</t>
  </si>
  <si>
    <t>Strike Price</t>
  </si>
  <si>
    <t>Discount Factor - denominator of the PV formula</t>
  </si>
  <si>
    <t>EBITDA (Earnings Before Interest, Taxes, Depreciation, Amortization)</t>
  </si>
  <si>
    <t>Mid-Year</t>
  </si>
  <si>
    <t>Valuation Date</t>
  </si>
  <si>
    <t>Equity</t>
  </si>
  <si>
    <t>of</t>
  </si>
  <si>
    <t>Short Term</t>
  </si>
  <si>
    <t>Long Term</t>
  </si>
  <si>
    <t>Int Rate</t>
  </si>
  <si>
    <t>2020 Balance</t>
  </si>
  <si>
    <t>Total</t>
  </si>
  <si>
    <t>(x) Terminal EV/EBITDA Multiple</t>
  </si>
  <si>
    <t>Leveraged Buyout Transaction Summary</t>
  </si>
  <si>
    <t>Entry</t>
  </si>
  <si>
    <t>Exit</t>
  </si>
  <si>
    <t>Enterprise Value</t>
  </si>
  <si>
    <t>x EBITDA</t>
  </si>
  <si>
    <t>Private Equity Firm's Equity</t>
  </si>
  <si>
    <t>IRR of Private Equity Firm's Equity</t>
  </si>
  <si>
    <t>Entry Multiple</t>
  </si>
  <si>
    <t>Leverage</t>
  </si>
  <si>
    <t>Implied IRR of Private Equity Firm's Equity</t>
  </si>
  <si>
    <t>What does the IRR of Private Equity Firm's Equity need to be greater than or equal to for them to accept the deal?</t>
  </si>
  <si>
    <t>·         Assume that the deal closes on 12/31/2020, and the private equity firm would sell the Company on 12/31/2025 (exactly five years after the purchase)</t>
  </si>
  <si>
    <t xml:space="preserve">          multiplied by the Company’s 2020 EBITDA</t>
  </si>
  <si>
    <t>·         Equity: the rest of the purchase price will be funded with equity</t>
  </si>
  <si>
    <t>·         Exit Multiple: assume equal to the Entry Multiple, meaning they would sell the Company for this multiple multiplied by the Company’s 2025 EBITDA</t>
  </si>
  <si>
    <t>·         Entry Multiple: see DCF, based on comparable company analysis – use EV/EBITDA multiple, assuming that our purchase price would be this multiple</t>
  </si>
  <si>
    <t>Cash-to-cash cycle time / cash conversion cycle (CCC)</t>
  </si>
  <si>
    <t>Proceeds</t>
  </si>
  <si>
    <t>Exercise</t>
  </si>
  <si>
    <t>Interest Expense Paid (Excl. Interest Income)</t>
  </si>
  <si>
    <t>Total Debt (ST, LT, Leases)</t>
  </si>
  <si>
    <t>Weighted</t>
  </si>
  <si>
    <t>Shares</t>
  </si>
  <si>
    <t>Repurchased</t>
  </si>
  <si>
    <t>EBIT</t>
  </si>
  <si>
    <t>Total Debt</t>
  </si>
  <si>
    <t>Pre-LBO</t>
  </si>
  <si>
    <t>% Total</t>
  </si>
  <si>
    <t>LBO</t>
  </si>
  <si>
    <t>Leverage Step</t>
  </si>
  <si>
    <t>Multiple Step</t>
  </si>
  <si>
    <t>I have neither given nor received unauthorized assistance on this assignment.</t>
  </si>
  <si>
    <t>Write Virginia Tech Honor Code Pledge Here:</t>
  </si>
  <si>
    <t>Sign Full Name Here:</t>
  </si>
  <si>
    <t>Read the information provided to complete the analyis. Read all instructions and text descriptions of the cell for guidance.</t>
  </si>
  <si>
    <t>To receive full credit, must complete ALL LIGHT BLUE highlighted cells using references/formulas</t>
  </si>
  <si>
    <t>Cannot just be a number/hardcoded without work unless stated explicity in instructions or in the text description of the cell.</t>
  </si>
  <si>
    <t>Case Selector (Hardcode and Submit = 1)</t>
  </si>
  <si>
    <t>Circularity Switch (Hardcode and Submit = 1)</t>
  </si>
  <si>
    <t>Include Circ Switch (IF)</t>
  </si>
  <si>
    <t>Amount</t>
  </si>
  <si>
    <t>Incremental Debt Used in LBO:</t>
  </si>
  <si>
    <t>Use provided Multiple of Base Case</t>
  </si>
  <si>
    <t>Set Active=Actual %</t>
  </si>
  <si>
    <t>%</t>
  </si>
  <si>
    <t>Use IFERROR(Enter Formula,"NM") here</t>
  </si>
  <si>
    <t>·         Leverage: assume the private equity firm can finance the purchase price with debt equivalent to the current debt Pre-LBO</t>
  </si>
  <si>
    <t>Output: Financial Case Comparison of Key Metrics</t>
  </si>
  <si>
    <t>Delta vs. Active Case</t>
  </si>
  <si>
    <t>Income Statement (2021-2025 Compound Annual Growth Rate)</t>
  </si>
  <si>
    <t>Cash Flow Statement (2021-2025 Cumulative Cash Flows)</t>
  </si>
  <si>
    <t>DCF</t>
  </si>
  <si>
    <t>Tax Rate - use 2020 tax rate</t>
  </si>
  <si>
    <t>Case Comparison</t>
  </si>
  <si>
    <t>Beta</t>
  </si>
  <si>
    <t>Calculate 2020 driver; set 2021-25 = 2020 driver</t>
  </si>
  <si>
    <t>Active Case (Use Offset, Submit on Base)</t>
  </si>
  <si>
    <t>Assume Coverage Increases, did credit risk improve=1 or worsen=0?</t>
  </si>
  <si>
    <t>Assume Leverage Decreases, did credit risk improve=1 or worsen=0?</t>
  </si>
  <si>
    <t>DO NOT DELETE/ADD ROWS/COLUMNS OR MOVE THE BLUE CELLS!</t>
  </si>
  <si>
    <t>Hardcode</t>
  </si>
  <si>
    <t>Hardcode. Assume perspective of credit rating agency</t>
  </si>
  <si>
    <t>Open notes + open book. Honor Code in effect. Do NOT copy between files. Screeners will notice and flag.</t>
  </si>
  <si>
    <t>Fin Modeling Co. LLC</t>
  </si>
  <si>
    <t>·         The Private Equity firm's IRR Threshold is 20% - they will not accept deals that have less than a 20% IRR</t>
  </si>
  <si>
    <t>Minimum</t>
  </si>
  <si>
    <t>Maximum</t>
  </si>
  <si>
    <t>Average</t>
  </si>
  <si>
    <t>Use excel FUNCTIONS to calculate the different metrics for the companies</t>
  </si>
  <si>
    <t>Median</t>
  </si>
  <si>
    <t>EMR</t>
  </si>
  <si>
    <t>DOV</t>
  </si>
  <si>
    <t>ETN</t>
  </si>
  <si>
    <t>You will need to concatenate</t>
  </si>
  <si>
    <t>RTX</t>
  </si>
  <si>
    <t>You should not change the Tickers</t>
  </si>
  <si>
    <t>HON</t>
  </si>
  <si>
    <t>Use indirect function appropriately to reference the correct information for each column for each of the tickers from the given Company Blue Sheets</t>
  </si>
  <si>
    <t>GE</t>
  </si>
  <si>
    <t>EV/EBITDA</t>
  </si>
  <si>
    <t>EV/Revenue</t>
  </si>
  <si>
    <t>Forward P/E</t>
  </si>
  <si>
    <t>Enterprise Value (EV)</t>
  </si>
  <si>
    <t>Market Capitalization</t>
  </si>
  <si>
    <t>Share Price</t>
  </si>
  <si>
    <t>Company</t>
  </si>
  <si>
    <t>Ticker</t>
  </si>
  <si>
    <t>(USD in billions, except per share values)</t>
  </si>
  <si>
    <t>Pricing Date</t>
  </si>
  <si>
    <t>Enter the column+row cell references for the column headers below. You should not include ! in these cells.</t>
  </si>
  <si>
    <t>Instructions</t>
  </si>
  <si>
    <t>Indirect: Read Instruction to the right to complete the comparable company analysis for large industrial companies. =======&gt;</t>
  </si>
  <si>
    <t>https://finance.yahoo.com/quote/GE/key-statistics?p=GE#eyJpbnRlcnZhbCI6ImRheSIsInBlcmlvZGljaXR5IjoxLCJ0aW1lVW5pdCI6bnVsbCwiY2FuZGxlV2lkdGgiOjgsImZsaXBwZWQiOmZhbHNlLCJ2b2x1bWVVbmRlcmxheSI6dHJ1ZSwiYWRqIjp0cnVlLCJjcm9zc2hhaXIiOnRydWUsImNoYXJ0VHlwZSI6ImxpbmUiLCJleHRlbmRlZCI6ZmFsc2UsIm1hcmtldFNlc3Npb25zIjp7fSwiYWdncmVnYXRpb25UeXBlIjoib2hsYyIsImNoYXJ0U2NhbGUiOiJsaW5lYXIiLCJzdHVkaWVzIjp7IuKAjHZvbCB1bmRy4oCMIjp7InR5cGUiOiJ2b2wgdW5kciIsImlucHV0cyI6eyJpZCI6IuKAjHZvbCB1bmRy4oCMIiwiZGlzcGxheSI6IuKAjHZvbCB1bmRy4oCMIn0sIm91dHB1dHMiOnsiVXAgVm9sdW1lIjoiIzAwYjA2MSIsIkRvd24gVm9sdW1lIjoiI2ZmMzMzYSJ9LCJwYW5lbCI6ImNoYXJ0IiwicGFyYW1ldGVycyI6eyJ3aWR0aEZhY3RvciI6MC40NSwiY2hhcnROYW1lIjoiY2hhcnQifX19LCJwYW5lbHMiOnsiY2hhcnQiOnsicGVyY2VudCI6MSwiZGlzcGxheSI6IkdFIiwiY2hhcnROYW1lIjoiY2hhcnQiLCJpbmRleCI6MCwieUF4aXMiOnsibmFtZSI6ImNoYXJ0IiwicG9zaXRpb24iOm51bGx9LCJ5YXhpc0xIUyI6W10sInlheGlzUkhTIjpbImNoYXJ0Iiwi4oCMdm9sIHVuZHLigIwiXX19LCJzZXRTcGFuIjp7fSwibGluZVdpZHRoIjoyLCJzdHJpcGVkQmFja2dyb3VuZCI6dHJ1ZSwiZXZlbnRzIjp0cnVlLCJjb2xvciI6IiMwMDgxZjIiLCJzdHJpcGVkQmFja2dyb3VkIjp0cnVlLCJldmVudE1hcCI6eyJjb3Jwb3JhdGUiOnsiZGl2cyI6dHJ1ZSwic3BsaXRzIjp0cnVlfSwic2lnRGV2Ijp7fX0sInN5bWJvbHMiOlt7InN5bWJvbCI6IkdFIiwic3ltYm9sT2JqZWN0Ijp7InN5bWJvbCI6IkdFIiwicXVvdGVUeXBlIjoiRVFVSVRZIiwiZXhjaGFuZ2VUaW1lWm9uZSI6IkFtZXJpY2EvTmV3X1lvcmsifSwicGVyaW9kaWNpdHkiOjEsImludGVydmFsIjoiZGF5IiwidGltZVVuaXQiOm51bGwsInNldFNwYW4iOnt9fV19</t>
  </si>
  <si>
    <t>Source:</t>
  </si>
  <si>
    <t>Enterprise Value/EBITDA</t>
  </si>
  <si>
    <t>Enterprise Value/Revenue</t>
  </si>
  <si>
    <t>Market Cap</t>
  </si>
  <si>
    <t>General Electric Company</t>
  </si>
  <si>
    <t>Instructions: Do not change anything on this sheet. Only use this sheet to complete the Indirect sheet.</t>
  </si>
  <si>
    <t>https://finance.yahoo.com/quote/HON/key-statistics?p=HON</t>
  </si>
  <si>
    <t>Honeywell International Inc.</t>
  </si>
  <si>
    <t>https://finance.yahoo.com/quote/RTX/key-statistics?p=RTX</t>
  </si>
  <si>
    <t>Raytheon Technologies Corporation</t>
  </si>
  <si>
    <t>https://finance.yahoo.com/quote/ETN/key-statistics?p=ETN</t>
  </si>
  <si>
    <t>Eaton Corporation plc</t>
  </si>
  <si>
    <t>https://finance.yahoo.com/quote/DOV/key-statistics?p=DOV</t>
  </si>
  <si>
    <t>Dover Corporation</t>
  </si>
  <si>
    <t>https://finance.yahoo.com/quote/EMR/key-statistics?p=EMR</t>
  </si>
  <si>
    <t>Emerson Electric Co.</t>
  </si>
  <si>
    <t>You work in corporate development, and your CFO asks you to analyze a potential sale to a Private Equity firm, providing the following guidance:</t>
  </si>
  <si>
    <t>Assume Implied &lt; Actual, Should you Buy=1 or Sell=0?</t>
  </si>
  <si>
    <t>David Corcoran</t>
  </si>
  <si>
    <t>C7</t>
  </si>
  <si>
    <t>C8</t>
  </si>
  <si>
    <t>C9</t>
  </si>
  <si>
    <t>C10</t>
  </si>
  <si>
    <t>C11</t>
  </si>
  <si>
    <t>C5</t>
  </si>
  <si>
    <t>C6</t>
  </si>
  <si>
    <t>If file locked up: Formulas -&gt; Error Checking Dropwdown -&gt; Circular Reference -&gt; Then Fix Formulas or Cell Reference -&gt; Turn off circ switch -&gt; Turn off iterations (file options formulas iterations) -&gt; Reset circ switch -&gt; Turn on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</si>
</sst>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_);\(&quot;$&quot;#,##0\);\–_);&quot;–&quot;_)"/>
    <numFmt numFmtId="165" formatCode="0.0%_);\(0.0%\);&quot;–&quot;_)"/>
    <numFmt numFmtId="166" formatCode="&quot;$&quot;#,##0.0_);\(&quot;$&quot;#,##0.0\);\–_);&quot;–&quot;_)"/>
    <numFmt numFmtId="167" formatCode="\L\+0.00%"/>
    <numFmt numFmtId="168" formatCode="0.00%_);\(0.00%\);&quot;–&quot;_)"/>
    <numFmt numFmtId="169" formatCode="&quot;S&quot;\+0.00%"/>
    <numFmt numFmtId="170" formatCode="&quot;$&quot;#,##0.00_);\(&quot;$&quot;#,##0.00\);\–_);&quot;–&quot;_)"/>
    <numFmt numFmtId="171" formatCode="0.0\x_);\(0.0\x\);&quot;–&quot;_)"/>
    <numFmt numFmtId="172" formatCode="#,##0_);\(#,##0\);\–_);&quot;–&quot;_)"/>
    <numFmt numFmtId="173" formatCode="#,##0.0_);\(#,##0.0\);\–_);&quot;–&quot;_)"/>
    <numFmt numFmtId="174" formatCode="#,##0.00_);\(#,##0.00\);\–_);&quot;–&quot;_)"/>
    <numFmt numFmtId="175" formatCode="m/d/yy;@"/>
    <numFmt numFmtId="176" formatCode="0.00\x_);\(0.00\x\);&quot;–&quot;_)"/>
    <numFmt numFmtId="177" formatCode="0.0%"/>
    <numFmt numFmtId="178" formatCode="_(#,##0.00_)_%;_(\(#,##0.00\)_%;_(&quot;–&quot;_)_%;@_(_%"/>
    <numFmt numFmtId="179" formatCode="0.00_);\(0.00\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 val="singleAccounting"/>
      <sz val="14"/>
      <color theme="1"/>
      <name val="Times New Roman"/>
      <family val="1"/>
    </font>
    <font>
      <u val="singleAccounting"/>
      <sz val="14"/>
      <color theme="1"/>
      <name val="Times New Roman"/>
      <family val="1"/>
    </font>
    <font>
      <b/>
      <sz val="14"/>
      <color rgb="FF0000FF"/>
      <name val="Times New Roman"/>
      <family val="1"/>
    </font>
    <font>
      <b/>
      <sz val="14"/>
      <color rgb="FF000000"/>
      <name val="Times New Roman"/>
      <family val="1"/>
    </font>
    <font>
      <b/>
      <u/>
      <sz val="14"/>
      <color theme="1"/>
      <name val="Times New Roman"/>
      <family val="1"/>
    </font>
    <font>
      <sz val="14"/>
      <color rgb="FF0000FF"/>
      <name val="Times New Roman"/>
      <family val="1"/>
    </font>
    <font>
      <sz val="14"/>
      <color rgb="FF000000"/>
      <name val="Times New Roman"/>
      <family val="1"/>
    </font>
    <font>
      <sz val="14"/>
      <color rgb="FF800080"/>
      <name val="Times New Roman"/>
      <family val="1"/>
    </font>
    <font>
      <i/>
      <sz val="14"/>
      <color theme="1"/>
      <name val="Times New Roman"/>
      <family val="1"/>
    </font>
    <font>
      <b/>
      <sz val="14"/>
      <color rgb="FF800080"/>
      <name val="Times New Roman"/>
      <family val="1"/>
    </font>
    <font>
      <u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1"/>
      <color rgb="FFFF0000"/>
      <name val="Times New Roman"/>
      <family val="1"/>
    </font>
    <font>
      <u/>
      <sz val="12"/>
      <color rgb="FFFF0000"/>
      <name val="Times New Roman"/>
      <family val="1"/>
    </font>
    <font>
      <sz val="16"/>
      <color theme="1"/>
      <name val="Arial"/>
      <family val="2"/>
    </font>
    <font>
      <i/>
      <sz val="14"/>
      <color rgb="FF000000"/>
      <name val="Times New Roman"/>
      <family val="1"/>
    </font>
    <font>
      <sz val="14"/>
      <color rgb="FFFF0000"/>
      <name val="Calibri"/>
      <family val="2"/>
      <scheme val="minor"/>
    </font>
    <font>
      <sz val="14"/>
      <color rgb="FF2D3B45"/>
      <name val="Times New Roman"/>
      <family val="1"/>
    </font>
    <font>
      <sz val="14"/>
      <color theme="0"/>
      <name val="Times New Roman"/>
      <family val="1"/>
    </font>
    <font>
      <b/>
      <i/>
      <sz val="16"/>
      <color rgb="FFFF0000"/>
      <name val="Times New Roman"/>
      <family val="1"/>
    </font>
    <font>
      <sz val="20"/>
      <color theme="1"/>
      <name val="Calibri"/>
      <family val="2"/>
      <scheme val="minor"/>
    </font>
    <font>
      <sz val="14"/>
      <color theme="1"/>
      <name val="Arial Narrow"/>
      <family val="2"/>
    </font>
    <font>
      <sz val="14"/>
      <color rgb="FF000000"/>
      <name val="Arial Narrow"/>
      <family val="2"/>
    </font>
    <font>
      <sz val="14"/>
      <color rgb="FFFF0000"/>
      <name val="Arial Narrow"/>
      <family val="2"/>
    </font>
    <font>
      <sz val="14"/>
      <color rgb="FF008000"/>
      <name val="Arial Narrow"/>
      <family val="2"/>
    </font>
    <font>
      <sz val="14"/>
      <color rgb="FF0000FF"/>
      <name val="Arial Narrow"/>
      <family val="2"/>
    </font>
    <font>
      <i/>
      <sz val="14"/>
      <color theme="1"/>
      <name val="Arial Narrow"/>
      <family val="2"/>
    </font>
    <font>
      <b/>
      <sz val="14"/>
      <color rgb="FFFF0000"/>
      <name val="Arial Narrow"/>
      <family val="2"/>
    </font>
    <font>
      <b/>
      <i/>
      <u/>
      <sz val="14"/>
      <color rgb="FFFF0000"/>
      <name val="Arial Narrow"/>
      <family val="2"/>
    </font>
    <font>
      <sz val="12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BB16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6" fillId="0" borderId="0"/>
  </cellStyleXfs>
  <cellXfs count="319">
    <xf numFmtId="0" fontId="0" fillId="0" borderId="0" xfId="0"/>
    <xf numFmtId="0" fontId="2" fillId="0" borderId="3" xfId="0" applyFont="1" applyBorder="1"/>
    <xf numFmtId="0" fontId="3" fillId="0" borderId="3" xfId="0" applyFont="1" applyBorder="1"/>
    <xf numFmtId="0" fontId="4" fillId="0" borderId="0" xfId="0" applyFont="1"/>
    <xf numFmtId="0" fontId="5" fillId="0" borderId="3" xfId="0" applyFont="1" applyBorder="1"/>
    <xf numFmtId="0" fontId="4" fillId="0" borderId="3" xfId="0" applyFont="1" applyBorder="1"/>
    <xf numFmtId="0" fontId="4" fillId="0" borderId="0" xfId="0" applyFont="1" applyProtection="1"/>
    <xf numFmtId="0" fontId="5" fillId="0" borderId="0" xfId="0" applyFont="1"/>
    <xf numFmtId="0" fontId="6" fillId="0" borderId="0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5" fillId="0" borderId="0" xfId="0" applyFont="1" applyBorder="1"/>
    <xf numFmtId="14" fontId="8" fillId="0" borderId="0" xfId="0" applyNumberFormat="1" applyFont="1" applyBorder="1"/>
    <xf numFmtId="0" fontId="4" fillId="0" borderId="0" xfId="0" applyFont="1" applyBorder="1"/>
    <xf numFmtId="0" fontId="10" fillId="0" borderId="0" xfId="0" applyFont="1"/>
    <xf numFmtId="14" fontId="5" fillId="0" borderId="0" xfId="0" applyNumberFormat="1" applyFont="1"/>
    <xf numFmtId="164" fontId="5" fillId="0" borderId="0" xfId="0" applyNumberFormat="1" applyFont="1"/>
    <xf numFmtId="164" fontId="11" fillId="0" borderId="0" xfId="1" applyNumberFormat="1" applyFont="1" applyFill="1" applyBorder="1"/>
    <xf numFmtId="164" fontId="12" fillId="0" borderId="0" xfId="1" applyNumberFormat="1" applyFont="1" applyFill="1" applyBorder="1"/>
    <xf numFmtId="164" fontId="11" fillId="0" borderId="0" xfId="1" applyNumberFormat="1" applyFont="1"/>
    <xf numFmtId="164" fontId="12" fillId="0" borderId="0" xfId="1" applyNumberFormat="1" applyFont="1"/>
    <xf numFmtId="164" fontId="11" fillId="0" borderId="0" xfId="1" applyNumberFormat="1" applyFont="1" applyBorder="1"/>
    <xf numFmtId="0" fontId="4" fillId="2" borderId="1" xfId="0" applyFont="1" applyFill="1" applyBorder="1"/>
    <xf numFmtId="164" fontId="12" fillId="2" borderId="1" xfId="0" applyNumberFormat="1" applyFont="1" applyFill="1" applyBorder="1" applyAlignment="1">
      <alignment horizontal="right"/>
    </xf>
    <xf numFmtId="166" fontId="4" fillId="0" borderId="0" xfId="1" applyNumberFormat="1" applyFont="1"/>
    <xf numFmtId="166" fontId="12" fillId="0" borderId="0" xfId="1" applyNumberFormat="1" applyFont="1"/>
    <xf numFmtId="0" fontId="4" fillId="3" borderId="2" xfId="0" applyFont="1" applyFill="1" applyBorder="1"/>
    <xf numFmtId="164" fontId="12" fillId="3" borderId="2" xfId="0" applyNumberFormat="1" applyFont="1" applyFill="1" applyBorder="1" applyAlignment="1">
      <alignment horizontal="right"/>
    </xf>
    <xf numFmtId="166" fontId="4" fillId="0" borderId="0" xfId="0" applyNumberFormat="1" applyFont="1"/>
    <xf numFmtId="164" fontId="11" fillId="0" borderId="0" xfId="0" applyNumberFormat="1" applyFont="1"/>
    <xf numFmtId="164" fontId="11" fillId="0" borderId="0" xfId="1" applyNumberFormat="1" applyFont="1" applyFill="1"/>
    <xf numFmtId="164" fontId="12" fillId="0" borderId="0" xfId="1" applyNumberFormat="1" applyFont="1" applyFill="1"/>
    <xf numFmtId="0" fontId="4" fillId="3" borderId="1" xfId="0" applyFont="1" applyFill="1" applyBorder="1"/>
    <xf numFmtId="164" fontId="12" fillId="3" borderId="1" xfId="0" applyNumberFormat="1" applyFont="1" applyFill="1" applyBorder="1" applyAlignment="1">
      <alignment horizontal="right"/>
    </xf>
    <xf numFmtId="166" fontId="12" fillId="0" borderId="0" xfId="0" applyNumberFormat="1" applyFont="1"/>
    <xf numFmtId="0" fontId="4" fillId="4" borderId="2" xfId="0" applyFont="1" applyFill="1" applyBorder="1"/>
    <xf numFmtId="164" fontId="12" fillId="4" borderId="2" xfId="0" applyNumberFormat="1" applyFont="1" applyFill="1" applyBorder="1" applyAlignment="1">
      <alignment horizontal="right"/>
    </xf>
    <xf numFmtId="0" fontId="14" fillId="0" borderId="0" xfId="0" applyFont="1"/>
    <xf numFmtId="166" fontId="14" fillId="0" borderId="0" xfId="0" applyNumberFormat="1" applyFont="1"/>
    <xf numFmtId="166" fontId="4" fillId="0" borderId="0" xfId="0" applyNumberFormat="1" applyFont="1" applyBorder="1"/>
    <xf numFmtId="0" fontId="4" fillId="0" borderId="4" xfId="0" applyFont="1" applyFill="1" applyBorder="1"/>
    <xf numFmtId="166" fontId="4" fillId="0" borderId="4" xfId="0" applyNumberFormat="1" applyFont="1" applyFill="1" applyBorder="1"/>
    <xf numFmtId="164" fontId="12" fillId="0" borderId="4" xfId="1" applyNumberFormat="1" applyFont="1" applyFill="1" applyBorder="1"/>
    <xf numFmtId="164" fontId="4" fillId="0" borderId="4" xfId="0" applyNumberFormat="1" applyFont="1" applyFill="1" applyBorder="1"/>
    <xf numFmtId="14" fontId="15" fillId="0" borderId="0" xfId="0" applyNumberFormat="1" applyFont="1" applyBorder="1" applyAlignment="1">
      <alignment horizontal="right" vertical="center"/>
    </xf>
    <xf numFmtId="0" fontId="16" fillId="0" borderId="0" xfId="0" applyFont="1"/>
    <xf numFmtId="164" fontId="4" fillId="0" borderId="0" xfId="0" applyNumberFormat="1" applyFont="1"/>
    <xf numFmtId="0" fontId="4" fillId="0" borderId="1" xfId="0" applyFont="1" applyBorder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4" fontId="13" fillId="5" borderId="0" xfId="0" applyNumberFormat="1" applyFont="1" applyFill="1"/>
    <xf numFmtId="165" fontId="4" fillId="0" borderId="0" xfId="0" applyNumberFormat="1" applyFont="1"/>
    <xf numFmtId="0" fontId="4" fillId="0" borderId="0" xfId="0" applyFont="1" applyAlignment="1">
      <alignment wrapText="1"/>
    </xf>
    <xf numFmtId="165" fontId="12" fillId="0" borderId="0" xfId="1" applyNumberFormat="1" applyFont="1"/>
    <xf numFmtId="165" fontId="13" fillId="0" borderId="0" xfId="1" applyNumberFormat="1" applyFont="1"/>
    <xf numFmtId="164" fontId="11" fillId="0" borderId="0" xfId="0" applyNumberFormat="1" applyFont="1" applyFill="1"/>
    <xf numFmtId="0" fontId="0" fillId="0" borderId="0" xfId="0" applyFill="1"/>
    <xf numFmtId="0" fontId="4" fillId="0" borderId="0" xfId="0" applyFont="1" applyFill="1"/>
    <xf numFmtId="0" fontId="4" fillId="6" borderId="0" xfId="0" applyFont="1" applyFill="1"/>
    <xf numFmtId="0" fontId="6" fillId="0" borderId="0" xfId="0" applyFont="1" applyAlignment="1">
      <alignment horizontal="centerContinuous"/>
    </xf>
    <xf numFmtId="0" fontId="4" fillId="6" borderId="0" xfId="0" applyFont="1" applyFill="1" applyBorder="1"/>
    <xf numFmtId="0" fontId="4" fillId="0" borderId="0" xfId="0" applyFont="1" applyFill="1" applyBorder="1"/>
    <xf numFmtId="166" fontId="4" fillId="0" borderId="0" xfId="0" applyNumberFormat="1" applyFont="1" applyFill="1" applyBorder="1"/>
    <xf numFmtId="164" fontId="13" fillId="0" borderId="0" xfId="1" applyNumberFormat="1" applyFont="1"/>
    <xf numFmtId="164" fontId="13" fillId="0" borderId="0" xfId="0" applyNumberFormat="1" applyFont="1" applyFill="1"/>
    <xf numFmtId="0" fontId="4" fillId="3" borderId="4" xfId="0" applyFont="1" applyFill="1" applyBorder="1"/>
    <xf numFmtId="165" fontId="4" fillId="0" borderId="0" xfId="0" applyNumberFormat="1" applyFont="1" applyFill="1" applyBorder="1"/>
    <xf numFmtId="165" fontId="13" fillId="0" borderId="0" xfId="0" applyNumberFormat="1" applyFont="1" applyFill="1" applyBorder="1"/>
    <xf numFmtId="165" fontId="12" fillId="0" borderId="0" xfId="1" applyNumberFormat="1" applyFont="1" applyFill="1"/>
    <xf numFmtId="165" fontId="13" fillId="0" borderId="0" xfId="1" applyNumberFormat="1" applyFont="1" applyFill="1"/>
    <xf numFmtId="164" fontId="13" fillId="0" borderId="0" xfId="1" applyNumberFormat="1" applyFont="1" applyFill="1"/>
    <xf numFmtId="0" fontId="8" fillId="0" borderId="3" xfId="0" applyNumberFormat="1" applyFont="1" applyBorder="1"/>
    <xf numFmtId="0" fontId="15" fillId="0" borderId="3" xfId="0" applyNumberFormat="1" applyFont="1" applyBorder="1"/>
    <xf numFmtId="0" fontId="9" fillId="0" borderId="3" xfId="0" applyNumberFormat="1" applyFont="1" applyBorder="1"/>
    <xf numFmtId="164" fontId="13" fillId="0" borderId="0" xfId="0" applyNumberFormat="1" applyFont="1" applyFill="1" applyBorder="1"/>
    <xf numFmtId="0" fontId="15" fillId="0" borderId="3" xfId="0" applyFont="1" applyBorder="1"/>
    <xf numFmtId="166" fontId="4" fillId="0" borderId="0" xfId="1" applyNumberFormat="1" applyFont="1" applyProtection="1"/>
    <xf numFmtId="166" fontId="4" fillId="0" borderId="4" xfId="0" applyNumberFormat="1" applyFont="1" applyBorder="1"/>
    <xf numFmtId="164" fontId="4" fillId="0" borderId="4" xfId="0" applyNumberFormat="1" applyFont="1" applyBorder="1"/>
    <xf numFmtId="0" fontId="13" fillId="0" borderId="0" xfId="0" applyFont="1"/>
    <xf numFmtId="0" fontId="0" fillId="0" borderId="0" xfId="0"/>
    <xf numFmtId="0" fontId="11" fillId="0" borderId="0" xfId="0" applyFont="1"/>
    <xf numFmtId="165" fontId="12" fillId="0" borderId="0" xfId="1" applyNumberFormat="1" applyFont="1" applyBorder="1"/>
    <xf numFmtId="164" fontId="13" fillId="0" borderId="0" xfId="1" applyNumberFormat="1" applyFont="1" applyBorder="1"/>
    <xf numFmtId="164" fontId="13" fillId="0" borderId="0" xfId="1" applyNumberFormat="1" applyFont="1" applyFill="1" applyBorder="1"/>
    <xf numFmtId="164" fontId="13" fillId="0" borderId="4" xfId="1" applyNumberFormat="1" applyFont="1" applyFill="1" applyBorder="1"/>
    <xf numFmtId="167" fontId="11" fillId="0" borderId="0" xfId="1" applyNumberFormat="1" applyFont="1"/>
    <xf numFmtId="168" fontId="11" fillId="0" borderId="0" xfId="1" applyNumberFormat="1" applyFont="1" applyFill="1" applyBorder="1"/>
    <xf numFmtId="168" fontId="13" fillId="0" borderId="0" xfId="1" applyNumberFormat="1" applyFont="1" applyFill="1" applyBorder="1"/>
    <xf numFmtId="164" fontId="12" fillId="7" borderId="4" xfId="1" applyNumberFormat="1" applyFont="1" applyFill="1" applyBorder="1"/>
    <xf numFmtId="164" fontId="13" fillId="7" borderId="0" xfId="1" applyNumberFormat="1" applyFont="1" applyFill="1" applyBorder="1"/>
    <xf numFmtId="164" fontId="12" fillId="7" borderId="0" xfId="1" applyNumberFormat="1" applyFont="1" applyFill="1" applyBorder="1"/>
    <xf numFmtId="169" fontId="11" fillId="0" borderId="0" xfId="1" applyNumberFormat="1" applyFont="1"/>
    <xf numFmtId="164" fontId="12" fillId="7" borderId="0" xfId="1" applyNumberFormat="1" applyFont="1" applyFill="1"/>
    <xf numFmtId="164" fontId="13" fillId="7" borderId="0" xfId="0" applyNumberFormat="1" applyFont="1" applyFill="1"/>
    <xf numFmtId="166" fontId="14" fillId="7" borderId="0" xfId="0" applyNumberFormat="1" applyFont="1" applyFill="1"/>
    <xf numFmtId="164" fontId="4" fillId="7" borderId="4" xfId="0" applyNumberFormat="1" applyFont="1" applyFill="1" applyBorder="1"/>
    <xf numFmtId="164" fontId="12" fillId="7" borderId="0" xfId="0" applyNumberFormat="1" applyFont="1" applyFill="1"/>
    <xf numFmtId="164" fontId="13" fillId="7" borderId="0" xfId="0" applyNumberFormat="1" applyFont="1" applyFill="1" applyBorder="1"/>
    <xf numFmtId="164" fontId="4" fillId="7" borderId="1" xfId="0" applyNumberFormat="1" applyFont="1" applyFill="1" applyBorder="1"/>
    <xf numFmtId="164" fontId="4" fillId="7" borderId="0" xfId="0" applyNumberFormat="1" applyFont="1" applyFill="1"/>
    <xf numFmtId="164" fontId="12" fillId="7" borderId="1" xfId="0" applyNumberFormat="1" applyFont="1" applyFill="1" applyBorder="1"/>
    <xf numFmtId="164" fontId="13" fillId="7" borderId="0" xfId="0" applyNumberFormat="1" applyFont="1" applyFill="1" applyAlignment="1">
      <alignment horizontal="right"/>
    </xf>
    <xf numFmtId="164" fontId="12" fillId="7" borderId="0" xfId="0" applyNumberFormat="1" applyFont="1" applyFill="1" applyAlignment="1">
      <alignment horizontal="right"/>
    </xf>
    <xf numFmtId="165" fontId="4" fillId="7" borderId="6" xfId="0" applyNumberFormat="1" applyFont="1" applyFill="1" applyBorder="1"/>
    <xf numFmtId="165" fontId="13" fillId="7" borderId="6" xfId="0" applyNumberFormat="1" applyFont="1" applyFill="1" applyBorder="1"/>
    <xf numFmtId="165" fontId="13" fillId="7" borderId="0" xfId="0" applyNumberFormat="1" applyFont="1" applyFill="1" applyBorder="1"/>
    <xf numFmtId="164" fontId="13" fillId="7" borderId="0" xfId="1" applyNumberFormat="1" applyFont="1" applyFill="1"/>
    <xf numFmtId="168" fontId="12" fillId="7" borderId="0" xfId="1" applyNumberFormat="1" applyFont="1" applyFill="1"/>
    <xf numFmtId="165" fontId="12" fillId="7" borderId="6" xfId="1" applyNumberFormat="1" applyFont="1" applyFill="1" applyBorder="1"/>
    <xf numFmtId="0" fontId="17" fillId="0" borderId="0" xfId="0" applyFont="1"/>
    <xf numFmtId="0" fontId="17" fillId="0" borderId="0" xfId="0" applyFont="1" applyAlignment="1">
      <alignment horizontal="left"/>
    </xf>
    <xf numFmtId="170" fontId="14" fillId="7" borderId="0" xfId="0" applyNumberFormat="1" applyFont="1" applyFill="1"/>
    <xf numFmtId="0" fontId="18" fillId="0" borderId="0" xfId="0" applyFont="1"/>
    <xf numFmtId="0" fontId="19" fillId="0" borderId="0" xfId="0" applyFont="1" applyAlignment="1">
      <alignment horizontal="centerContinuous"/>
    </xf>
    <xf numFmtId="0" fontId="4" fillId="0" borderId="6" xfId="0" applyFont="1" applyFill="1" applyBorder="1" applyAlignment="1">
      <alignment horizontal="centerContinuous"/>
    </xf>
    <xf numFmtId="0" fontId="12" fillId="0" borderId="0" xfId="0" applyFont="1"/>
    <xf numFmtId="0" fontId="20" fillId="0" borderId="0" xfId="0" applyFont="1"/>
    <xf numFmtId="0" fontId="10" fillId="0" borderId="0" xfId="0" applyFont="1" applyAlignment="1">
      <alignment horizontal="centerContinuous"/>
    </xf>
    <xf numFmtId="171" fontId="4" fillId="0" borderId="0" xfId="0" applyNumberFormat="1" applyFont="1"/>
    <xf numFmtId="171" fontId="11" fillId="0" borderId="0" xfId="0" applyNumberFormat="1" applyFont="1"/>
    <xf numFmtId="165" fontId="12" fillId="7" borderId="0" xfId="0" applyNumberFormat="1" applyFont="1" applyFill="1" applyBorder="1"/>
    <xf numFmtId="164" fontId="12" fillId="7" borderId="0" xfId="0" applyNumberFormat="1" applyFont="1" applyFill="1" applyBorder="1"/>
    <xf numFmtId="165" fontId="11" fillId="7" borderId="0" xfId="0" applyNumberFormat="1" applyFont="1" applyFill="1" applyBorder="1"/>
    <xf numFmtId="14" fontId="12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5" fontId="13" fillId="0" borderId="0" xfId="0" applyNumberFormat="1" applyFont="1"/>
    <xf numFmtId="165" fontId="12" fillId="0" borderId="0" xfId="0" applyNumberFormat="1" applyFont="1"/>
    <xf numFmtId="164" fontId="13" fillId="0" borderId="0" xfId="0" applyNumberFormat="1" applyFont="1"/>
    <xf numFmtId="7" fontId="11" fillId="0" borderId="0" xfId="0" applyNumberFormat="1" applyFont="1"/>
    <xf numFmtId="173" fontId="4" fillId="0" borderId="0" xfId="0" applyNumberFormat="1" applyFont="1"/>
    <xf numFmtId="165" fontId="11" fillId="0" borderId="0" xfId="0" applyNumberFormat="1" applyFont="1"/>
    <xf numFmtId="174" fontId="11" fillId="0" borderId="0" xfId="0" applyNumberFormat="1" applyFont="1"/>
    <xf numFmtId="164" fontId="12" fillId="0" borderId="0" xfId="0" applyNumberFormat="1" applyFont="1"/>
    <xf numFmtId="173" fontId="11" fillId="0" borderId="0" xfId="0" applyNumberFormat="1" applyFont="1"/>
    <xf numFmtId="0" fontId="14" fillId="0" borderId="0" xfId="0" applyFont="1" applyAlignment="1">
      <alignment horizontal="left" indent="1"/>
    </xf>
    <xf numFmtId="165" fontId="21" fillId="0" borderId="0" xfId="0" applyNumberFormat="1" applyFont="1"/>
    <xf numFmtId="165" fontId="14" fillId="0" borderId="0" xfId="0" applyNumberFormat="1" applyFont="1"/>
    <xf numFmtId="0" fontId="9" fillId="0" borderId="3" xfId="0" applyFont="1" applyBorder="1" applyAlignment="1">
      <alignment horizontal="centerContinuous"/>
    </xf>
    <xf numFmtId="173" fontId="4" fillId="0" borderId="0" xfId="0" applyNumberFormat="1" applyFont="1" applyAlignment="1">
      <alignment horizontal="right"/>
    </xf>
    <xf numFmtId="172" fontId="11" fillId="0" borderId="0" xfId="0" applyNumberFormat="1" applyFont="1"/>
    <xf numFmtId="172" fontId="4" fillId="0" borderId="0" xfId="0" applyNumberFormat="1" applyFont="1" applyAlignment="1">
      <alignment horizontal="right"/>
    </xf>
    <xf numFmtId="0" fontId="11" fillId="7" borderId="5" xfId="0" applyFont="1" applyFill="1" applyBorder="1"/>
    <xf numFmtId="164" fontId="13" fillId="7" borderId="0" xfId="0" applyNumberFormat="1" applyFont="1" applyFill="1" applyAlignment="1">
      <alignment vertical="center"/>
    </xf>
    <xf numFmtId="165" fontId="21" fillId="7" borderId="0" xfId="0" applyNumberFormat="1" applyFont="1" applyFill="1"/>
    <xf numFmtId="0" fontId="4" fillId="7" borderId="0" xfId="0" applyFont="1" applyFill="1"/>
    <xf numFmtId="165" fontId="4" fillId="7" borderId="0" xfId="0" applyNumberFormat="1" applyFont="1" applyFill="1"/>
    <xf numFmtId="165" fontId="13" fillId="7" borderId="0" xfId="0" applyNumberFormat="1" applyFont="1" applyFill="1"/>
    <xf numFmtId="165" fontId="12" fillId="7" borderId="0" xfId="0" applyNumberFormat="1" applyFont="1" applyFill="1"/>
    <xf numFmtId="171" fontId="4" fillId="7" borderId="0" xfId="0" applyNumberFormat="1" applyFont="1" applyFill="1"/>
    <xf numFmtId="173" fontId="4" fillId="7" borderId="0" xfId="0" applyNumberFormat="1" applyFont="1" applyFill="1" applyAlignment="1">
      <alignment horizontal="right"/>
    </xf>
    <xf numFmtId="0" fontId="20" fillId="0" borderId="0" xfId="0" applyFont="1" applyFill="1"/>
    <xf numFmtId="0" fontId="4" fillId="0" borderId="4" xfId="0" applyFont="1" applyBorder="1"/>
    <xf numFmtId="173" fontId="13" fillId="0" borderId="0" xfId="0" applyNumberFormat="1" applyFont="1" applyBorder="1"/>
    <xf numFmtId="165" fontId="4" fillId="7" borderId="4" xfId="0" applyNumberFormat="1" applyFont="1" applyFill="1" applyBorder="1"/>
    <xf numFmtId="165" fontId="12" fillId="7" borderId="4" xfId="0" applyNumberFormat="1" applyFont="1" applyFill="1" applyBorder="1"/>
    <xf numFmtId="164" fontId="12" fillId="7" borderId="4" xfId="0" applyNumberFormat="1" applyFont="1" applyFill="1" applyBorder="1"/>
    <xf numFmtId="173" fontId="4" fillId="7" borderId="4" xfId="0" applyNumberFormat="1" applyFont="1" applyFill="1" applyBorder="1"/>
    <xf numFmtId="165" fontId="13" fillId="7" borderId="5" xfId="0" applyNumberFormat="1" applyFont="1" applyFill="1" applyBorder="1"/>
    <xf numFmtId="171" fontId="4" fillId="0" borderId="4" xfId="0" applyNumberFormat="1" applyFont="1" applyFill="1" applyBorder="1" applyAlignment="1">
      <alignment horizontal="right"/>
    </xf>
    <xf numFmtId="171" fontId="4" fillId="7" borderId="4" xfId="0" applyNumberFormat="1" applyFont="1" applyFill="1" applyBorder="1" applyAlignment="1">
      <alignment horizontal="right"/>
    </xf>
    <xf numFmtId="0" fontId="5" fillId="0" borderId="6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0" fontId="4" fillId="0" borderId="6" xfId="0" applyFont="1" applyFill="1" applyBorder="1"/>
    <xf numFmtId="164" fontId="14" fillId="0" borderId="0" xfId="0" applyNumberFormat="1" applyFont="1"/>
    <xf numFmtId="165" fontId="12" fillId="0" borderId="6" xfId="0" applyNumberFormat="1" applyFont="1" applyBorder="1" applyAlignment="1">
      <alignment horizontal="centerContinuous"/>
    </xf>
    <xf numFmtId="0" fontId="17" fillId="8" borderId="0" xfId="0" applyFont="1" applyFill="1"/>
    <xf numFmtId="0" fontId="4" fillId="8" borderId="0" xfId="0" applyFont="1" applyFill="1"/>
    <xf numFmtId="173" fontId="12" fillId="7" borderId="0" xfId="0" applyNumberFormat="1" applyFont="1" applyFill="1" applyAlignment="1">
      <alignment horizontal="right"/>
    </xf>
    <xf numFmtId="0" fontId="17" fillId="0" borderId="0" xfId="0" applyFont="1" applyAlignment="1">
      <alignment horizontal="right"/>
    </xf>
    <xf numFmtId="173" fontId="13" fillId="7" borderId="5" xfId="0" applyNumberFormat="1" applyFont="1" applyFill="1" applyBorder="1"/>
    <xf numFmtId="173" fontId="4" fillId="7" borderId="0" xfId="0" applyNumberFormat="1" applyFont="1" applyFill="1"/>
    <xf numFmtId="175" fontId="11" fillId="0" borderId="0" xfId="0" applyNumberFormat="1" applyFont="1" applyAlignment="1">
      <alignment horizontal="right"/>
    </xf>
    <xf numFmtId="0" fontId="4" fillId="0" borderId="13" xfId="0" applyFont="1" applyBorder="1"/>
    <xf numFmtId="0" fontId="4" fillId="0" borderId="15" xfId="0" applyFont="1" applyBorder="1"/>
    <xf numFmtId="0" fontId="4" fillId="0" borderId="14" xfId="0" applyFont="1" applyBorder="1" applyAlignment="1">
      <alignment horizontal="centerContinuous"/>
    </xf>
    <xf numFmtId="170" fontId="4" fillId="7" borderId="7" xfId="0" applyNumberFormat="1" applyFont="1" applyFill="1" applyBorder="1" applyAlignment="1">
      <alignment vertical="center"/>
    </xf>
    <xf numFmtId="170" fontId="4" fillId="7" borderId="4" xfId="0" applyNumberFormat="1" applyFont="1" applyFill="1" applyBorder="1" applyAlignment="1">
      <alignment vertical="center"/>
    </xf>
    <xf numFmtId="170" fontId="4" fillId="7" borderId="8" xfId="0" applyNumberFormat="1" applyFont="1" applyFill="1" applyBorder="1" applyAlignment="1">
      <alignment vertical="center"/>
    </xf>
    <xf numFmtId="170" fontId="4" fillId="7" borderId="9" xfId="0" applyNumberFormat="1" applyFont="1" applyFill="1" applyBorder="1" applyAlignment="1">
      <alignment vertical="center"/>
    </xf>
    <xf numFmtId="170" fontId="4" fillId="7" borderId="0" xfId="0" applyNumberFormat="1" applyFont="1" applyFill="1" applyBorder="1" applyAlignment="1">
      <alignment vertical="center"/>
    </xf>
    <xf numFmtId="170" fontId="4" fillId="7" borderId="10" xfId="0" applyNumberFormat="1" applyFont="1" applyFill="1" applyBorder="1" applyAlignment="1">
      <alignment vertical="center"/>
    </xf>
    <xf numFmtId="170" fontId="4" fillId="7" borderId="11" xfId="0" applyNumberFormat="1" applyFont="1" applyFill="1" applyBorder="1" applyAlignment="1">
      <alignment vertical="center"/>
    </xf>
    <xf numFmtId="170" fontId="4" fillId="7" borderId="6" xfId="0" applyNumberFormat="1" applyFont="1" applyFill="1" applyBorder="1" applyAlignment="1">
      <alignment vertical="center"/>
    </xf>
    <xf numFmtId="170" fontId="4" fillId="7" borderId="12" xfId="0" applyNumberFormat="1" applyFont="1" applyFill="1" applyBorder="1" applyAlignment="1">
      <alignment vertical="center"/>
    </xf>
    <xf numFmtId="0" fontId="4" fillId="0" borderId="13" xfId="0" applyFont="1" applyBorder="1" applyAlignment="1">
      <alignment horizontal="centerContinuous"/>
    </xf>
    <xf numFmtId="0" fontId="4" fillId="0" borderId="15" xfId="0" applyFont="1" applyBorder="1" applyAlignment="1">
      <alignment horizontal="centerContinuous"/>
    </xf>
    <xf numFmtId="0" fontId="22" fillId="0" borderId="0" xfId="0" applyFont="1"/>
    <xf numFmtId="0" fontId="11" fillId="0" borderId="0" xfId="0" applyFont="1" applyFill="1"/>
    <xf numFmtId="175" fontId="1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8" fontId="13" fillId="0" borderId="0" xfId="0" applyNumberFormat="1" applyFont="1"/>
    <xf numFmtId="164" fontId="13" fillId="0" borderId="0" xfId="0" applyNumberFormat="1" applyFont="1" applyBorder="1"/>
    <xf numFmtId="170" fontId="4" fillId="7" borderId="4" xfId="0" applyNumberFormat="1" applyFont="1" applyFill="1" applyBorder="1"/>
    <xf numFmtId="0" fontId="4" fillId="0" borderId="6" xfId="0" applyFont="1" applyBorder="1" applyAlignment="1">
      <alignment horizontal="centerContinuous"/>
    </xf>
    <xf numFmtId="0" fontId="5" fillId="0" borderId="3" xfId="0" applyFont="1" applyFill="1" applyBorder="1"/>
    <xf numFmtId="0" fontId="4" fillId="0" borderId="3" xfId="0" applyFont="1" applyFill="1" applyBorder="1"/>
    <xf numFmtId="0" fontId="5" fillId="0" borderId="0" xfId="0" applyFont="1" applyFill="1" applyBorder="1"/>
    <xf numFmtId="164" fontId="4" fillId="0" borderId="0" xfId="0" applyNumberFormat="1" applyFont="1" applyBorder="1"/>
    <xf numFmtId="165" fontId="4" fillId="7" borderId="0" xfId="0" applyNumberFormat="1" applyFont="1" applyFill="1" applyBorder="1"/>
    <xf numFmtId="171" fontId="13" fillId="7" borderId="0" xfId="0" applyNumberFormat="1" applyFont="1" applyFill="1" applyBorder="1"/>
    <xf numFmtId="0" fontId="9" fillId="0" borderId="0" xfId="0" applyFont="1" applyBorder="1"/>
    <xf numFmtId="0" fontId="5" fillId="0" borderId="4" xfId="0" applyFont="1" applyFill="1" applyBorder="1"/>
    <xf numFmtId="165" fontId="4" fillId="0" borderId="6" xfId="0" applyNumberFormat="1" applyFont="1" applyBorder="1" applyAlignment="1">
      <alignment horizontal="centerContinuous"/>
    </xf>
    <xf numFmtId="0" fontId="5" fillId="0" borderId="14" xfId="0" applyFont="1" applyBorder="1"/>
    <xf numFmtId="0" fontId="5" fillId="0" borderId="15" xfId="0" applyFont="1" applyBorder="1"/>
    <xf numFmtId="165" fontId="12" fillId="7" borderId="7" xfId="0" applyNumberFormat="1" applyFont="1" applyFill="1" applyBorder="1"/>
    <xf numFmtId="165" fontId="12" fillId="7" borderId="8" xfId="0" applyNumberFormat="1" applyFont="1" applyFill="1" applyBorder="1"/>
    <xf numFmtId="165" fontId="12" fillId="7" borderId="9" xfId="0" applyNumberFormat="1" applyFont="1" applyFill="1" applyBorder="1"/>
    <xf numFmtId="165" fontId="12" fillId="7" borderId="10" xfId="0" applyNumberFormat="1" applyFont="1" applyFill="1" applyBorder="1"/>
    <xf numFmtId="165" fontId="12" fillId="7" borderId="11" xfId="0" applyNumberFormat="1" applyFont="1" applyFill="1" applyBorder="1"/>
    <xf numFmtId="165" fontId="12" fillId="7" borderId="6" xfId="0" applyNumberFormat="1" applyFont="1" applyFill="1" applyBorder="1"/>
    <xf numFmtId="165" fontId="12" fillId="7" borderId="12" xfId="0" applyNumberFormat="1" applyFont="1" applyFill="1" applyBorder="1"/>
    <xf numFmtId="0" fontId="5" fillId="0" borderId="6" xfId="0" applyFont="1" applyBorder="1" applyAlignment="1">
      <alignment horizontal="centerContinuous"/>
    </xf>
    <xf numFmtId="0" fontId="23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5"/>
    </xf>
    <xf numFmtId="0" fontId="9" fillId="0" borderId="0" xfId="0" applyFont="1" applyBorder="1" applyAlignment="1">
      <alignment horizontal="centerContinuous"/>
    </xf>
    <xf numFmtId="172" fontId="11" fillId="0" borderId="0" xfId="0" applyNumberFormat="1" applyFont="1" applyBorder="1"/>
    <xf numFmtId="170" fontId="11" fillId="0" borderId="0" xfId="0" applyNumberFormat="1" applyFont="1"/>
    <xf numFmtId="170" fontId="13" fillId="7" borderId="0" xfId="0" applyNumberFormat="1" applyFont="1" applyFill="1" applyAlignment="1">
      <alignment vertical="center"/>
    </xf>
    <xf numFmtId="171" fontId="4" fillId="7" borderId="0" xfId="0" applyNumberFormat="1" applyFont="1" applyFill="1" applyAlignment="1">
      <alignment horizontal="right"/>
    </xf>
    <xf numFmtId="171" fontId="4" fillId="0" borderId="5" xfId="0" applyNumberFormat="1" applyFont="1" applyFill="1" applyBorder="1" applyAlignment="1">
      <alignment horizontal="centerContinuous"/>
    </xf>
    <xf numFmtId="171" fontId="4" fillId="0" borderId="15" xfId="0" applyNumberFormat="1" applyFont="1" applyBorder="1" applyAlignment="1">
      <alignment horizontal="centerContinuous"/>
    </xf>
    <xf numFmtId="0" fontId="6" fillId="0" borderId="13" xfId="0" applyFont="1" applyBorder="1" applyAlignment="1">
      <alignment horizontal="centerContinuous"/>
    </xf>
    <xf numFmtId="164" fontId="13" fillId="0" borderId="5" xfId="1" applyNumberFormat="1" applyFont="1" applyFill="1" applyBorder="1"/>
    <xf numFmtId="171" fontId="11" fillId="0" borderId="0" xfId="0" applyNumberFormat="1" applyFont="1" applyFill="1"/>
    <xf numFmtId="171" fontId="11" fillId="0" borderId="0" xfId="0" applyNumberFormat="1" applyFont="1" applyFill="1" applyBorder="1"/>
    <xf numFmtId="0" fontId="13" fillId="7" borderId="5" xfId="0" applyFont="1" applyFill="1" applyBorder="1" applyAlignment="1">
      <alignment horizontal="center"/>
    </xf>
    <xf numFmtId="0" fontId="5" fillId="7" borderId="0" xfId="0" applyFont="1" applyFill="1"/>
    <xf numFmtId="0" fontId="12" fillId="0" borderId="0" xfId="0" applyFont="1" applyBorder="1"/>
    <xf numFmtId="7" fontId="4" fillId="6" borderId="0" xfId="0" applyNumberFormat="1" applyFont="1" applyFill="1"/>
    <xf numFmtId="0" fontId="4" fillId="0" borderId="17" xfId="0" applyFont="1" applyBorder="1" applyAlignment="1">
      <alignment horizontal="centerContinuous"/>
    </xf>
    <xf numFmtId="0" fontId="4" fillId="0" borderId="16" xfId="0" applyFont="1" applyBorder="1" applyAlignment="1">
      <alignment horizontal="centerContinuous"/>
    </xf>
    <xf numFmtId="0" fontId="4" fillId="0" borderId="18" xfId="0" applyFont="1" applyBorder="1" applyAlignment="1">
      <alignment horizontal="centerContinuous"/>
    </xf>
    <xf numFmtId="0" fontId="4" fillId="0" borderId="19" xfId="0" applyFont="1" applyBorder="1" applyAlignment="1">
      <alignment horizontal="centerContinuous"/>
    </xf>
    <xf numFmtId="0" fontId="4" fillId="0" borderId="20" xfId="0" applyFont="1" applyBorder="1" applyAlignment="1">
      <alignment horizontal="centerContinuous"/>
    </xf>
    <xf numFmtId="164" fontId="4" fillId="7" borderId="5" xfId="0" applyNumberFormat="1" applyFont="1" applyFill="1" applyBorder="1"/>
    <xf numFmtId="176" fontId="12" fillId="7" borderId="0" xfId="0" applyNumberFormat="1" applyFont="1" applyFill="1"/>
    <xf numFmtId="171" fontId="13" fillId="0" borderId="0" xfId="0" applyNumberFormat="1" applyFont="1" applyFill="1"/>
    <xf numFmtId="171" fontId="13" fillId="0" borderId="6" xfId="0" applyNumberFormat="1" applyFont="1" applyFill="1" applyBorder="1"/>
    <xf numFmtId="165" fontId="13" fillId="0" borderId="0" xfId="0" applyNumberFormat="1" applyFont="1" applyFill="1"/>
    <xf numFmtId="165" fontId="11" fillId="0" borderId="0" xfId="0" applyNumberFormat="1" applyFont="1" applyFill="1"/>
    <xf numFmtId="176" fontId="11" fillId="0" borderId="0" xfId="0" applyNumberFormat="1" applyFont="1"/>
    <xf numFmtId="171" fontId="11" fillId="0" borderId="0" xfId="0" applyNumberFormat="1" applyFont="1" applyBorder="1"/>
    <xf numFmtId="168" fontId="11" fillId="0" borderId="0" xfId="0" applyNumberFormat="1" applyFont="1"/>
    <xf numFmtId="165" fontId="12" fillId="0" borderId="0" xfId="0" applyNumberFormat="1" applyFont="1" applyFill="1"/>
    <xf numFmtId="0" fontId="11" fillId="7" borderId="0" xfId="0" applyFont="1" applyFill="1"/>
    <xf numFmtId="0" fontId="15" fillId="0" borderId="0" xfId="0" applyFont="1"/>
    <xf numFmtId="0" fontId="15" fillId="0" borderId="25" xfId="0" applyFont="1" applyBorder="1" applyAlignment="1">
      <alignment horizontal="centerContinuous"/>
    </xf>
    <xf numFmtId="0" fontId="15" fillId="0" borderId="3" xfId="0" applyFont="1" applyBorder="1" applyAlignment="1">
      <alignment horizontal="centerContinuous"/>
    </xf>
    <xf numFmtId="0" fontId="11" fillId="6" borderId="0" xfId="0" applyFont="1" applyFill="1"/>
    <xf numFmtId="0" fontId="11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9" borderId="0" xfId="0" applyFill="1"/>
    <xf numFmtId="165" fontId="4" fillId="7" borderId="14" xfId="0" applyNumberFormat="1" applyFont="1" applyFill="1" applyBorder="1"/>
    <xf numFmtId="0" fontId="17" fillId="9" borderId="0" xfId="0" applyFont="1" applyFill="1"/>
    <xf numFmtId="0" fontId="17" fillId="9" borderId="0" xfId="0" applyFont="1" applyFill="1" applyAlignment="1">
      <alignment horizontal="right"/>
    </xf>
    <xf numFmtId="0" fontId="24" fillId="9" borderId="14" xfId="0" applyFont="1" applyFill="1" applyBorder="1"/>
    <xf numFmtId="0" fontId="24" fillId="9" borderId="0" xfId="0" applyFont="1" applyFill="1"/>
    <xf numFmtId="177" fontId="24" fillId="9" borderId="0" xfId="0" applyNumberFormat="1" applyFont="1" applyFill="1"/>
    <xf numFmtId="164" fontId="4" fillId="7" borderId="14" xfId="0" applyNumberFormat="1" applyFont="1" applyFill="1" applyBorder="1"/>
    <xf numFmtId="0" fontId="4" fillId="9" borderId="14" xfId="0" applyFont="1" applyFill="1" applyBorder="1"/>
    <xf numFmtId="0" fontId="4" fillId="9" borderId="0" xfId="0" applyFont="1" applyFill="1"/>
    <xf numFmtId="177" fontId="4" fillId="9" borderId="0" xfId="0" applyNumberFormat="1" applyFont="1" applyFill="1"/>
    <xf numFmtId="0" fontId="13" fillId="0" borderId="4" xfId="0" applyFont="1" applyBorder="1"/>
    <xf numFmtId="0" fontId="17" fillId="0" borderId="4" xfId="0" applyFont="1" applyBorder="1" applyAlignment="1">
      <alignment horizontal="right"/>
    </xf>
    <xf numFmtId="164" fontId="4" fillId="7" borderId="13" xfId="0" applyNumberFormat="1" applyFont="1" applyFill="1" applyBorder="1"/>
    <xf numFmtId="170" fontId="4" fillId="7" borderId="14" xfId="0" applyNumberFormat="1" applyFont="1" applyFill="1" applyBorder="1"/>
    <xf numFmtId="170" fontId="4" fillId="7" borderId="0" xfId="0" applyNumberFormat="1" applyFont="1" applyFill="1"/>
    <xf numFmtId="171" fontId="4" fillId="7" borderId="14" xfId="0" applyNumberFormat="1" applyFont="1" applyFill="1" applyBorder="1"/>
    <xf numFmtId="165" fontId="4" fillId="7" borderId="15" xfId="0" applyNumberFormat="1" applyFont="1" applyFill="1" applyBorder="1"/>
    <xf numFmtId="0" fontId="11" fillId="0" borderId="0" xfId="0" applyFont="1" applyBorder="1" applyAlignment="1">
      <alignment horizontal="centerContinuous"/>
    </xf>
    <xf numFmtId="0" fontId="17" fillId="0" borderId="14" xfId="0" applyFont="1" applyFill="1" applyBorder="1" applyAlignment="1">
      <alignment horizontal="right"/>
    </xf>
    <xf numFmtId="173" fontId="11" fillId="0" borderId="0" xfId="0" applyNumberFormat="1" applyFont="1" applyFill="1" applyBorder="1"/>
    <xf numFmtId="0" fontId="15" fillId="0" borderId="0" xfId="0" applyFont="1" applyFill="1" applyBorder="1"/>
    <xf numFmtId="164" fontId="13" fillId="0" borderId="0" xfId="0" applyNumberFormat="1" applyFont="1" applyFill="1" applyBorder="1" applyAlignment="1">
      <alignment vertical="center"/>
    </xf>
    <xf numFmtId="166" fontId="12" fillId="7" borderId="0" xfId="0" applyNumberFormat="1" applyFont="1" applyFill="1"/>
    <xf numFmtId="164" fontId="4" fillId="0" borderId="0" xfId="0" applyNumberFormat="1" applyFont="1" applyFill="1"/>
    <xf numFmtId="164" fontId="13" fillId="0" borderId="21" xfId="0" applyNumberFormat="1" applyFont="1" applyFill="1" applyBorder="1"/>
    <xf numFmtId="164" fontId="12" fillId="0" borderId="0" xfId="0" applyNumberFormat="1" applyFont="1" applyFill="1"/>
    <xf numFmtId="164" fontId="4" fillId="0" borderId="23" xfId="0" applyNumberFormat="1" applyFont="1" applyFill="1" applyBorder="1"/>
    <xf numFmtId="165" fontId="12" fillId="0" borderId="22" xfId="0" applyNumberFormat="1" applyFont="1" applyFill="1" applyBorder="1"/>
    <xf numFmtId="165" fontId="12" fillId="0" borderId="24" xfId="0" applyNumberFormat="1" applyFont="1" applyFill="1" applyBorder="1"/>
    <xf numFmtId="176" fontId="12" fillId="0" borderId="0" xfId="0" applyNumberFormat="1" applyFont="1" applyFill="1"/>
    <xf numFmtId="176" fontId="12" fillId="0" borderId="4" xfId="0" applyNumberFormat="1" applyFont="1" applyFill="1" applyBorder="1"/>
    <xf numFmtId="164" fontId="4" fillId="0" borderId="0" xfId="0" applyNumberFormat="1" applyFont="1" applyFill="1" applyBorder="1"/>
    <xf numFmtId="171" fontId="12" fillId="0" borderId="0" xfId="0" applyNumberFormat="1" applyFont="1" applyFill="1"/>
    <xf numFmtId="179" fontId="17" fillId="0" borderId="0" xfId="0" applyNumberFormat="1" applyFont="1"/>
    <xf numFmtId="0" fontId="25" fillId="0" borderId="3" xfId="0" applyFont="1" applyBorder="1"/>
    <xf numFmtId="170" fontId="14" fillId="0" borderId="0" xfId="0" applyNumberFormat="1" applyFont="1"/>
    <xf numFmtId="168" fontId="11" fillId="0" borderId="0" xfId="0" applyNumberFormat="1" applyFont="1" applyAlignment="1">
      <alignment vertical="center"/>
    </xf>
    <xf numFmtId="178" fontId="11" fillId="0" borderId="0" xfId="0" applyNumberFormat="1" applyFont="1" applyAlignment="1">
      <alignment vertical="center"/>
    </xf>
    <xf numFmtId="176" fontId="11" fillId="7" borderId="4" xfId="0" applyNumberFormat="1" applyFont="1" applyFill="1" applyBorder="1"/>
    <xf numFmtId="0" fontId="27" fillId="0" borderId="0" xfId="2" applyFont="1"/>
    <xf numFmtId="0" fontId="27" fillId="10" borderId="0" xfId="2" applyFont="1" applyFill="1"/>
    <xf numFmtId="0" fontId="27" fillId="11" borderId="0" xfId="2" applyFont="1" applyFill="1"/>
    <xf numFmtId="166" fontId="28" fillId="7" borderId="0" xfId="2" applyNumberFormat="1" applyFont="1" applyFill="1"/>
    <xf numFmtId="0" fontId="29" fillId="0" borderId="0" xfId="2" applyFont="1"/>
    <xf numFmtId="0" fontId="30" fillId="7" borderId="0" xfId="2" applyFont="1" applyFill="1"/>
    <xf numFmtId="0" fontId="31" fillId="0" borderId="0" xfId="2" applyFont="1" applyAlignment="1">
      <alignment horizontal="centerContinuous"/>
    </xf>
    <xf numFmtId="0" fontId="27" fillId="0" borderId="6" xfId="2" applyFont="1" applyBorder="1" applyAlignment="1">
      <alignment horizontal="centerContinuous"/>
    </xf>
    <xf numFmtId="0" fontId="27" fillId="0" borderId="6" xfId="2" applyFont="1" applyBorder="1" applyAlignment="1">
      <alignment horizontal="left"/>
    </xf>
    <xf numFmtId="14" fontId="31" fillId="0" borderId="0" xfId="2" applyNumberFormat="1" applyFont="1" applyAlignment="1">
      <alignment horizontal="right"/>
    </xf>
    <xf numFmtId="0" fontId="32" fillId="0" borderId="0" xfId="2" applyFont="1"/>
    <xf numFmtId="0" fontId="31" fillId="7" borderId="0" xfId="2" applyFont="1" applyFill="1" applyAlignment="1">
      <alignment horizontal="centerContinuous"/>
    </xf>
    <xf numFmtId="0" fontId="27" fillId="9" borderId="0" xfId="2" applyFont="1" applyFill="1"/>
    <xf numFmtId="0" fontId="33" fillId="0" borderId="6" xfId="2" applyFont="1" applyBorder="1"/>
    <xf numFmtId="0" fontId="27" fillId="0" borderId="6" xfId="2" applyFont="1" applyBorder="1"/>
    <xf numFmtId="171" fontId="31" fillId="0" borderId="0" xfId="2" applyNumberFormat="1" applyFont="1"/>
    <xf numFmtId="166" fontId="31" fillId="0" borderId="0" xfId="2" applyNumberFormat="1" applyFont="1"/>
    <xf numFmtId="170" fontId="31" fillId="0" borderId="0" xfId="2" applyNumberFormat="1" applyFont="1"/>
    <xf numFmtId="0" fontId="31" fillId="0" borderId="0" xfId="2" applyFont="1" applyAlignment="1">
      <alignment horizontal="right"/>
    </xf>
    <xf numFmtId="14" fontId="30" fillId="0" borderId="0" xfId="2" applyNumberFormat="1" applyFont="1" applyAlignment="1">
      <alignment horizontal="right"/>
    </xf>
    <xf numFmtId="0" fontId="34" fillId="0" borderId="0" xfId="2" applyFont="1"/>
    <xf numFmtId="0" fontId="35" fillId="0" borderId="0" xfId="0" applyFont="1"/>
    <xf numFmtId="164" fontId="4" fillId="12" borderId="0" xfId="0" applyNumberFormat="1" applyFont="1" applyFill="1"/>
    <xf numFmtId="164" fontId="13" fillId="12" borderId="0" xfId="0" applyNumberFormat="1" applyFont="1" applyFill="1"/>
    <xf numFmtId="165" fontId="4" fillId="12" borderId="0" xfId="0" applyNumberFormat="1" applyFont="1" applyFill="1"/>
    <xf numFmtId="7" fontId="5" fillId="0" borderId="0" xfId="0" applyNumberFormat="1" applyFont="1"/>
  </cellXfs>
  <cellStyles count="3">
    <cellStyle name="Currency" xfId="1" builtinId="4"/>
    <cellStyle name="Normal" xfId="0" builtinId="0"/>
    <cellStyle name="Normal 2" xfId="2" xr:uid="{41D15077-D9DA-4761-A604-FD4F28DD43C8}"/>
  </cellStyles>
  <dxfs count="9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colors>
    <mruColors>
      <color rgb="FFDDEBF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HON/key-statistics?p=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186D-6291-45F3-81D8-7B3177BCC1C0}">
  <sheetPr>
    <pageSetUpPr fitToPage="1"/>
  </sheetPr>
  <dimension ref="A1:XX1000"/>
  <sheetViews>
    <sheetView showGridLines="0" tabSelected="1" topLeftCell="A51" zoomScaleNormal="100" workbookViewId="0">
      <selection activeCell="D68" sqref="D68"/>
    </sheetView>
  </sheetViews>
  <sheetFormatPr defaultColWidth="9.08984375" defaultRowHeight="18" x14ac:dyDescent="0.4"/>
  <cols>
    <col min="1" max="1" width="2.6328125" style="56" customWidth="1"/>
    <col min="2" max="2" width="40.90625" style="3" customWidth="1"/>
    <col min="3" max="3" width="15" style="3" bestFit="1" customWidth="1"/>
    <col min="4" max="5" width="11.6328125" style="3" customWidth="1"/>
    <col min="6" max="6" width="14.6328125" style="3" bestFit="1" customWidth="1"/>
    <col min="7" max="7" width="14.36328125" style="3" bestFit="1" customWidth="1"/>
    <col min="8" max="8" width="11.6328125" style="3" customWidth="1"/>
    <col min="9" max="9" width="14" style="3" bestFit="1" customWidth="1"/>
    <col min="10" max="10" width="11.6328125" style="3" customWidth="1"/>
    <col min="11" max="11" width="1.6328125" customWidth="1"/>
    <col min="12" max="12" width="14.54296875" style="3" bestFit="1" customWidth="1"/>
    <col min="13" max="15" width="11.6328125" style="3" customWidth="1"/>
    <col min="16" max="17" width="10.6328125" style="3" customWidth="1"/>
    <col min="18" max="18" width="31.26953125" style="3" customWidth="1"/>
    <col min="19" max="19" width="32.453125" style="3" bestFit="1" customWidth="1"/>
    <col min="20" max="20" width="20.36328125" style="56" bestFit="1" customWidth="1"/>
    <col min="21" max="21" width="27.36328125" style="55" bestFit="1" customWidth="1"/>
    <col min="22" max="22" width="17.54296875" style="55" bestFit="1" customWidth="1"/>
    <col min="23" max="28" width="9.08984375" style="56"/>
    <col min="29" max="16384" width="9.08984375" style="3"/>
  </cols>
  <sheetData>
    <row r="1" spans="1:31" s="56" customFormat="1" ht="20" x14ac:dyDescent="0.4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X1" s="116"/>
      <c r="Y1" s="116"/>
      <c r="Z1" s="116"/>
      <c r="AA1" s="116"/>
      <c r="AB1" s="116"/>
      <c r="AC1" s="116"/>
      <c r="AD1" s="116"/>
      <c r="AE1" s="116"/>
    </row>
    <row r="2" spans="1:31" ht="20.5" thickBot="1" x14ac:dyDescent="0.45">
      <c r="A2" s="57"/>
      <c r="B2" s="1" t="s">
        <v>255</v>
      </c>
      <c r="C2" s="1"/>
      <c r="D2" s="2" t="s">
        <v>71</v>
      </c>
      <c r="E2" s="5"/>
      <c r="F2" s="5"/>
      <c r="G2" s="5"/>
      <c r="H2" s="5"/>
      <c r="I2" s="288" t="s">
        <v>251</v>
      </c>
      <c r="J2" s="5"/>
      <c r="K2" s="5"/>
      <c r="L2" s="5"/>
      <c r="M2" s="5"/>
      <c r="N2" s="5"/>
      <c r="O2" s="5"/>
      <c r="P2" s="5"/>
      <c r="Q2" s="5"/>
      <c r="R2" s="5"/>
      <c r="S2" s="57"/>
      <c r="T2" s="57"/>
      <c r="U2" s="56"/>
      <c r="V2" s="56"/>
      <c r="X2" s="116"/>
      <c r="Y2" s="116"/>
      <c r="Z2" s="116"/>
      <c r="AA2" s="116"/>
      <c r="AB2" s="116"/>
      <c r="AC2" s="116"/>
      <c r="AD2" s="116"/>
      <c r="AE2" s="116"/>
    </row>
    <row r="3" spans="1:31" ht="20" x14ac:dyDescent="0.4">
      <c r="A3" s="57"/>
      <c r="F3" s="3" t="s">
        <v>227</v>
      </c>
      <c r="K3" s="3"/>
      <c r="S3" s="57"/>
      <c r="T3" s="57"/>
      <c r="U3" s="56"/>
      <c r="V3" s="56"/>
      <c r="X3" s="116"/>
      <c r="Y3" s="116"/>
      <c r="Z3" s="116"/>
      <c r="AA3" s="116"/>
      <c r="AB3" s="116"/>
      <c r="AC3" s="116"/>
      <c r="AD3" s="116"/>
      <c r="AE3" s="116"/>
    </row>
    <row r="4" spans="1:31" ht="20" x14ac:dyDescent="0.4">
      <c r="A4" s="57"/>
      <c r="B4" s="3" t="s">
        <v>230</v>
      </c>
      <c r="D4" s="80">
        <v>1</v>
      </c>
      <c r="F4" s="3" t="s">
        <v>228</v>
      </c>
      <c r="S4" s="57"/>
      <c r="T4" s="57"/>
      <c r="U4" s="56"/>
      <c r="V4" s="56"/>
      <c r="X4" s="116"/>
      <c r="Y4" s="116"/>
      <c r="Z4" s="116"/>
      <c r="AA4" s="116"/>
      <c r="AB4" s="116"/>
      <c r="AC4" s="116"/>
      <c r="AD4" s="116"/>
      <c r="AE4" s="116"/>
    </row>
    <row r="5" spans="1:31" ht="20" x14ac:dyDescent="0.4">
      <c r="A5" s="57"/>
      <c r="B5" s="3" t="s">
        <v>229</v>
      </c>
      <c r="D5" s="141">
        <v>1</v>
      </c>
      <c r="F5" s="13" t="s">
        <v>254</v>
      </c>
      <c r="G5" s="7"/>
      <c r="S5" s="57"/>
      <c r="T5" s="57"/>
      <c r="U5" s="56"/>
      <c r="V5" s="56"/>
      <c r="X5" s="116"/>
      <c r="Y5" s="116"/>
      <c r="Z5" s="116"/>
      <c r="AA5" s="116"/>
      <c r="AB5" s="116"/>
      <c r="AC5" s="116"/>
      <c r="AD5" s="116"/>
      <c r="AE5" s="116"/>
    </row>
    <row r="6" spans="1:31" ht="20" x14ac:dyDescent="0.4">
      <c r="A6" s="57"/>
      <c r="B6" s="3" t="s">
        <v>248</v>
      </c>
      <c r="D6" s="227" t="str">
        <f ca="1">OFFSET($D$6,D5,0)</f>
        <v>Base</v>
      </c>
      <c r="E6" s="109"/>
      <c r="F6" s="3" t="s">
        <v>226</v>
      </c>
      <c r="G6" s="7"/>
      <c r="I6" s="109"/>
      <c r="S6" s="57"/>
      <c r="T6" s="57"/>
      <c r="U6" s="56"/>
      <c r="V6" s="56"/>
      <c r="X6" s="116"/>
      <c r="Y6" s="116"/>
      <c r="Z6" s="116"/>
      <c r="AA6" s="116"/>
      <c r="AB6" s="116"/>
      <c r="AC6" s="116"/>
      <c r="AD6" s="116"/>
      <c r="AE6" s="116"/>
    </row>
    <row r="7" spans="1:31" ht="20" x14ac:dyDescent="0.4">
      <c r="A7" s="57"/>
      <c r="B7" s="3" t="s">
        <v>247</v>
      </c>
      <c r="D7" s="187" t="s">
        <v>85</v>
      </c>
      <c r="E7" s="80">
        <v>1</v>
      </c>
      <c r="F7" s="36"/>
      <c r="J7" s="36" t="s">
        <v>223</v>
      </c>
      <c r="S7" s="57"/>
      <c r="T7" s="57"/>
      <c r="U7" s="56"/>
      <c r="V7" s="56"/>
      <c r="X7" s="116"/>
      <c r="Y7" s="116"/>
      <c r="Z7" s="116"/>
      <c r="AA7" s="116"/>
      <c r="AB7" s="116"/>
      <c r="AC7" s="116"/>
      <c r="AD7" s="116"/>
      <c r="AE7" s="116"/>
    </row>
    <row r="8" spans="1:31" ht="20" x14ac:dyDescent="0.4">
      <c r="A8" s="57"/>
      <c r="B8" s="3" t="s">
        <v>234</v>
      </c>
      <c r="D8" s="80" t="s">
        <v>86</v>
      </c>
      <c r="E8" s="3">
        <f>E7+1</f>
        <v>2</v>
      </c>
      <c r="F8" s="3" t="s">
        <v>224</v>
      </c>
      <c r="J8" s="144" t="s">
        <v>223</v>
      </c>
      <c r="K8" s="144"/>
      <c r="L8" s="144"/>
      <c r="M8" s="144"/>
      <c r="N8" s="144"/>
      <c r="O8" s="144"/>
      <c r="P8" s="144"/>
      <c r="Q8" s="144"/>
      <c r="S8" s="57"/>
      <c r="T8" s="57"/>
      <c r="U8" s="56"/>
      <c r="V8" s="56"/>
      <c r="X8" s="116"/>
      <c r="Y8" s="116"/>
      <c r="Z8" s="116"/>
      <c r="AA8" s="116"/>
      <c r="AB8" s="116"/>
      <c r="AC8" s="116"/>
      <c r="AD8" s="116"/>
      <c r="AE8" s="116"/>
    </row>
    <row r="9" spans="1:31" ht="20" x14ac:dyDescent="0.4">
      <c r="A9" s="57"/>
      <c r="D9" s="80"/>
      <c r="F9" s="3" t="s">
        <v>225</v>
      </c>
      <c r="J9" s="228" t="s">
        <v>303</v>
      </c>
      <c r="K9" s="228"/>
      <c r="L9" s="228"/>
      <c r="M9" s="228"/>
      <c r="N9" s="228"/>
      <c r="O9" s="228"/>
      <c r="P9" s="228"/>
      <c r="Q9" s="228"/>
      <c r="S9" s="57"/>
      <c r="T9" s="57"/>
      <c r="X9" s="116"/>
      <c r="Y9" s="116"/>
      <c r="Z9" s="116"/>
      <c r="AA9" s="116"/>
      <c r="AB9" s="116"/>
      <c r="AC9" s="116"/>
      <c r="AD9" s="116"/>
      <c r="AE9" s="116"/>
    </row>
    <row r="10" spans="1:31" ht="20" x14ac:dyDescent="0.4">
      <c r="A10" s="57"/>
      <c r="B10" s="3" t="s">
        <v>311</v>
      </c>
      <c r="D10" s="80"/>
      <c r="E10" s="115"/>
      <c r="S10" s="57"/>
      <c r="T10" s="57"/>
      <c r="X10" s="116"/>
      <c r="Y10" s="116"/>
      <c r="Z10" s="116"/>
      <c r="AA10" s="116"/>
      <c r="AB10" s="116"/>
      <c r="AC10" s="116"/>
      <c r="AD10" s="116"/>
      <c r="AE10" s="116"/>
    </row>
    <row r="11" spans="1:31" ht="24" x14ac:dyDescent="0.8">
      <c r="A11" s="57"/>
      <c r="B11" s="6"/>
      <c r="C11" s="6"/>
      <c r="D11" s="8" t="s">
        <v>70</v>
      </c>
      <c r="E11" s="8"/>
      <c r="F11" s="8" t="s">
        <v>59</v>
      </c>
      <c r="G11" s="8"/>
      <c r="H11" s="8"/>
      <c r="I11" s="8"/>
      <c r="J11" s="8"/>
      <c r="L11" s="8" t="s">
        <v>26</v>
      </c>
      <c r="M11" s="9"/>
      <c r="N11" s="9"/>
      <c r="O11" s="9"/>
      <c r="P11" s="9"/>
      <c r="Q11" s="9"/>
      <c r="S11" s="57"/>
      <c r="T11" s="57"/>
      <c r="X11" s="116"/>
      <c r="Y11" s="116"/>
      <c r="Z11" s="116"/>
      <c r="AA11" s="116"/>
      <c r="AB11" s="116"/>
      <c r="AC11" s="116"/>
      <c r="AD11" s="116"/>
      <c r="AE11" s="116"/>
    </row>
    <row r="12" spans="1:31" ht="20.5" thickBot="1" x14ac:dyDescent="0.45">
      <c r="A12" s="57" t="s">
        <v>66</v>
      </c>
      <c r="B12" s="4" t="s">
        <v>27</v>
      </c>
      <c r="C12" s="4"/>
      <c r="D12" s="70">
        <v>2019</v>
      </c>
      <c r="E12" s="72">
        <f t="shared" ref="E12:J12" si="0">D12+1</f>
        <v>2020</v>
      </c>
      <c r="F12" s="72">
        <f t="shared" si="0"/>
        <v>2021</v>
      </c>
      <c r="G12" s="72">
        <f t="shared" si="0"/>
        <v>2022</v>
      </c>
      <c r="H12" s="72">
        <f t="shared" si="0"/>
        <v>2023</v>
      </c>
      <c r="I12" s="72">
        <f t="shared" si="0"/>
        <v>2024</v>
      </c>
      <c r="J12" s="72">
        <f t="shared" si="0"/>
        <v>2025</v>
      </c>
      <c r="L12" s="71">
        <f t="shared" ref="L12:Q12" si="1">E12</f>
        <v>2020</v>
      </c>
      <c r="M12" s="71">
        <f t="shared" si="1"/>
        <v>2021</v>
      </c>
      <c r="N12" s="71">
        <f t="shared" si="1"/>
        <v>2022</v>
      </c>
      <c r="O12" s="71">
        <f t="shared" si="1"/>
        <v>2023</v>
      </c>
      <c r="P12" s="71">
        <f t="shared" si="1"/>
        <v>2024</v>
      </c>
      <c r="Q12" s="71">
        <f t="shared" si="1"/>
        <v>2025</v>
      </c>
      <c r="S12" s="57"/>
      <c r="T12" s="57"/>
      <c r="X12" s="116"/>
      <c r="Y12" s="116"/>
      <c r="Z12" s="116"/>
      <c r="AA12" s="116"/>
      <c r="AB12" s="3"/>
    </row>
    <row r="13" spans="1:31" ht="20" x14ac:dyDescent="0.4">
      <c r="A13" s="57"/>
      <c r="B13" s="10"/>
      <c r="C13" s="10"/>
      <c r="D13" s="11"/>
      <c r="E13" s="11"/>
      <c r="F13" s="11"/>
      <c r="G13" s="11"/>
      <c r="H13" s="11"/>
      <c r="I13" s="11"/>
      <c r="J13" s="11"/>
      <c r="L13" s="10"/>
      <c r="M13" s="12"/>
      <c r="N13" s="12"/>
      <c r="O13" s="12"/>
      <c r="P13" s="12"/>
      <c r="Q13" s="12"/>
      <c r="S13" s="57"/>
      <c r="T13" s="57"/>
      <c r="X13" s="116"/>
      <c r="Y13" s="116"/>
      <c r="Z13" s="116"/>
      <c r="AA13" s="116"/>
      <c r="AB13" s="3"/>
    </row>
    <row r="14" spans="1:31" ht="20" x14ac:dyDescent="0.4">
      <c r="A14" s="57"/>
      <c r="B14" s="13" t="s">
        <v>25</v>
      </c>
      <c r="C14" s="113"/>
      <c r="D14" s="11"/>
      <c r="E14" s="11"/>
      <c r="F14" s="15"/>
      <c r="G14" s="15"/>
      <c r="H14" s="15"/>
      <c r="I14" s="15"/>
      <c r="J14" s="15"/>
      <c r="L14" s="7"/>
      <c r="S14" s="57"/>
      <c r="T14" s="57"/>
      <c r="X14" s="116"/>
      <c r="Y14" s="116"/>
      <c r="Z14" s="116"/>
      <c r="AA14" s="116"/>
      <c r="AB14" s="3"/>
    </row>
    <row r="15" spans="1:31" ht="20" x14ac:dyDescent="0.4">
      <c r="A15" s="57"/>
      <c r="B15" s="3" t="s">
        <v>36</v>
      </c>
      <c r="C15" s="109"/>
      <c r="D15" s="16">
        <v>311.69869073124846</v>
      </c>
      <c r="E15" s="16">
        <v>447.79051664437173</v>
      </c>
      <c r="F15" s="93">
        <f ca="1">F184</f>
        <v>447.79051664437173</v>
      </c>
      <c r="G15" s="93">
        <f t="shared" ref="G15:J15" ca="1" si="2">G184</f>
        <v>447.79051664437173</v>
      </c>
      <c r="H15" s="93">
        <f t="shared" ca="1" si="2"/>
        <v>447.79051664437173</v>
      </c>
      <c r="I15" s="93">
        <f ca="1">I184</f>
        <v>447.79051664437173</v>
      </c>
      <c r="J15" s="93">
        <f t="shared" ca="1" si="2"/>
        <v>572.93058833801467</v>
      </c>
      <c r="L15" s="30">
        <f>E15-D15</f>
        <v>136.09182591312327</v>
      </c>
      <c r="M15" s="30">
        <f t="shared" ref="L15:Q18" ca="1" si="3">F15-E15</f>
        <v>0</v>
      </c>
      <c r="N15" s="30">
        <f t="shared" ca="1" si="3"/>
        <v>0</v>
      </c>
      <c r="O15" s="30">
        <f t="shared" ca="1" si="3"/>
        <v>0</v>
      </c>
      <c r="P15" s="30">
        <f t="shared" ca="1" si="3"/>
        <v>0</v>
      </c>
      <c r="Q15" s="30">
        <f t="shared" ca="1" si="3"/>
        <v>125.14007169364294</v>
      </c>
      <c r="S15" s="230"/>
      <c r="T15" s="230"/>
      <c r="X15" s="116"/>
      <c r="Y15" s="116"/>
      <c r="Z15" s="116"/>
      <c r="AA15" s="116"/>
      <c r="AB15" s="3"/>
    </row>
    <row r="16" spans="1:31" ht="20" x14ac:dyDescent="0.4">
      <c r="A16" s="57"/>
      <c r="B16" s="3" t="s">
        <v>29</v>
      </c>
      <c r="C16" s="112"/>
      <c r="D16" s="18">
        <v>65.670391953703998</v>
      </c>
      <c r="E16" s="18">
        <v>142.25727156002836</v>
      </c>
      <c r="F16" s="92">
        <f ca="1">F52*F198</f>
        <v>164.29008128894185</v>
      </c>
      <c r="G16" s="92">
        <f t="shared" ref="G16:J16" ca="1" si="4">G52*G198</f>
        <v>189.73533313225127</v>
      </c>
      <c r="H16" s="92">
        <f t="shared" ca="1" si="4"/>
        <v>219.1215462088243</v>
      </c>
      <c r="I16" s="92">
        <f t="shared" ca="1" si="4"/>
        <v>253.05909669169807</v>
      </c>
      <c r="J16" s="92">
        <f t="shared" ca="1" si="4"/>
        <v>292.25289583064864</v>
      </c>
      <c r="L16" s="30">
        <f t="shared" si="3"/>
        <v>76.586879606324359</v>
      </c>
      <c r="M16" s="30">
        <f t="shared" ca="1" si="3"/>
        <v>22.032809728913492</v>
      </c>
      <c r="N16" s="30">
        <f t="shared" ca="1" si="3"/>
        <v>25.445251843309421</v>
      </c>
      <c r="O16" s="30">
        <f t="shared" ca="1" si="3"/>
        <v>29.386213076573029</v>
      </c>
      <c r="P16" s="30">
        <f t="shared" ca="1" si="3"/>
        <v>33.937550482873775</v>
      </c>
      <c r="Q16" s="30">
        <f t="shared" ca="1" si="3"/>
        <v>39.193799138950567</v>
      </c>
      <c r="S16" s="230"/>
      <c r="T16" s="230"/>
      <c r="X16" s="116"/>
      <c r="Y16" s="116"/>
      <c r="Z16" s="116"/>
      <c r="AA16" s="116"/>
      <c r="AB16" s="3"/>
    </row>
    <row r="17" spans="1:28" ht="20" x14ac:dyDescent="0.4">
      <c r="A17" s="57"/>
      <c r="B17" s="3" t="s">
        <v>24</v>
      </c>
      <c r="C17" s="112"/>
      <c r="D17" s="18">
        <v>38.327228265596567</v>
      </c>
      <c r="E17" s="18">
        <v>34.722106685282142</v>
      </c>
      <c r="F17" s="92">
        <f ca="1">F52*F203</f>
        <v>40.099867425344122</v>
      </c>
      <c r="G17" s="92">
        <f t="shared" ref="G17:J17" ca="1" si="5">G52*G203</f>
        <v>46.310535881504173</v>
      </c>
      <c r="H17" s="92">
        <f t="shared" ca="1" si="5"/>
        <v>53.483112821380622</v>
      </c>
      <c r="I17" s="92">
        <f t="shared" ca="1" si="5"/>
        <v>61.766578654663164</v>
      </c>
      <c r="J17" s="92">
        <f t="shared" ca="1" si="5"/>
        <v>71.332987880569803</v>
      </c>
      <c r="L17" s="30">
        <f t="shared" si="3"/>
        <v>-3.6051215803144245</v>
      </c>
      <c r="M17" s="30">
        <f t="shared" ca="1" si="3"/>
        <v>5.37776074006198</v>
      </c>
      <c r="N17" s="30">
        <f t="shared" ca="1" si="3"/>
        <v>6.2106684561600503</v>
      </c>
      <c r="O17" s="30">
        <f t="shared" ca="1" si="3"/>
        <v>7.1725769398764498</v>
      </c>
      <c r="P17" s="30">
        <f t="shared" ca="1" si="3"/>
        <v>8.2834658332825413</v>
      </c>
      <c r="Q17" s="30">
        <f t="shared" ca="1" si="3"/>
        <v>9.5664092259066393</v>
      </c>
      <c r="S17" s="230"/>
      <c r="T17" s="230"/>
      <c r="X17" s="116"/>
      <c r="Y17" s="116"/>
      <c r="Z17" s="116"/>
      <c r="AA17" s="116"/>
      <c r="AB17" s="3"/>
    </row>
    <row r="18" spans="1:28" ht="20.5" thickBot="1" x14ac:dyDescent="0.45">
      <c r="A18" s="57"/>
      <c r="B18" s="3" t="s">
        <v>110</v>
      </c>
      <c r="D18" s="20">
        <v>51.002363173451016</v>
      </c>
      <c r="E18" s="20">
        <v>18.939366312956508</v>
      </c>
      <c r="F18" s="92">
        <f ca="1">F52*F208</f>
        <v>21.872695834769257</v>
      </c>
      <c r="G18" s="92">
        <f t="shared" ref="G18:J18" ca="1" si="6">G52*G208</f>
        <v>25.26033950528992</v>
      </c>
      <c r="H18" s="92">
        <f t="shared" ca="1" si="6"/>
        <v>29.172661511078982</v>
      </c>
      <c r="I18" s="92">
        <f t="shared" ca="1" si="6"/>
        <v>33.690924045647392</v>
      </c>
      <c r="J18" s="92">
        <f t="shared" ca="1" si="6"/>
        <v>38.90897519304194</v>
      </c>
      <c r="L18" s="30">
        <f t="shared" si="3"/>
        <v>-32.062996860494508</v>
      </c>
      <c r="M18" s="30">
        <f t="shared" ca="1" si="3"/>
        <v>2.9333295218127482</v>
      </c>
      <c r="N18" s="30">
        <f t="shared" ca="1" si="3"/>
        <v>3.3876436705206636</v>
      </c>
      <c r="O18" s="30">
        <f t="shared" ca="1" si="3"/>
        <v>3.9123220057890613</v>
      </c>
      <c r="P18" s="30">
        <f t="shared" ca="1" si="3"/>
        <v>4.5182625345684109</v>
      </c>
      <c r="Q18" s="30">
        <f t="shared" ca="1" si="3"/>
        <v>5.2180511473945472</v>
      </c>
      <c r="S18" s="230"/>
      <c r="T18" s="230"/>
      <c r="X18" s="116"/>
      <c r="Y18" s="116"/>
      <c r="Z18" s="116"/>
      <c r="AA18" s="116"/>
      <c r="AB18" s="3"/>
    </row>
    <row r="19" spans="1:28" ht="20" x14ac:dyDescent="0.4">
      <c r="A19" s="57"/>
      <c r="B19" s="21" t="s">
        <v>23</v>
      </c>
      <c r="C19" s="21"/>
      <c r="D19" s="22">
        <f t="shared" ref="D19:E19" si="7">SUM(D15:D18)</f>
        <v>466.69867412400004</v>
      </c>
      <c r="E19" s="22">
        <f t="shared" si="7"/>
        <v>643.7092612026388</v>
      </c>
      <c r="F19" s="22">
        <f t="shared" ref="F19:Q19" ca="1" si="8">SUM(F15:F18)</f>
        <v>674.05316119342694</v>
      </c>
      <c r="G19" s="22">
        <f ca="1">SUM(G15:G18)</f>
        <v>709.09672516341709</v>
      </c>
      <c r="H19" s="22">
        <f ca="1">SUM(H15:H18)</f>
        <v>749.56783718565566</v>
      </c>
      <c r="I19" s="22">
        <f ca="1">SUM(I15:I18)</f>
        <v>796.30711603638031</v>
      </c>
      <c r="J19" s="22">
        <f ca="1">SUM(J15:J18)</f>
        <v>975.42544724227503</v>
      </c>
      <c r="L19" s="22">
        <f t="shared" si="8"/>
        <v>177.01058707863871</v>
      </c>
      <c r="M19" s="22">
        <f t="shared" ca="1" si="8"/>
        <v>30.34389999078822</v>
      </c>
      <c r="N19" s="22">
        <f t="shared" ca="1" si="8"/>
        <v>35.043563969990132</v>
      </c>
      <c r="O19" s="22">
        <f t="shared" ca="1" si="8"/>
        <v>40.471112022238543</v>
      </c>
      <c r="P19" s="22">
        <f t="shared" ca="1" si="8"/>
        <v>46.73927885072473</v>
      </c>
      <c r="Q19" s="22">
        <f t="shared" ca="1" si="8"/>
        <v>179.11833120589466</v>
      </c>
      <c r="S19" s="230"/>
      <c r="T19" s="230"/>
      <c r="X19" s="116"/>
      <c r="Y19" s="116"/>
      <c r="Z19" s="116"/>
      <c r="AA19" s="116"/>
      <c r="AB19" s="3"/>
    </row>
    <row r="20" spans="1:28" ht="20" x14ac:dyDescent="0.4">
      <c r="A20" s="57"/>
      <c r="D20" s="23"/>
      <c r="E20" s="23"/>
      <c r="F20" s="23"/>
      <c r="G20" s="23"/>
      <c r="H20" s="23"/>
      <c r="I20" s="23"/>
      <c r="J20" s="23"/>
      <c r="L20" s="24"/>
      <c r="M20" s="24"/>
      <c r="N20" s="24"/>
      <c r="O20" s="24"/>
      <c r="P20" s="24"/>
      <c r="Q20" s="24"/>
      <c r="S20" s="230"/>
      <c r="T20" s="230"/>
      <c r="X20" s="116"/>
      <c r="Y20" s="116"/>
      <c r="Z20" s="116"/>
      <c r="AA20" s="116"/>
      <c r="AB20" s="3"/>
    </row>
    <row r="21" spans="1:28" ht="20" x14ac:dyDescent="0.4">
      <c r="A21" s="57"/>
      <c r="B21" s="3" t="s">
        <v>37</v>
      </c>
      <c r="D21" s="18">
        <v>152.75845055980992</v>
      </c>
      <c r="E21" s="18">
        <v>266.33988411563928</v>
      </c>
      <c r="F21" s="92">
        <f ca="1">F52*F213</f>
        <v>307.59061193846645</v>
      </c>
      <c r="G21" s="92">
        <f t="shared" ref="G21:J21" ca="1" si="9">G52*G213</f>
        <v>355.23025350420926</v>
      </c>
      <c r="H21" s="92">
        <f t="shared" ca="1" si="9"/>
        <v>410.24832393099445</v>
      </c>
      <c r="I21" s="92">
        <f t="shared" ca="1" si="9"/>
        <v>473.78759446285682</v>
      </c>
      <c r="J21" s="92">
        <f t="shared" ca="1" si="9"/>
        <v>547.1678287823014</v>
      </c>
      <c r="L21" s="30">
        <f t="shared" ref="L21:Q24" si="10">E21-D21</f>
        <v>113.58143355582936</v>
      </c>
      <c r="M21" s="30">
        <f t="shared" ca="1" si="10"/>
        <v>41.250727822827173</v>
      </c>
      <c r="N21" s="30">
        <f t="shared" ca="1" si="10"/>
        <v>47.639641565742807</v>
      </c>
      <c r="O21" s="30">
        <f t="shared" ca="1" si="10"/>
        <v>55.018070426785187</v>
      </c>
      <c r="P21" s="30">
        <f t="shared" ca="1" si="10"/>
        <v>63.539270531862371</v>
      </c>
      <c r="Q21" s="30">
        <f t="shared" ca="1" si="10"/>
        <v>73.380234319444583</v>
      </c>
      <c r="S21" s="230"/>
      <c r="T21" s="230"/>
      <c r="X21" s="116"/>
      <c r="Y21" s="116"/>
      <c r="Z21" s="116"/>
      <c r="AA21" s="116"/>
      <c r="AB21" s="3"/>
    </row>
    <row r="22" spans="1:28" ht="20" x14ac:dyDescent="0.4">
      <c r="A22" s="57"/>
      <c r="B22" s="3" t="s">
        <v>55</v>
      </c>
      <c r="D22" s="18">
        <v>22.081509930772707</v>
      </c>
      <c r="E22" s="18">
        <v>11.186133342028487</v>
      </c>
      <c r="F22" s="92">
        <f ca="1">F52*F218</f>
        <v>12.918641950020234</v>
      </c>
      <c r="G22" s="92">
        <f t="shared" ref="G22:J22" ca="1" si="11">G52*G218</f>
        <v>14.91948153396128</v>
      </c>
      <c r="H22" s="92">
        <f t="shared" ca="1" si="11"/>
        <v>17.230211202026773</v>
      </c>
      <c r="I22" s="92">
        <f t="shared" ca="1" si="11"/>
        <v>19.898826738091351</v>
      </c>
      <c r="J22" s="92">
        <f t="shared" ca="1" si="11"/>
        <v>22.980757514220283</v>
      </c>
      <c r="L22" s="30">
        <f t="shared" si="10"/>
        <v>-10.89537658874422</v>
      </c>
      <c r="M22" s="30">
        <f t="shared" ca="1" si="10"/>
        <v>1.7325086079917469</v>
      </c>
      <c r="N22" s="30">
        <f t="shared" ca="1" si="10"/>
        <v>2.0008395839410458</v>
      </c>
      <c r="O22" s="30">
        <f t="shared" ca="1" si="10"/>
        <v>2.310729668065493</v>
      </c>
      <c r="P22" s="30">
        <f t="shared" ca="1" si="10"/>
        <v>2.6686155360645785</v>
      </c>
      <c r="Q22" s="30">
        <f t="shared" ca="1" si="10"/>
        <v>3.0819307761289316</v>
      </c>
      <c r="S22" s="230"/>
      <c r="T22" s="230"/>
      <c r="X22" s="116"/>
      <c r="Y22" s="116"/>
      <c r="Z22" s="116"/>
      <c r="AA22" s="116"/>
      <c r="AB22" s="3"/>
    </row>
    <row r="23" spans="1:28" ht="20" x14ac:dyDescent="0.4">
      <c r="A23" s="57"/>
      <c r="B23" s="3" t="s">
        <v>22</v>
      </c>
      <c r="D23" s="18">
        <v>91.057504075718313</v>
      </c>
      <c r="E23" s="18">
        <v>110.44971184493492</v>
      </c>
      <c r="F23" s="92">
        <f ca="1">F52*F223</f>
        <v>127.55616594043541</v>
      </c>
      <c r="G23" s="92">
        <f t="shared" ref="G23:J23" ca="1" si="12">G52*G223</f>
        <v>147.3120680682884</v>
      </c>
      <c r="H23" s="92">
        <f t="shared" ca="1" si="12"/>
        <v>170.12776480511044</v>
      </c>
      <c r="I23" s="92">
        <f t="shared" ca="1" si="12"/>
        <v>196.47715721542832</v>
      </c>
      <c r="J23" s="92">
        <f t="shared" ca="1" si="12"/>
        <v>226.90754417233453</v>
      </c>
      <c r="L23" s="30">
        <f t="shared" si="10"/>
        <v>19.392207769216611</v>
      </c>
      <c r="M23" s="30">
        <f t="shared" ca="1" si="10"/>
        <v>17.106454095500482</v>
      </c>
      <c r="N23" s="30">
        <f t="shared" ca="1" si="10"/>
        <v>19.755902127852991</v>
      </c>
      <c r="O23" s="30">
        <f t="shared" ca="1" si="10"/>
        <v>22.815696736822048</v>
      </c>
      <c r="P23" s="30">
        <f t="shared" ca="1" si="10"/>
        <v>26.349392410317876</v>
      </c>
      <c r="Q23" s="30">
        <f t="shared" ca="1" si="10"/>
        <v>30.430386956906204</v>
      </c>
      <c r="S23" s="230"/>
      <c r="T23" s="230"/>
      <c r="X23" s="116"/>
      <c r="Y23" s="116"/>
      <c r="Z23" s="116"/>
      <c r="AA23" s="116"/>
      <c r="AB23" s="3"/>
    </row>
    <row r="24" spans="1:28" ht="20.5" thickBot="1" x14ac:dyDescent="0.45">
      <c r="A24" s="57"/>
      <c r="B24" s="3" t="s">
        <v>38</v>
      </c>
      <c r="D24" s="18">
        <v>9.5367844855887043</v>
      </c>
      <c r="E24" s="18">
        <v>7.1269631455119971</v>
      </c>
      <c r="F24" s="92">
        <f ca="1">F52*F225</f>
        <v>8.2307873733215651</v>
      </c>
      <c r="G24" s="92">
        <f t="shared" ref="G24:J24" ca="1" si="13">G52*G225</f>
        <v>9.5055719247672492</v>
      </c>
      <c r="H24" s="92">
        <f t="shared" ca="1" si="13"/>
        <v>10.977795138991652</v>
      </c>
      <c r="I24" s="92">
        <f t="shared" ca="1" si="13"/>
        <v>12.678036320957043</v>
      </c>
      <c r="J24" s="92">
        <f t="shared" ca="1" si="13"/>
        <v>14.641610899132685</v>
      </c>
      <c r="L24" s="30">
        <f t="shared" si="10"/>
        <v>-2.4098213400767072</v>
      </c>
      <c r="M24" s="30">
        <f t="shared" ca="1" si="10"/>
        <v>1.103824227809568</v>
      </c>
      <c r="N24" s="30">
        <f t="shared" ca="1" si="10"/>
        <v>1.2747845514456841</v>
      </c>
      <c r="O24" s="30">
        <f t="shared" ca="1" si="10"/>
        <v>1.4722232142244032</v>
      </c>
      <c r="P24" s="30">
        <f t="shared" ca="1" si="10"/>
        <v>1.7002411819653904</v>
      </c>
      <c r="Q24" s="30">
        <f t="shared" ca="1" si="10"/>
        <v>1.963574578175642</v>
      </c>
      <c r="S24" s="230"/>
      <c r="T24" s="230"/>
      <c r="X24" s="116"/>
      <c r="Y24" s="116"/>
      <c r="Z24" s="116"/>
      <c r="AA24" s="116"/>
      <c r="AB24" s="3"/>
    </row>
    <row r="25" spans="1:28" ht="20" x14ac:dyDescent="0.4">
      <c r="A25" s="57"/>
      <c r="B25" s="21" t="s">
        <v>21</v>
      </c>
      <c r="C25" s="21"/>
      <c r="D25" s="22">
        <f t="shared" ref="D25:E25" si="14">SUM(D21:D24)</f>
        <v>275.43424905188965</v>
      </c>
      <c r="E25" s="22">
        <f t="shared" si="14"/>
        <v>395.10269244811468</v>
      </c>
      <c r="F25" s="22">
        <f t="shared" ref="F25:Q25" ca="1" si="15">SUM(F21:F24)</f>
        <v>456.29620720224364</v>
      </c>
      <c r="G25" s="22">
        <f t="shared" ca="1" si="15"/>
        <v>526.9673750312262</v>
      </c>
      <c r="H25" s="22">
        <f t="shared" ca="1" si="15"/>
        <v>608.58409507712327</v>
      </c>
      <c r="I25" s="22">
        <f t="shared" ca="1" si="15"/>
        <v>702.84161473733354</v>
      </c>
      <c r="J25" s="22">
        <f t="shared" ca="1" si="15"/>
        <v>811.6977413679889</v>
      </c>
      <c r="L25" s="22">
        <f t="shared" si="15"/>
        <v>119.66844339622504</v>
      </c>
      <c r="M25" s="22">
        <f t="shared" ca="1" si="15"/>
        <v>61.193514754128969</v>
      </c>
      <c r="N25" s="22">
        <f t="shared" ca="1" si="15"/>
        <v>70.671167828982533</v>
      </c>
      <c r="O25" s="22">
        <f t="shared" ca="1" si="15"/>
        <v>81.616720045897125</v>
      </c>
      <c r="P25" s="22">
        <f t="shared" ca="1" si="15"/>
        <v>94.257519660210221</v>
      </c>
      <c r="Q25" s="22">
        <f t="shared" ca="1" si="15"/>
        <v>108.85612663065535</v>
      </c>
      <c r="S25" s="230"/>
      <c r="T25" s="230"/>
      <c r="X25" s="116"/>
      <c r="Y25" s="116"/>
      <c r="Z25" s="116"/>
      <c r="AA25" s="116"/>
      <c r="AB25" s="3"/>
    </row>
    <row r="26" spans="1:28" ht="20.5" thickBot="1" x14ac:dyDescent="0.45">
      <c r="A26" s="57"/>
      <c r="D26" s="23"/>
      <c r="E26" s="23"/>
      <c r="F26" s="23"/>
      <c r="G26" s="23"/>
      <c r="H26" s="23"/>
      <c r="I26" s="23"/>
      <c r="J26" s="23"/>
      <c r="L26" s="24"/>
      <c r="M26" s="24"/>
      <c r="N26" s="24"/>
      <c r="O26" s="24"/>
      <c r="P26" s="24"/>
      <c r="Q26" s="24"/>
      <c r="S26" s="230"/>
      <c r="T26" s="230"/>
      <c r="X26" s="116"/>
      <c r="Y26" s="116"/>
      <c r="Z26" s="116"/>
      <c r="AA26" s="116"/>
      <c r="AB26" s="3"/>
    </row>
    <row r="27" spans="1:28" ht="20.5" thickBot="1" x14ac:dyDescent="0.45">
      <c r="A27" s="57"/>
      <c r="B27" s="25" t="s">
        <v>20</v>
      </c>
      <c r="C27" s="25"/>
      <c r="D27" s="26">
        <f t="shared" ref="D27:E27" si="16">D25+D19</f>
        <v>742.13292317588969</v>
      </c>
      <c r="E27" s="26">
        <f t="shared" si="16"/>
        <v>1038.8119536507534</v>
      </c>
      <c r="F27" s="26">
        <f t="shared" ref="F27:Q27" ca="1" si="17">F25+F19</f>
        <v>1130.3493683956706</v>
      </c>
      <c r="G27" s="26">
        <f ca="1">G25+G19</f>
        <v>1236.0641001946433</v>
      </c>
      <c r="H27" s="26">
        <f ca="1">H25+H19</f>
        <v>1358.1519322627789</v>
      </c>
      <c r="I27" s="26">
        <f ca="1">I25+I19</f>
        <v>1499.1487307737139</v>
      </c>
      <c r="J27" s="26">
        <f ca="1">J25+J19</f>
        <v>1787.1231886102639</v>
      </c>
      <c r="L27" s="26">
        <f t="shared" si="17"/>
        <v>296.67903047486374</v>
      </c>
      <c r="M27" s="26">
        <f t="shared" ca="1" si="17"/>
        <v>91.537414744917186</v>
      </c>
      <c r="N27" s="26">
        <f t="shared" ca="1" si="17"/>
        <v>105.71473179897266</v>
      </c>
      <c r="O27" s="26">
        <f t="shared" ca="1" si="17"/>
        <v>122.08783206813567</v>
      </c>
      <c r="P27" s="26">
        <f t="shared" ca="1" si="17"/>
        <v>140.99679851093495</v>
      </c>
      <c r="Q27" s="26">
        <f t="shared" ca="1" si="17"/>
        <v>287.97445783655002</v>
      </c>
      <c r="S27" s="230"/>
      <c r="T27" s="230"/>
      <c r="X27" s="116"/>
      <c r="Y27" s="116"/>
      <c r="Z27" s="116"/>
      <c r="AA27" s="116"/>
      <c r="AB27" s="3"/>
    </row>
    <row r="28" spans="1:28" ht="24" x14ac:dyDescent="0.8">
      <c r="A28" s="57"/>
      <c r="D28" s="58" t="str">
        <f>D$11</f>
        <v>Historical</v>
      </c>
      <c r="E28" s="58"/>
      <c r="F28" s="8" t="str">
        <f>F$11</f>
        <v>Forecast</v>
      </c>
      <c r="G28" s="8"/>
      <c r="H28" s="8"/>
      <c r="I28" s="8"/>
      <c r="J28" s="8"/>
      <c r="L28" s="58" t="str">
        <f>L$11</f>
        <v>YoY Change</v>
      </c>
      <c r="M28" s="9"/>
      <c r="N28" s="9"/>
      <c r="O28" s="9"/>
      <c r="P28" s="9"/>
      <c r="Q28" s="9"/>
      <c r="S28" s="230"/>
      <c r="T28" s="230"/>
      <c r="X28" s="116"/>
      <c r="Y28" s="116"/>
      <c r="Z28" s="116"/>
      <c r="AA28" s="116"/>
      <c r="AB28" s="3"/>
    </row>
    <row r="29" spans="1:28" ht="20.5" thickBot="1" x14ac:dyDescent="0.45">
      <c r="A29" s="57"/>
      <c r="B29" s="13" t="s">
        <v>19</v>
      </c>
      <c r="C29" s="13"/>
      <c r="D29" s="74">
        <f t="shared" ref="D29:E29" si="18">D$12</f>
        <v>2019</v>
      </c>
      <c r="E29" s="74">
        <f t="shared" si="18"/>
        <v>2020</v>
      </c>
      <c r="F29" s="71">
        <f t="shared" ref="F29:Q29" si="19">F$12</f>
        <v>2021</v>
      </c>
      <c r="G29" s="71">
        <f t="shared" si="19"/>
        <v>2022</v>
      </c>
      <c r="H29" s="71">
        <f t="shared" si="19"/>
        <v>2023</v>
      </c>
      <c r="I29" s="71">
        <f t="shared" si="19"/>
        <v>2024</v>
      </c>
      <c r="J29" s="71">
        <f t="shared" si="19"/>
        <v>2025</v>
      </c>
      <c r="L29" s="71">
        <f t="shared" si="19"/>
        <v>2020</v>
      </c>
      <c r="M29" s="71">
        <f t="shared" si="19"/>
        <v>2021</v>
      </c>
      <c r="N29" s="71">
        <f t="shared" si="19"/>
        <v>2022</v>
      </c>
      <c r="O29" s="71">
        <f t="shared" si="19"/>
        <v>2023</v>
      </c>
      <c r="P29" s="71">
        <f t="shared" si="19"/>
        <v>2024</v>
      </c>
      <c r="Q29" s="71">
        <f t="shared" si="19"/>
        <v>2025</v>
      </c>
      <c r="S29" s="230"/>
      <c r="T29" s="230"/>
      <c r="X29" s="116"/>
      <c r="Y29" s="116"/>
      <c r="Z29" s="116"/>
      <c r="AA29" s="116"/>
      <c r="AB29" s="3"/>
    </row>
    <row r="30" spans="1:28" ht="20" x14ac:dyDescent="0.4">
      <c r="A30" s="57"/>
      <c r="B30" s="3" t="s">
        <v>40</v>
      </c>
      <c r="D30" s="18">
        <v>305.95884205949193</v>
      </c>
      <c r="E30" s="28">
        <v>211.14297554389427</v>
      </c>
      <c r="F30" s="93">
        <f ca="1">F152</f>
        <v>204.30699865062667</v>
      </c>
      <c r="G30" s="93">
        <f t="shared" ref="G30:J30" ca="1" si="20">G152</f>
        <v>46.196224228050454</v>
      </c>
      <c r="H30" s="93">
        <f t="shared" ca="1" si="20"/>
        <v>0</v>
      </c>
      <c r="I30" s="93">
        <f t="shared" ca="1" si="20"/>
        <v>0</v>
      </c>
      <c r="J30" s="93">
        <f t="shared" ca="1" si="20"/>
        <v>0</v>
      </c>
      <c r="L30" s="30">
        <f t="shared" ref="L30:Q32" si="21">E30-D30</f>
        <v>-94.815866515597662</v>
      </c>
      <c r="M30" s="30">
        <f t="shared" ca="1" si="21"/>
        <v>-6.8359768932675991</v>
      </c>
      <c r="N30" s="30">
        <f t="shared" ca="1" si="21"/>
        <v>-158.11077442257621</v>
      </c>
      <c r="O30" s="30">
        <f t="shared" ca="1" si="21"/>
        <v>-46.196224228050454</v>
      </c>
      <c r="P30" s="30">
        <f t="shared" ca="1" si="21"/>
        <v>0</v>
      </c>
      <c r="Q30" s="30">
        <f t="shared" ca="1" si="21"/>
        <v>0</v>
      </c>
      <c r="S30" s="230"/>
      <c r="T30" s="230"/>
      <c r="X30" s="116"/>
      <c r="Y30" s="116"/>
      <c r="Z30" s="116"/>
      <c r="AA30" s="116"/>
      <c r="AB30" s="3"/>
    </row>
    <row r="31" spans="1:28" ht="20" x14ac:dyDescent="0.4">
      <c r="A31" s="57"/>
      <c r="B31" s="3" t="s">
        <v>39</v>
      </c>
      <c r="D31" s="18">
        <v>93.167248670593494</v>
      </c>
      <c r="E31" s="28">
        <v>141.28442457322268</v>
      </c>
      <c r="F31" s="92">
        <f ca="1">F52*F232</f>
        <v>163.16655973681813</v>
      </c>
      <c r="G31" s="92">
        <f t="shared" ref="G31:J31" ca="1" si="22">G52*G232</f>
        <v>188.43780053441571</v>
      </c>
      <c r="H31" s="92">
        <f t="shared" ca="1" si="22"/>
        <v>217.62305173022392</v>
      </c>
      <c r="I31" s="92">
        <f t="shared" ca="1" si="22"/>
        <v>251.32851535128199</v>
      </c>
      <c r="J31" s="92">
        <f t="shared" ca="1" si="22"/>
        <v>290.25428200953291</v>
      </c>
      <c r="L31" s="30">
        <f t="shared" si="21"/>
        <v>48.117175902629185</v>
      </c>
      <c r="M31" s="30">
        <f t="shared" ca="1" si="21"/>
        <v>21.88213516359545</v>
      </c>
      <c r="N31" s="30">
        <f t="shared" ca="1" si="21"/>
        <v>25.271240797597585</v>
      </c>
      <c r="O31" s="30">
        <f t="shared" ca="1" si="21"/>
        <v>29.185251195808206</v>
      </c>
      <c r="P31" s="30">
        <f t="shared" ca="1" si="21"/>
        <v>33.705463621058072</v>
      </c>
      <c r="Q31" s="30">
        <f t="shared" ca="1" si="21"/>
        <v>38.925766658250922</v>
      </c>
      <c r="S31" s="230"/>
      <c r="T31" s="230"/>
      <c r="X31" s="116"/>
      <c r="Y31" s="116"/>
      <c r="Z31" s="116"/>
      <c r="AA31" s="116"/>
      <c r="AB31" s="3"/>
    </row>
    <row r="32" spans="1:28" ht="20.5" thickBot="1" x14ac:dyDescent="0.45">
      <c r="A32" s="57"/>
      <c r="B32" s="3" t="s">
        <v>108</v>
      </c>
      <c r="D32" s="18">
        <v>10.096407045154702</v>
      </c>
      <c r="E32" s="28">
        <v>15.680807791029521</v>
      </c>
      <c r="F32" s="92">
        <f ca="1">F52*F237</f>
        <v>18.109451688572783</v>
      </c>
      <c r="G32" s="92">
        <f t="shared" ref="G32:J32" ca="1" si="23">G52*G237</f>
        <v>20.914244012885764</v>
      </c>
      <c r="H32" s="92">
        <f t="shared" ca="1" si="23"/>
        <v>24.153442641586693</v>
      </c>
      <c r="I32" s="92">
        <f t="shared" ca="1" si="23"/>
        <v>27.894328433816622</v>
      </c>
      <c r="J32" s="92">
        <f t="shared" ca="1" si="23"/>
        <v>32.214602709840278</v>
      </c>
      <c r="L32" s="30">
        <f t="shared" si="21"/>
        <v>5.5844007458748184</v>
      </c>
      <c r="M32" s="30">
        <f t="shared" ca="1" si="21"/>
        <v>2.428643897543262</v>
      </c>
      <c r="N32" s="30">
        <f t="shared" ca="1" si="21"/>
        <v>2.8047923243129809</v>
      </c>
      <c r="O32" s="30">
        <f t="shared" ca="1" si="21"/>
        <v>3.2391986287009296</v>
      </c>
      <c r="P32" s="30">
        <f t="shared" ca="1" si="21"/>
        <v>3.7408857922299283</v>
      </c>
      <c r="Q32" s="30">
        <f t="shared" ca="1" si="21"/>
        <v>4.3202742760236568</v>
      </c>
      <c r="S32" s="230"/>
      <c r="T32" s="230"/>
      <c r="X32" s="116"/>
      <c r="Y32" s="116"/>
      <c r="Z32" s="116"/>
      <c r="AA32" s="116"/>
      <c r="AB32" s="3"/>
    </row>
    <row r="33" spans="1:28" ht="20" x14ac:dyDescent="0.4">
      <c r="A33" s="57"/>
      <c r="B33" s="21" t="s">
        <v>18</v>
      </c>
      <c r="C33" s="21"/>
      <c r="D33" s="22">
        <f t="shared" ref="D33:E33" si="24">SUM(D30:D32)</f>
        <v>409.22249777524013</v>
      </c>
      <c r="E33" s="22">
        <f t="shared" si="24"/>
        <v>368.10820790814643</v>
      </c>
      <c r="F33" s="22">
        <f t="shared" ref="F33:Q33" ca="1" si="25">SUM(F30:F32)</f>
        <v>385.58301007601756</v>
      </c>
      <c r="G33" s="22">
        <f ca="1">SUM(G30:G32)</f>
        <v>255.54826877535194</v>
      </c>
      <c r="H33" s="22">
        <f ca="1">SUM(H30:H32)</f>
        <v>241.7764943718106</v>
      </c>
      <c r="I33" s="22">
        <f ca="1">SUM(I30:I32)</f>
        <v>279.22284378509863</v>
      </c>
      <c r="J33" s="22">
        <f ca="1">SUM(J30:J32)</f>
        <v>322.46888471937319</v>
      </c>
      <c r="L33" s="22">
        <f t="shared" si="25"/>
        <v>-41.11428986709366</v>
      </c>
      <c r="M33" s="22">
        <f t="shared" ca="1" si="25"/>
        <v>17.474802167871111</v>
      </c>
      <c r="N33" s="22">
        <f t="shared" ca="1" si="25"/>
        <v>-130.03474130066564</v>
      </c>
      <c r="O33" s="22">
        <f t="shared" ca="1" si="25"/>
        <v>-13.771774403541318</v>
      </c>
      <c r="P33" s="22">
        <f t="shared" ca="1" si="25"/>
        <v>37.446349413288004</v>
      </c>
      <c r="Q33" s="22">
        <f t="shared" ca="1" si="25"/>
        <v>43.246040934274575</v>
      </c>
      <c r="S33" s="230"/>
      <c r="T33" s="230"/>
      <c r="X33" s="116"/>
      <c r="Y33" s="116"/>
      <c r="Z33" s="116"/>
      <c r="AA33" s="116"/>
      <c r="AB33" s="3"/>
    </row>
    <row r="34" spans="1:28" ht="20" x14ac:dyDescent="0.4">
      <c r="A34" s="57"/>
      <c r="D34" s="23"/>
      <c r="E34" s="75"/>
      <c r="F34" s="27"/>
      <c r="G34" s="27"/>
      <c r="H34" s="27"/>
      <c r="I34" s="27"/>
      <c r="J34" s="27"/>
      <c r="L34" s="24"/>
      <c r="M34" s="24"/>
      <c r="N34" s="24"/>
      <c r="O34" s="24"/>
      <c r="P34" s="24"/>
      <c r="Q34" s="24"/>
      <c r="S34" s="230"/>
      <c r="T34" s="230"/>
      <c r="X34" s="116"/>
      <c r="Y34" s="116"/>
      <c r="Z34" s="116"/>
      <c r="AA34" s="116"/>
      <c r="AB34" s="3"/>
    </row>
    <row r="35" spans="1:28" ht="20" x14ac:dyDescent="0.4">
      <c r="A35" s="57"/>
      <c r="B35" s="3" t="s">
        <v>41</v>
      </c>
      <c r="D35" s="18">
        <v>343.10003636850263</v>
      </c>
      <c r="E35" s="28">
        <v>535.44797154853859</v>
      </c>
      <c r="F35" s="93">
        <f ca="1">F163</f>
        <v>535.44797154853859</v>
      </c>
      <c r="G35" s="93">
        <f t="shared" ref="G35:J35" ca="1" si="26">G163</f>
        <v>535.44797154853859</v>
      </c>
      <c r="H35" s="93">
        <f t="shared" ca="1" si="26"/>
        <v>389.19723988285989</v>
      </c>
      <c r="I35" s="93">
        <f t="shared" ca="1" si="26"/>
        <v>155.22903109850867</v>
      </c>
      <c r="J35" s="93">
        <f t="shared" ca="1" si="26"/>
        <v>0</v>
      </c>
      <c r="L35" s="30">
        <f t="shared" ref="L35:Q35" si="27">E35-D35</f>
        <v>192.34793518003596</v>
      </c>
      <c r="M35" s="30">
        <f t="shared" ca="1" si="27"/>
        <v>0</v>
      </c>
      <c r="N35" s="30">
        <f t="shared" ca="1" si="27"/>
        <v>0</v>
      </c>
      <c r="O35" s="30">
        <f t="shared" ca="1" si="27"/>
        <v>-146.2507316656787</v>
      </c>
      <c r="P35" s="30">
        <f t="shared" ca="1" si="27"/>
        <v>-233.96820878435122</v>
      </c>
      <c r="Q35" s="30">
        <f t="shared" ca="1" si="27"/>
        <v>-155.22903109850867</v>
      </c>
      <c r="S35" s="230"/>
      <c r="T35" s="230"/>
      <c r="X35" s="116"/>
      <c r="Y35" s="116"/>
      <c r="Z35" s="116"/>
      <c r="AA35" s="116"/>
      <c r="AB35" s="3"/>
    </row>
    <row r="36" spans="1:28" ht="20" x14ac:dyDescent="0.4">
      <c r="A36" s="57"/>
      <c r="D36" s="18"/>
      <c r="E36" s="18"/>
      <c r="F36" s="18"/>
      <c r="G36" s="18"/>
      <c r="H36" s="18"/>
      <c r="I36" s="18"/>
      <c r="J36" s="18"/>
      <c r="K36" s="18"/>
      <c r="L36" s="18"/>
      <c r="M36" s="30"/>
      <c r="N36" s="30"/>
      <c r="O36" s="30"/>
      <c r="P36" s="30"/>
      <c r="Q36" s="30"/>
      <c r="S36" s="230"/>
      <c r="T36" s="230"/>
      <c r="X36" s="116"/>
      <c r="Y36" s="116"/>
      <c r="Z36" s="116"/>
      <c r="AA36" s="116"/>
      <c r="AB36" s="3"/>
    </row>
    <row r="37" spans="1:28" ht="20.5" thickBot="1" x14ac:dyDescent="0.45">
      <c r="A37" s="57"/>
      <c r="B37" s="3" t="s">
        <v>28</v>
      </c>
      <c r="D37" s="18">
        <v>81.750739597822985</v>
      </c>
      <c r="E37" s="18">
        <v>56.652404351895761</v>
      </c>
      <c r="F37" s="92">
        <f ca="1">F52*F242</f>
        <v>65.426730135615571</v>
      </c>
      <c r="G37" s="92">
        <f t="shared" ref="G37:J37" ca="1" si="28">G52*G242</f>
        <v>75.560023713193459</v>
      </c>
      <c r="H37" s="92">
        <f t="shared" ca="1" si="28"/>
        <v>87.262762050069853</v>
      </c>
      <c r="I37" s="92">
        <f t="shared" ca="1" si="28"/>
        <v>100.77802078928545</v>
      </c>
      <c r="J37" s="92">
        <f t="shared" ca="1" si="28"/>
        <v>116.38652313547209</v>
      </c>
      <c r="L37" s="30">
        <f t="shared" ref="L37:Q37" si="29">E37-D37</f>
        <v>-25.098335245927224</v>
      </c>
      <c r="M37" s="30">
        <f t="shared" ca="1" si="29"/>
        <v>8.7743257837198101</v>
      </c>
      <c r="N37" s="30">
        <f t="shared" ca="1" si="29"/>
        <v>10.133293577577888</v>
      </c>
      <c r="O37" s="30">
        <f t="shared" ca="1" si="29"/>
        <v>11.702738336876394</v>
      </c>
      <c r="P37" s="30">
        <f t="shared" ca="1" si="29"/>
        <v>13.515258739215597</v>
      </c>
      <c r="Q37" s="30">
        <f t="shared" ca="1" si="29"/>
        <v>15.60850234618664</v>
      </c>
      <c r="S37" s="230"/>
      <c r="T37" s="230"/>
      <c r="X37" s="116"/>
      <c r="Y37" s="116"/>
      <c r="Z37" s="116"/>
      <c r="AA37" s="116"/>
      <c r="AB37" s="3"/>
    </row>
    <row r="38" spans="1:28" ht="20" x14ac:dyDescent="0.4">
      <c r="A38" s="57"/>
      <c r="B38" s="21" t="s">
        <v>17</v>
      </c>
      <c r="C38" s="21"/>
      <c r="D38" s="22">
        <f t="shared" ref="D38:E38" si="30">SUM(D35:D37)</f>
        <v>424.85077596632561</v>
      </c>
      <c r="E38" s="22">
        <f t="shared" si="30"/>
        <v>592.1003759004343</v>
      </c>
      <c r="F38" s="22">
        <f t="shared" ref="F38:Q38" ca="1" si="31">SUM(F35:F37)</f>
        <v>600.87470168415416</v>
      </c>
      <c r="G38" s="22">
        <f ca="1">SUM(G35:G37)</f>
        <v>611.00799526173205</v>
      </c>
      <c r="H38" s="22">
        <f ca="1">SUM(H35:H37)</f>
        <v>476.46000193292974</v>
      </c>
      <c r="I38" s="22">
        <f ca="1">SUM(I35:I37)</f>
        <v>256.00705188779409</v>
      </c>
      <c r="J38" s="22">
        <f ca="1">SUM(J35:J37)</f>
        <v>116.38652313547209</v>
      </c>
      <c r="L38" s="22">
        <f t="shared" si="31"/>
        <v>167.24959993410874</v>
      </c>
      <c r="M38" s="22">
        <f t="shared" ca="1" si="31"/>
        <v>8.7743257837198101</v>
      </c>
      <c r="N38" s="22">
        <f t="shared" ca="1" si="31"/>
        <v>10.133293577577888</v>
      </c>
      <c r="O38" s="22">
        <f t="shared" ca="1" si="31"/>
        <v>-134.54799332880231</v>
      </c>
      <c r="P38" s="22">
        <f t="shared" ca="1" si="31"/>
        <v>-220.45295004513562</v>
      </c>
      <c r="Q38" s="22">
        <f t="shared" ca="1" si="31"/>
        <v>-139.62052875232203</v>
      </c>
      <c r="S38" s="230"/>
      <c r="T38" s="230"/>
      <c r="X38" s="116"/>
      <c r="Y38" s="116"/>
      <c r="Z38" s="116"/>
      <c r="AA38" s="116"/>
      <c r="AB38" s="3"/>
    </row>
    <row r="39" spans="1:28" ht="20.5" thickBot="1" x14ac:dyDescent="0.45">
      <c r="A39" s="57"/>
      <c r="D39" s="18"/>
      <c r="E39" s="18"/>
      <c r="F39" s="18"/>
      <c r="G39" s="18"/>
      <c r="H39" s="18"/>
      <c r="I39" s="18"/>
      <c r="J39" s="18"/>
      <c r="L39" s="19"/>
      <c r="M39" s="19"/>
      <c r="N39" s="19"/>
      <c r="O39" s="19"/>
      <c r="P39" s="19"/>
      <c r="Q39" s="19"/>
      <c r="S39" s="230"/>
      <c r="T39" s="230"/>
      <c r="X39" s="116"/>
      <c r="Y39" s="116"/>
      <c r="Z39" s="116"/>
      <c r="AA39" s="116"/>
      <c r="AB39" s="3"/>
    </row>
    <row r="40" spans="1:28" ht="20.5" thickBot="1" x14ac:dyDescent="0.45">
      <c r="A40" s="57"/>
      <c r="B40" s="25" t="s">
        <v>16</v>
      </c>
      <c r="C40" s="25"/>
      <c r="D40" s="26">
        <f t="shared" ref="D40:E40" si="32">D38+D33</f>
        <v>834.0732737415658</v>
      </c>
      <c r="E40" s="26">
        <f t="shared" si="32"/>
        <v>960.20858380858067</v>
      </c>
      <c r="F40" s="26">
        <f t="shared" ref="F40:Q40" ca="1" si="33">F38+F33</f>
        <v>986.45771176017172</v>
      </c>
      <c r="G40" s="26">
        <f ca="1">G38+G33</f>
        <v>866.55626403708402</v>
      </c>
      <c r="H40" s="26">
        <f ca="1">H38+H33</f>
        <v>718.23649630474029</v>
      </c>
      <c r="I40" s="26">
        <f ca="1">I38+I33</f>
        <v>535.22989567289278</v>
      </c>
      <c r="J40" s="26">
        <f ca="1">J38+J33</f>
        <v>438.85540785484528</v>
      </c>
      <c r="L40" s="26">
        <f t="shared" si="33"/>
        <v>126.13531006701508</v>
      </c>
      <c r="M40" s="26">
        <f t="shared" ca="1" si="33"/>
        <v>26.249127951590921</v>
      </c>
      <c r="N40" s="26">
        <f t="shared" ca="1" si="33"/>
        <v>-119.90144772308776</v>
      </c>
      <c r="O40" s="26">
        <f t="shared" ca="1" si="33"/>
        <v>-148.31976773234362</v>
      </c>
      <c r="P40" s="26">
        <f t="shared" ca="1" si="33"/>
        <v>-183.00660063184762</v>
      </c>
      <c r="Q40" s="26">
        <f t="shared" ca="1" si="33"/>
        <v>-96.374487818047456</v>
      </c>
      <c r="S40" s="230"/>
      <c r="T40" s="230"/>
      <c r="X40" s="116"/>
      <c r="Y40" s="116"/>
      <c r="Z40" s="116"/>
      <c r="AA40" s="116"/>
      <c r="AB40" s="3"/>
    </row>
    <row r="41" spans="1:28" ht="24" x14ac:dyDescent="0.8">
      <c r="A41" s="57"/>
      <c r="D41" s="58" t="str">
        <f>D$11</f>
        <v>Historical</v>
      </c>
      <c r="E41" s="58"/>
      <c r="F41" s="8" t="str">
        <f>F$11</f>
        <v>Forecast</v>
      </c>
      <c r="G41" s="8"/>
      <c r="H41" s="8"/>
      <c r="I41" s="8"/>
      <c r="J41" s="8"/>
      <c r="L41" s="58" t="str">
        <f>L$11</f>
        <v>YoY Change</v>
      </c>
      <c r="M41" s="9"/>
      <c r="N41" s="9"/>
      <c r="O41" s="9"/>
      <c r="P41" s="9"/>
      <c r="Q41" s="9"/>
      <c r="S41" s="230"/>
      <c r="T41" s="230"/>
      <c r="X41" s="116"/>
      <c r="Y41" s="116"/>
      <c r="Z41" s="116"/>
      <c r="AA41" s="116"/>
      <c r="AB41" s="3"/>
    </row>
    <row r="42" spans="1:28" ht="20.5" thickBot="1" x14ac:dyDescent="0.45">
      <c r="A42" s="57"/>
      <c r="B42" s="13" t="s">
        <v>15</v>
      </c>
      <c r="C42" s="13"/>
      <c r="D42" s="74">
        <f t="shared" ref="D42:E42" si="34">D$12</f>
        <v>2019</v>
      </c>
      <c r="E42" s="74">
        <f t="shared" si="34"/>
        <v>2020</v>
      </c>
      <c r="F42" s="71">
        <f t="shared" ref="F42:Q42" si="35">F$12</f>
        <v>2021</v>
      </c>
      <c r="G42" s="71">
        <f t="shared" si="35"/>
        <v>2022</v>
      </c>
      <c r="H42" s="71">
        <f t="shared" si="35"/>
        <v>2023</v>
      </c>
      <c r="I42" s="71">
        <f t="shared" si="35"/>
        <v>2024</v>
      </c>
      <c r="J42" s="71">
        <f t="shared" si="35"/>
        <v>2025</v>
      </c>
      <c r="L42" s="71">
        <f t="shared" si="35"/>
        <v>2020</v>
      </c>
      <c r="M42" s="71">
        <f t="shared" si="35"/>
        <v>2021</v>
      </c>
      <c r="N42" s="71">
        <f t="shared" si="35"/>
        <v>2022</v>
      </c>
      <c r="O42" s="71">
        <f t="shared" si="35"/>
        <v>2023</v>
      </c>
      <c r="P42" s="71">
        <f t="shared" si="35"/>
        <v>2024</v>
      </c>
      <c r="Q42" s="71">
        <f t="shared" si="35"/>
        <v>2025</v>
      </c>
      <c r="S42" s="230"/>
      <c r="T42" s="230"/>
      <c r="X42" s="116"/>
      <c r="Y42" s="116"/>
      <c r="Z42" s="116"/>
      <c r="AA42" s="116"/>
      <c r="AB42" s="3"/>
    </row>
    <row r="43" spans="1:28" ht="20" x14ac:dyDescent="0.4">
      <c r="A43" s="57"/>
      <c r="B43" s="3" t="s">
        <v>14</v>
      </c>
      <c r="D43" s="18">
        <v>2.3129605999012277</v>
      </c>
      <c r="E43" s="18">
        <v>2.3129605999012277</v>
      </c>
      <c r="F43" s="93">
        <f>F246</f>
        <v>2.3129605999012277</v>
      </c>
      <c r="G43" s="93">
        <f t="shared" ref="G43:J43" ca="1" si="36">G246</f>
        <v>2.3129605999012277</v>
      </c>
      <c r="H43" s="93">
        <f t="shared" ca="1" si="36"/>
        <v>2.3129605999012277</v>
      </c>
      <c r="I43" s="93">
        <f t="shared" ca="1" si="36"/>
        <v>2.3129605999012277</v>
      </c>
      <c r="J43" s="93">
        <f t="shared" ca="1" si="36"/>
        <v>2.3129605999012277</v>
      </c>
      <c r="L43" s="30">
        <f t="shared" ref="L43:Q46" si="37">E43-D43</f>
        <v>0</v>
      </c>
      <c r="M43" s="30">
        <f t="shared" si="37"/>
        <v>0</v>
      </c>
      <c r="N43" s="30">
        <f t="shared" ca="1" si="37"/>
        <v>0</v>
      </c>
      <c r="O43" s="30">
        <f t="shared" ca="1" si="37"/>
        <v>0</v>
      </c>
      <c r="P43" s="30">
        <f t="shared" ca="1" si="37"/>
        <v>0</v>
      </c>
      <c r="Q43" s="30">
        <f t="shared" ca="1" si="37"/>
        <v>0</v>
      </c>
      <c r="S43" s="230"/>
      <c r="T43" s="230"/>
      <c r="X43" s="116"/>
      <c r="Y43" s="116"/>
      <c r="Z43" s="116"/>
      <c r="AA43" s="116"/>
      <c r="AB43" s="3"/>
    </row>
    <row r="44" spans="1:28" ht="20" x14ac:dyDescent="0.4">
      <c r="A44" s="57"/>
      <c r="B44" s="3" t="s">
        <v>42</v>
      </c>
      <c r="D44" s="18">
        <v>29.644342908840009</v>
      </c>
      <c r="E44" s="18">
        <v>29.644342908840009</v>
      </c>
      <c r="F44" s="93">
        <f>F251</f>
        <v>29.644342908840009</v>
      </c>
      <c r="G44" s="93">
        <f t="shared" ref="G44:J44" ca="1" si="38">G251</f>
        <v>29.644342908840009</v>
      </c>
      <c r="H44" s="93">
        <f t="shared" ca="1" si="38"/>
        <v>29.644342908840009</v>
      </c>
      <c r="I44" s="93">
        <f t="shared" ca="1" si="38"/>
        <v>29.644342908840009</v>
      </c>
      <c r="J44" s="93">
        <f t="shared" ca="1" si="38"/>
        <v>29.644342908840009</v>
      </c>
      <c r="L44" s="30">
        <f t="shared" si="37"/>
        <v>0</v>
      </c>
      <c r="M44" s="30">
        <f t="shared" si="37"/>
        <v>0</v>
      </c>
      <c r="N44" s="30">
        <f t="shared" ca="1" si="37"/>
        <v>0</v>
      </c>
      <c r="O44" s="30">
        <f t="shared" ca="1" si="37"/>
        <v>0</v>
      </c>
      <c r="P44" s="30">
        <f t="shared" ca="1" si="37"/>
        <v>0</v>
      </c>
      <c r="Q44" s="30">
        <f t="shared" ca="1" si="37"/>
        <v>0</v>
      </c>
      <c r="S44" s="230"/>
      <c r="T44" s="230"/>
      <c r="X44" s="116"/>
      <c r="Y44" s="116"/>
      <c r="Z44" s="116"/>
      <c r="AA44" s="116"/>
      <c r="AB44" s="3"/>
    </row>
    <row r="45" spans="1:28" ht="20" x14ac:dyDescent="0.4">
      <c r="A45" s="57"/>
      <c r="B45" s="3" t="s">
        <v>43</v>
      </c>
      <c r="D45" s="29">
        <v>228.05024911662613</v>
      </c>
      <c r="E45" s="29">
        <v>398.59396952447497</v>
      </c>
      <c r="F45" s="93">
        <f ca="1">F256</f>
        <v>588.32100112096475</v>
      </c>
      <c r="G45" s="93">
        <f t="shared" ref="G45:J45" ca="1" si="39">G256</f>
        <v>813.93718064302527</v>
      </c>
      <c r="H45" s="93">
        <f t="shared" ca="1" si="39"/>
        <v>1084.3447804435045</v>
      </c>
      <c r="I45" s="93">
        <f t="shared" ca="1" si="39"/>
        <v>1408.3481795862872</v>
      </c>
      <c r="J45" s="93">
        <f t="shared" ca="1" si="39"/>
        <v>1792.6971252408848</v>
      </c>
      <c r="L45" s="30">
        <f t="shared" si="37"/>
        <v>170.54372040784884</v>
      </c>
      <c r="M45" s="30">
        <f t="shared" ca="1" si="37"/>
        <v>189.72703159648978</v>
      </c>
      <c r="N45" s="30">
        <f t="shared" ca="1" si="37"/>
        <v>225.61617952206052</v>
      </c>
      <c r="O45" s="30">
        <f t="shared" ca="1" si="37"/>
        <v>270.40759980047926</v>
      </c>
      <c r="P45" s="30">
        <f t="shared" ca="1" si="37"/>
        <v>324.00339914278265</v>
      </c>
      <c r="Q45" s="30">
        <f t="shared" ca="1" si="37"/>
        <v>384.34894565459763</v>
      </c>
      <c r="S45" s="230"/>
      <c r="T45" s="230"/>
      <c r="X45" s="116"/>
      <c r="Y45" s="116"/>
      <c r="Z45" s="116"/>
      <c r="AA45" s="116"/>
      <c r="AB45" s="3"/>
    </row>
    <row r="46" spans="1:28" ht="20.5" thickBot="1" x14ac:dyDescent="0.45">
      <c r="A46" s="57"/>
      <c r="B46" s="3" t="s">
        <v>44</v>
      </c>
      <c r="D46" s="18">
        <v>-351.94790319104351</v>
      </c>
      <c r="E46" s="18">
        <v>-351.94790319104351</v>
      </c>
      <c r="F46" s="93">
        <f>F257</f>
        <v>-351.94790319104351</v>
      </c>
      <c r="G46" s="93">
        <f t="shared" ref="G46:J46" ca="1" si="40">G257</f>
        <v>-351.94790319104351</v>
      </c>
      <c r="H46" s="93">
        <f t="shared" ca="1" si="40"/>
        <v>-351.94790319104351</v>
      </c>
      <c r="I46" s="93">
        <f t="shared" ca="1" si="40"/>
        <v>-351.94790319104351</v>
      </c>
      <c r="J46" s="93">
        <f t="shared" ca="1" si="40"/>
        <v>-351.94790319104351</v>
      </c>
      <c r="L46" s="30">
        <f t="shared" si="37"/>
        <v>0</v>
      </c>
      <c r="M46" s="30">
        <f t="shared" si="37"/>
        <v>0</v>
      </c>
      <c r="N46" s="30">
        <f t="shared" ca="1" si="37"/>
        <v>0</v>
      </c>
      <c r="O46" s="30">
        <f t="shared" ca="1" si="37"/>
        <v>0</v>
      </c>
      <c r="P46" s="30">
        <f t="shared" ca="1" si="37"/>
        <v>0</v>
      </c>
      <c r="Q46" s="30">
        <f t="shared" ca="1" si="37"/>
        <v>0</v>
      </c>
      <c r="S46" s="230"/>
      <c r="T46" s="230"/>
      <c r="X46" s="116"/>
      <c r="Y46" s="116"/>
      <c r="Z46" s="116"/>
      <c r="AA46" s="116"/>
      <c r="AB46" s="3"/>
    </row>
    <row r="47" spans="1:28" ht="20" x14ac:dyDescent="0.4">
      <c r="A47" s="57"/>
      <c r="B47" s="31" t="s">
        <v>109</v>
      </c>
      <c r="C47" s="31"/>
      <c r="D47" s="32">
        <f t="shared" ref="D47:E47" si="41">SUM(D43:D46)</f>
        <v>-91.940350565676113</v>
      </c>
      <c r="E47" s="32">
        <f t="shared" si="41"/>
        <v>78.603369842172697</v>
      </c>
      <c r="F47" s="32">
        <f t="shared" ref="F47:Q47" ca="1" si="42">SUM(F43:F46)</f>
        <v>268.33040143866248</v>
      </c>
      <c r="G47" s="32">
        <f ca="1">SUM(G43:G46)</f>
        <v>493.946580960723</v>
      </c>
      <c r="H47" s="32">
        <f ca="1">SUM(H43:H46)</f>
        <v>764.35418076120231</v>
      </c>
      <c r="I47" s="32">
        <f ca="1">SUM(I43:I46)</f>
        <v>1088.357579903985</v>
      </c>
      <c r="J47" s="32">
        <f ca="1">SUM(J43:J46)</f>
        <v>1472.7065255585826</v>
      </c>
      <c r="L47" s="32">
        <f t="shared" si="42"/>
        <v>170.54372040784884</v>
      </c>
      <c r="M47" s="32">
        <f t="shared" ca="1" si="42"/>
        <v>189.72703159648978</v>
      </c>
      <c r="N47" s="32">
        <f t="shared" ca="1" si="42"/>
        <v>225.61617952206052</v>
      </c>
      <c r="O47" s="32">
        <f t="shared" ca="1" si="42"/>
        <v>270.40759980047926</v>
      </c>
      <c r="P47" s="32">
        <f t="shared" ca="1" si="42"/>
        <v>324.00339914278265</v>
      </c>
      <c r="Q47" s="32">
        <f t="shared" ca="1" si="42"/>
        <v>384.34894565459763</v>
      </c>
      <c r="S47" s="230"/>
      <c r="T47" s="230"/>
      <c r="X47" s="116"/>
      <c r="Y47" s="116"/>
      <c r="Z47" s="116"/>
      <c r="AA47" s="116"/>
      <c r="AB47" s="3"/>
    </row>
    <row r="48" spans="1:28" ht="20.5" thickBot="1" x14ac:dyDescent="0.45">
      <c r="A48" s="57"/>
      <c r="D48" s="27"/>
      <c r="E48" s="27"/>
      <c r="F48" s="27"/>
      <c r="G48" s="27"/>
      <c r="H48" s="27"/>
      <c r="I48" s="27"/>
      <c r="J48" s="27"/>
      <c r="L48" s="33"/>
      <c r="M48" s="33"/>
      <c r="N48" s="33"/>
      <c r="O48" s="33"/>
      <c r="P48" s="33"/>
      <c r="Q48" s="33"/>
      <c r="S48" s="230"/>
      <c r="T48" s="230"/>
      <c r="X48" s="116"/>
      <c r="Y48" s="116"/>
      <c r="Z48" s="116"/>
      <c r="AA48" s="116"/>
      <c r="AB48" s="3"/>
    </row>
    <row r="49" spans="1:28" ht="20.5" thickBot="1" x14ac:dyDescent="0.45">
      <c r="A49" s="57"/>
      <c r="B49" s="34" t="str">
        <f>B40&amp;" and "&amp;B47</f>
        <v>Total Liabilities and Total Equity</v>
      </c>
      <c r="C49" s="34"/>
      <c r="D49" s="35">
        <f t="shared" ref="D49:E49" si="43">D47+D40</f>
        <v>742.13292317588969</v>
      </c>
      <c r="E49" s="35">
        <f t="shared" si="43"/>
        <v>1038.8119536507534</v>
      </c>
      <c r="F49" s="35">
        <f t="shared" ref="F49:Q49" ca="1" si="44">F47+F40</f>
        <v>1254.7881131988343</v>
      </c>
      <c r="G49" s="35">
        <f ca="1">G47+G40</f>
        <v>1360.502844997807</v>
      </c>
      <c r="H49" s="35">
        <f ca="1">H47+H40</f>
        <v>1482.5906770659426</v>
      </c>
      <c r="I49" s="35">
        <f ca="1">I47+I40</f>
        <v>1623.5874755768778</v>
      </c>
      <c r="J49" s="35">
        <f ca="1">J47+J40</f>
        <v>1911.5619334134278</v>
      </c>
      <c r="L49" s="35">
        <f t="shared" si="44"/>
        <v>296.67903047486391</v>
      </c>
      <c r="M49" s="35">
        <f t="shared" ca="1" si="44"/>
        <v>215.97615954808072</v>
      </c>
      <c r="N49" s="35">
        <f t="shared" ca="1" si="44"/>
        <v>105.71473179897276</v>
      </c>
      <c r="O49" s="35">
        <f t="shared" ca="1" si="44"/>
        <v>122.08783206813564</v>
      </c>
      <c r="P49" s="35">
        <f t="shared" ca="1" si="44"/>
        <v>140.99679851093504</v>
      </c>
      <c r="Q49" s="35">
        <f t="shared" ca="1" si="44"/>
        <v>287.97445783655019</v>
      </c>
      <c r="S49" s="230"/>
      <c r="T49" s="230"/>
      <c r="X49" s="116"/>
      <c r="Y49" s="116"/>
      <c r="Z49" s="116"/>
      <c r="AA49" s="116"/>
      <c r="AB49" s="3"/>
    </row>
    <row r="50" spans="1:28" ht="24" x14ac:dyDescent="0.8">
      <c r="A50" s="57"/>
      <c r="B50" s="36"/>
      <c r="C50" s="112"/>
      <c r="D50" s="289">
        <f t="shared" ref="D50:J50" si="45">D49-D27</f>
        <v>0</v>
      </c>
      <c r="E50" s="289">
        <f t="shared" si="45"/>
        <v>0</v>
      </c>
      <c r="F50" s="289">
        <f t="shared" ca="1" si="45"/>
        <v>124.43874480316367</v>
      </c>
      <c r="G50" s="289">
        <f t="shared" ca="1" si="45"/>
        <v>124.43874480316367</v>
      </c>
      <c r="H50" s="289">
        <f t="shared" ca="1" si="45"/>
        <v>124.43874480316367</v>
      </c>
      <c r="I50" s="289">
        <f t="shared" ca="1" si="45"/>
        <v>124.4387448031639</v>
      </c>
      <c r="J50" s="289">
        <f t="shared" ca="1" si="45"/>
        <v>124.4387448031639</v>
      </c>
      <c r="L50" s="58" t="str">
        <f>L$11</f>
        <v>YoY Change</v>
      </c>
      <c r="M50" s="9"/>
      <c r="N50" s="9"/>
      <c r="O50" s="9"/>
      <c r="P50" s="9"/>
      <c r="Q50" s="9"/>
      <c r="S50" s="230"/>
      <c r="T50" s="230"/>
      <c r="X50" s="116"/>
      <c r="Y50" s="116"/>
      <c r="Z50" s="116"/>
      <c r="AA50" s="116"/>
      <c r="AB50" s="3"/>
    </row>
    <row r="51" spans="1:28" ht="20.5" thickBot="1" x14ac:dyDescent="0.45">
      <c r="A51" s="57" t="s">
        <v>66</v>
      </c>
      <c r="B51" s="4" t="s">
        <v>13</v>
      </c>
      <c r="C51" s="4"/>
      <c r="D51" s="74">
        <f t="shared" ref="D51:E51" si="46">D$12</f>
        <v>2019</v>
      </c>
      <c r="E51" s="74">
        <f t="shared" si="46"/>
        <v>2020</v>
      </c>
      <c r="F51" s="71">
        <f t="shared" ref="F51:Q51" si="47">F$12</f>
        <v>2021</v>
      </c>
      <c r="G51" s="71">
        <f t="shared" si="47"/>
        <v>2022</v>
      </c>
      <c r="H51" s="71">
        <f t="shared" si="47"/>
        <v>2023</v>
      </c>
      <c r="I51" s="71">
        <f t="shared" si="47"/>
        <v>2024</v>
      </c>
      <c r="J51" s="71">
        <f t="shared" si="47"/>
        <v>2025</v>
      </c>
      <c r="L51" s="71">
        <f t="shared" si="47"/>
        <v>2020</v>
      </c>
      <c r="M51" s="71">
        <f t="shared" si="47"/>
        <v>2021</v>
      </c>
      <c r="N51" s="71">
        <f t="shared" si="47"/>
        <v>2022</v>
      </c>
      <c r="O51" s="71">
        <f t="shared" si="47"/>
        <v>2023</v>
      </c>
      <c r="P51" s="71">
        <f t="shared" si="47"/>
        <v>2024</v>
      </c>
      <c r="Q51" s="71">
        <f t="shared" si="47"/>
        <v>2025</v>
      </c>
      <c r="S51" s="230"/>
      <c r="T51" s="230"/>
      <c r="X51" s="116"/>
      <c r="Y51" s="116"/>
      <c r="Z51" s="116"/>
      <c r="AA51" s="116"/>
      <c r="AB51" s="3"/>
    </row>
    <row r="52" spans="1:28" ht="20" x14ac:dyDescent="0.4">
      <c r="A52" s="57"/>
      <c r="B52" s="3" t="s">
        <v>12</v>
      </c>
      <c r="D52" s="18">
        <v>1105.6199220656217</v>
      </c>
      <c r="E52" s="18">
        <v>1276.8583628724161</v>
      </c>
      <c r="F52" s="92">
        <f ca="1">(1+F264)*E52</f>
        <v>1474.6182176160712</v>
      </c>
      <c r="G52" s="92">
        <f t="shared" ref="G52:J52" ca="1" si="48">(1+G264)*F52</f>
        <v>1703.0071235414503</v>
      </c>
      <c r="H52" s="92">
        <f t="shared" ca="1" si="48"/>
        <v>1966.7689088512425</v>
      </c>
      <c r="I52" s="92">
        <f t="shared" ca="1" si="48"/>
        <v>2271.3821259772067</v>
      </c>
      <c r="J52" s="92">
        <f t="shared" ca="1" si="48"/>
        <v>2623.1738456868966</v>
      </c>
      <c r="L52" s="30">
        <f t="shared" ref="L52:L63" si="49">E52-D52</f>
        <v>171.23844080679442</v>
      </c>
      <c r="M52" s="30">
        <f t="shared" ref="M52:M63" ca="1" si="50">F52-E52</f>
        <v>197.75985474365507</v>
      </c>
      <c r="N52" s="30">
        <f t="shared" ref="N52:N63" ca="1" si="51">G52-F52</f>
        <v>228.38890592537905</v>
      </c>
      <c r="O52" s="30">
        <f t="shared" ref="O52:O63" ca="1" si="52">H52-G52</f>
        <v>263.76178530979223</v>
      </c>
      <c r="P52" s="30">
        <f t="shared" ref="P52:P63" ca="1" si="53">I52-H52</f>
        <v>304.61321712596418</v>
      </c>
      <c r="Q52" s="30">
        <f t="shared" ref="Q52:Q63" ca="1" si="54">J52-I52</f>
        <v>351.79171970968991</v>
      </c>
      <c r="S52" s="230"/>
      <c r="T52" s="230"/>
      <c r="X52" s="116"/>
      <c r="Y52" s="116"/>
      <c r="Z52" s="116"/>
      <c r="AA52" s="116"/>
      <c r="AB52" s="3"/>
    </row>
    <row r="53" spans="1:28" ht="20" x14ac:dyDescent="0.4">
      <c r="A53" s="57"/>
      <c r="B53" s="12" t="s">
        <v>72</v>
      </c>
      <c r="C53" s="12"/>
      <c r="D53" s="27"/>
      <c r="E53" s="20">
        <v>-643.12881605574307</v>
      </c>
      <c r="F53" s="92">
        <f ca="1">F52*F269</f>
        <v>-742.73662295339113</v>
      </c>
      <c r="G53" s="92">
        <f t="shared" ref="G53:J53" ca="1" si="55">G52*G269</f>
        <v>-857.77168944081814</v>
      </c>
      <c r="H53" s="92">
        <f t="shared" ca="1" si="55"/>
        <v>-990.62338986390216</v>
      </c>
      <c r="I53" s="92">
        <f ca="1">I52*I269</f>
        <v>-1144.0511649261605</v>
      </c>
      <c r="J53" s="92">
        <f t="shared" ca="1" si="55"/>
        <v>-1321.2418375753502</v>
      </c>
      <c r="L53" s="30">
        <f t="shared" si="49"/>
        <v>-643.12881605574307</v>
      </c>
      <c r="M53" s="30">
        <f t="shared" ca="1" si="50"/>
        <v>-99.607806897648061</v>
      </c>
      <c r="N53" s="30">
        <f t="shared" ca="1" si="51"/>
        <v>-115.035066487427</v>
      </c>
      <c r="O53" s="30">
        <f t="shared" ca="1" si="52"/>
        <v>-132.85170042308403</v>
      </c>
      <c r="P53" s="30">
        <f t="shared" ca="1" si="53"/>
        <v>-153.42777506225832</v>
      </c>
      <c r="Q53" s="30">
        <f t="shared" ca="1" si="54"/>
        <v>-177.19067264918976</v>
      </c>
      <c r="S53" s="230"/>
      <c r="T53" s="230"/>
      <c r="X53" s="116"/>
      <c r="Y53" s="116"/>
      <c r="Z53" s="116"/>
      <c r="AA53" s="116"/>
      <c r="AB53" s="3"/>
    </row>
    <row r="54" spans="1:28" ht="20" x14ac:dyDescent="0.4">
      <c r="A54" s="57"/>
      <c r="B54" s="39" t="s">
        <v>30</v>
      </c>
      <c r="C54" s="39"/>
      <c r="D54" s="76"/>
      <c r="E54" s="41">
        <f t="shared" ref="E54" si="56">SUM(E52:E53)</f>
        <v>633.72954681667306</v>
      </c>
      <c r="F54" s="41">
        <f t="shared" ref="F54:J54" ca="1" si="57">SUM(F52:F53)</f>
        <v>731.88159466268007</v>
      </c>
      <c r="G54" s="41">
        <f t="shared" ca="1" si="57"/>
        <v>845.23543410063212</v>
      </c>
      <c r="H54" s="41">
        <f t="shared" ca="1" si="57"/>
        <v>976.14551898734032</v>
      </c>
      <c r="I54" s="41">
        <f t="shared" ca="1" si="57"/>
        <v>1127.3309610510462</v>
      </c>
      <c r="J54" s="41">
        <f t="shared" ca="1" si="57"/>
        <v>1301.9320081115463</v>
      </c>
      <c r="L54" s="41">
        <f t="shared" si="49"/>
        <v>633.72954681667306</v>
      </c>
      <c r="M54" s="41">
        <f t="shared" ca="1" si="50"/>
        <v>98.152047846007008</v>
      </c>
      <c r="N54" s="41">
        <f t="shared" ca="1" si="51"/>
        <v>113.35383943795205</v>
      </c>
      <c r="O54" s="41">
        <f t="shared" ca="1" si="52"/>
        <v>130.9100848867082</v>
      </c>
      <c r="P54" s="41">
        <f t="shared" ca="1" si="53"/>
        <v>151.18544206370586</v>
      </c>
      <c r="Q54" s="41">
        <f t="shared" ca="1" si="54"/>
        <v>174.60104706050015</v>
      </c>
      <c r="S54" s="230"/>
      <c r="T54" s="230"/>
      <c r="X54" s="116"/>
      <c r="Y54" s="116"/>
      <c r="Z54" s="116"/>
      <c r="AA54" s="116"/>
      <c r="AB54" s="3"/>
    </row>
    <row r="55" spans="1:28" ht="20" x14ac:dyDescent="0.4">
      <c r="A55" s="57"/>
      <c r="B55" s="3" t="s">
        <v>31</v>
      </c>
      <c r="D55" s="27"/>
      <c r="E55" s="18">
        <v>-194.75444298315247</v>
      </c>
      <c r="F55" s="92">
        <f ca="1">F52*F274</f>
        <v>-224.9180159172619</v>
      </c>
      <c r="G55" s="92">
        <f t="shared" ref="G55:J55" ca="1" si="58">G52*G274</f>
        <v>-259.75332377158594</v>
      </c>
      <c r="H55" s="92">
        <f t="shared" ca="1" si="58"/>
        <v>-299.98392496582602</v>
      </c>
      <c r="I55" s="92">
        <f t="shared" ca="1" si="58"/>
        <v>-346.44544266557807</v>
      </c>
      <c r="J55" s="92">
        <f t="shared" ca="1" si="58"/>
        <v>-400.10292137294181</v>
      </c>
      <c r="L55" s="30">
        <f t="shared" si="49"/>
        <v>-194.75444298315247</v>
      </c>
      <c r="M55" s="30">
        <f t="shared" ca="1" si="50"/>
        <v>-30.163572934109425</v>
      </c>
      <c r="N55" s="30">
        <f t="shared" ca="1" si="51"/>
        <v>-34.835307854324043</v>
      </c>
      <c r="O55" s="30">
        <f t="shared" ca="1" si="52"/>
        <v>-40.23060119424008</v>
      </c>
      <c r="P55" s="30">
        <f t="shared" ca="1" si="53"/>
        <v>-46.461517699752051</v>
      </c>
      <c r="Q55" s="30">
        <f t="shared" ca="1" si="54"/>
        <v>-53.657478707363737</v>
      </c>
      <c r="S55" s="230"/>
      <c r="T55" s="230"/>
      <c r="X55" s="116"/>
      <c r="Y55" s="116"/>
      <c r="Z55" s="116"/>
      <c r="AA55" s="116"/>
      <c r="AB55" s="3"/>
    </row>
    <row r="56" spans="1:28" ht="20" x14ac:dyDescent="0.4">
      <c r="A56" s="57"/>
      <c r="B56" s="12" t="s">
        <v>10</v>
      </c>
      <c r="C56" s="12"/>
      <c r="D56" s="27"/>
      <c r="E56" s="20">
        <v>-142.96100243714264</v>
      </c>
      <c r="F56" s="92">
        <f ca="1">F52*F279</f>
        <v>-165.10280602166566</v>
      </c>
      <c r="G56" s="92">
        <f t="shared" ref="G56:J56" ca="1" si="59">G52*G279</f>
        <v>-190.67393269163048</v>
      </c>
      <c r="H56" s="92">
        <f t="shared" ca="1" si="59"/>
        <v>-220.20551609111678</v>
      </c>
      <c r="I56" s="92">
        <f t="shared" ca="1" si="59"/>
        <v>-254.31095185610315</v>
      </c>
      <c r="J56" s="92">
        <f t="shared" ca="1" si="59"/>
        <v>-293.69863835380187</v>
      </c>
      <c r="L56" s="30">
        <f t="shared" si="49"/>
        <v>-142.96100243714264</v>
      </c>
      <c r="M56" s="30">
        <f t="shared" ca="1" si="50"/>
        <v>-22.141803584523018</v>
      </c>
      <c r="N56" s="30">
        <f t="shared" ca="1" si="51"/>
        <v>-25.571126669964826</v>
      </c>
      <c r="O56" s="30">
        <f t="shared" ca="1" si="52"/>
        <v>-29.531583399486294</v>
      </c>
      <c r="P56" s="30">
        <f t="shared" ca="1" si="53"/>
        <v>-34.105435764986368</v>
      </c>
      <c r="Q56" s="30">
        <f t="shared" ca="1" si="54"/>
        <v>-39.387686497698724</v>
      </c>
      <c r="S56" s="230"/>
      <c r="T56" s="230"/>
      <c r="X56" s="116"/>
      <c r="Y56" s="116"/>
      <c r="Z56" s="116"/>
      <c r="AA56" s="116"/>
      <c r="AB56" s="3"/>
    </row>
    <row r="57" spans="1:28" ht="20" x14ac:dyDescent="0.4">
      <c r="A57" s="57"/>
      <c r="B57" s="39" t="s">
        <v>32</v>
      </c>
      <c r="C57" s="39"/>
      <c r="D57" s="76"/>
      <c r="E57" s="41">
        <f t="shared" ref="E57" si="60">SUM(E54:E56)</f>
        <v>296.01410139637801</v>
      </c>
      <c r="F57" s="41">
        <f t="shared" ref="F57:J57" ca="1" si="61">SUM(F54:F56)</f>
        <v>341.86077272375258</v>
      </c>
      <c r="G57" s="41">
        <f t="shared" ca="1" si="61"/>
        <v>394.80817763741572</v>
      </c>
      <c r="H57" s="41">
        <f t="shared" ca="1" si="61"/>
        <v>455.95607793039744</v>
      </c>
      <c r="I57" s="41">
        <f t="shared" ca="1" si="61"/>
        <v>526.57456652936503</v>
      </c>
      <c r="J57" s="41">
        <f t="shared" ca="1" si="61"/>
        <v>608.13044838480255</v>
      </c>
      <c r="L57" s="41">
        <f t="shared" si="49"/>
        <v>296.01410139637801</v>
      </c>
      <c r="M57" s="41">
        <f t="shared" ca="1" si="50"/>
        <v>45.846671327374565</v>
      </c>
      <c r="N57" s="41">
        <f t="shared" ca="1" si="51"/>
        <v>52.947404913663149</v>
      </c>
      <c r="O57" s="41">
        <f t="shared" ca="1" si="52"/>
        <v>61.147900292981717</v>
      </c>
      <c r="P57" s="41">
        <f t="shared" ca="1" si="53"/>
        <v>70.618488598967588</v>
      </c>
      <c r="Q57" s="41">
        <f t="shared" ca="1" si="54"/>
        <v>81.555881855437519</v>
      </c>
      <c r="S57" s="230"/>
      <c r="T57" s="230"/>
      <c r="X57" s="116"/>
      <c r="Y57" s="116"/>
      <c r="Z57" s="116"/>
      <c r="AA57" s="116"/>
      <c r="AB57" s="3"/>
    </row>
    <row r="58" spans="1:28" ht="20" x14ac:dyDescent="0.4">
      <c r="A58" s="57"/>
      <c r="B58" s="12" t="s">
        <v>11</v>
      </c>
      <c r="C58" s="12"/>
      <c r="D58" s="27"/>
      <c r="E58" s="20">
        <v>14.882560024273971</v>
      </c>
      <c r="F58" s="92">
        <f ca="1">F284*F52</f>
        <v>17.187571288008186</v>
      </c>
      <c r="G58" s="92">
        <f t="shared" ref="G58:J58" ca="1" si="62">G284*G52</f>
        <v>19.849582753137575</v>
      </c>
      <c r="H58" s="92">
        <f t="shared" ca="1" si="62"/>
        <v>22.923886619661946</v>
      </c>
      <c r="I58" s="92">
        <f t="shared" ca="1" si="62"/>
        <v>26.474338744881212</v>
      </c>
      <c r="J58" s="92">
        <f t="shared" ca="1" si="62"/>
        <v>30.574684982849316</v>
      </c>
      <c r="L58" s="30">
        <f t="shared" si="49"/>
        <v>14.882560024273971</v>
      </c>
      <c r="M58" s="30">
        <f t="shared" ca="1" si="50"/>
        <v>2.3050112637342153</v>
      </c>
      <c r="N58" s="30">
        <f t="shared" ca="1" si="51"/>
        <v>2.6620114651293889</v>
      </c>
      <c r="O58" s="30">
        <f t="shared" ca="1" si="52"/>
        <v>3.0743038665243709</v>
      </c>
      <c r="P58" s="30">
        <f t="shared" ca="1" si="53"/>
        <v>3.550452125219266</v>
      </c>
      <c r="Q58" s="30">
        <f t="shared" ca="1" si="54"/>
        <v>4.1003462379681039</v>
      </c>
      <c r="S58" s="230"/>
      <c r="T58" s="230"/>
      <c r="X58" s="116"/>
      <c r="Y58" s="116"/>
      <c r="Z58" s="116"/>
      <c r="AA58" s="116"/>
      <c r="AB58" s="3"/>
    </row>
    <row r="59" spans="1:28" ht="20" x14ac:dyDescent="0.4">
      <c r="A59" s="57"/>
      <c r="B59" s="39" t="s">
        <v>33</v>
      </c>
      <c r="C59" s="39"/>
      <c r="D59" s="76"/>
      <c r="E59" s="77">
        <f t="shared" ref="E59" si="63">SUM(E57:E58)</f>
        <v>310.89666142065198</v>
      </c>
      <c r="F59" s="77">
        <f t="shared" ref="F59:J59" ca="1" si="64">SUM(F57:F58)</f>
        <v>359.04834401176078</v>
      </c>
      <c r="G59" s="77">
        <f t="shared" ca="1" si="64"/>
        <v>414.65776039055328</v>
      </c>
      <c r="H59" s="77">
        <f t="shared" ca="1" si="64"/>
        <v>478.87996455005941</v>
      </c>
      <c r="I59" s="77">
        <f t="shared" ca="1" si="64"/>
        <v>553.04890527424629</v>
      </c>
      <c r="J59" s="77">
        <f t="shared" ca="1" si="64"/>
        <v>638.70513336765191</v>
      </c>
      <c r="L59" s="77">
        <f t="shared" si="49"/>
        <v>310.89666142065198</v>
      </c>
      <c r="M59" s="77">
        <f t="shared" ca="1" si="50"/>
        <v>48.151682591108795</v>
      </c>
      <c r="N59" s="77">
        <f t="shared" ca="1" si="51"/>
        <v>55.609416378792503</v>
      </c>
      <c r="O59" s="77">
        <f t="shared" ca="1" si="52"/>
        <v>64.222204159506134</v>
      </c>
      <c r="P59" s="77">
        <f t="shared" ca="1" si="53"/>
        <v>74.168940724186882</v>
      </c>
      <c r="Q59" s="77">
        <f t="shared" ca="1" si="54"/>
        <v>85.656228093405616</v>
      </c>
      <c r="S59" s="230"/>
      <c r="T59" s="230"/>
      <c r="X59" s="116"/>
      <c r="Y59" s="116"/>
      <c r="Z59" s="116"/>
      <c r="AA59" s="116"/>
      <c r="AB59" s="3"/>
    </row>
    <row r="60" spans="1:28" ht="20" x14ac:dyDescent="0.4">
      <c r="A60" s="57"/>
      <c r="B60" s="12" t="str">
        <f>B189</f>
        <v>Net Interest Income / (Expense)</v>
      </c>
      <c r="C60" s="229" t="s">
        <v>231</v>
      </c>
      <c r="D60" s="27"/>
      <c r="E60" s="20">
        <v>-28.283127732930371</v>
      </c>
      <c r="F60" s="93">
        <f ca="1">IF($D$4=0,0,F189)</f>
        <v>-44.645522803585145</v>
      </c>
      <c r="G60" s="93">
        <f t="shared" ref="G60:J60" ca="1" si="65">IF($D$4=0,0,G189)</f>
        <v>-40.781867456072632</v>
      </c>
      <c r="H60" s="93">
        <f t="shared" ca="1" si="65"/>
        <v>-30.778755470820897</v>
      </c>
      <c r="I60" s="93">
        <f t="shared" ca="1" si="65"/>
        <v>-16.132357777837111</v>
      </c>
      <c r="J60" s="93">
        <f t="shared" ca="1" si="65"/>
        <v>-1.7880223721254254</v>
      </c>
      <c r="L60" s="30">
        <f t="shared" si="49"/>
        <v>-28.283127732930371</v>
      </c>
      <c r="M60" s="30">
        <f t="shared" ca="1" si="50"/>
        <v>-16.362395070654774</v>
      </c>
      <c r="N60" s="30">
        <f t="shared" ca="1" si="51"/>
        <v>3.8636553475125126</v>
      </c>
      <c r="O60" s="30">
        <f t="shared" ca="1" si="52"/>
        <v>10.003111985251735</v>
      </c>
      <c r="P60" s="30">
        <f t="shared" ca="1" si="53"/>
        <v>14.646397692983786</v>
      </c>
      <c r="Q60" s="30">
        <f t="shared" ca="1" si="54"/>
        <v>14.344335405711686</v>
      </c>
      <c r="S60" s="230"/>
      <c r="T60" s="230"/>
      <c r="X60" s="116"/>
      <c r="Y60" s="116"/>
      <c r="Z60" s="116"/>
      <c r="AA60" s="116"/>
      <c r="AB60" s="3"/>
    </row>
    <row r="61" spans="1:28" ht="20" x14ac:dyDescent="0.4">
      <c r="A61" s="57"/>
      <c r="B61" s="39" t="s">
        <v>104</v>
      </c>
      <c r="C61" s="39"/>
      <c r="D61" s="76"/>
      <c r="E61" s="77">
        <f t="shared" ref="E61" si="66">SUM(E59:E60)</f>
        <v>282.6135336877216</v>
      </c>
      <c r="F61" s="77">
        <f ca="1">SUM(F59:F60)</f>
        <v>314.40282120817562</v>
      </c>
      <c r="G61" s="77">
        <f t="shared" ref="G61:J61" ca="1" si="67">SUM(G59:G60)</f>
        <v>373.87589293448065</v>
      </c>
      <c r="H61" s="77">
        <f t="shared" ca="1" si="67"/>
        <v>448.10120907923852</v>
      </c>
      <c r="I61" s="77">
        <f t="shared" ca="1" si="67"/>
        <v>536.91654749640918</v>
      </c>
      <c r="J61" s="77">
        <f t="shared" ca="1" si="67"/>
        <v>636.91711099552651</v>
      </c>
      <c r="L61" s="77">
        <f t="shared" si="49"/>
        <v>282.6135336877216</v>
      </c>
      <c r="M61" s="77">
        <f t="shared" ca="1" si="50"/>
        <v>31.789287520454025</v>
      </c>
      <c r="N61" s="77">
        <f t="shared" ca="1" si="51"/>
        <v>59.473071726305022</v>
      </c>
      <c r="O61" s="77">
        <f t="shared" ca="1" si="52"/>
        <v>74.225316144757869</v>
      </c>
      <c r="P61" s="77">
        <f t="shared" ca="1" si="53"/>
        <v>88.815338417170665</v>
      </c>
      <c r="Q61" s="77">
        <f t="shared" ca="1" si="54"/>
        <v>100.00056349911733</v>
      </c>
      <c r="S61" s="230"/>
      <c r="T61" s="230"/>
      <c r="X61" s="116"/>
      <c r="Y61" s="116"/>
      <c r="Z61" s="116"/>
      <c r="AA61" s="116"/>
      <c r="AB61" s="3"/>
    </row>
    <row r="62" spans="1:28" ht="20" x14ac:dyDescent="0.4">
      <c r="A62" s="57"/>
      <c r="B62" s="12" t="s">
        <v>34</v>
      </c>
      <c r="C62" s="12"/>
      <c r="D62" s="27"/>
      <c r="E62" s="20">
        <v>-86.553245490817616</v>
      </c>
      <c r="F62" s="92">
        <f ca="1">F61*F289</f>
        <v>-96.289035461075443</v>
      </c>
      <c r="G62" s="92">
        <f t="shared" ref="G62:J62" ca="1" si="68">G61*G289</f>
        <v>-114.50326359817447</v>
      </c>
      <c r="H62" s="92">
        <f t="shared" ca="1" si="68"/>
        <v>-137.23551539829373</v>
      </c>
      <c r="I62" s="92">
        <f t="shared" ca="1" si="68"/>
        <v>-164.43610869282992</v>
      </c>
      <c r="J62" s="92">
        <f t="shared" ca="1" si="68"/>
        <v>-195.06228999709504</v>
      </c>
      <c r="L62" s="30">
        <f t="shared" si="49"/>
        <v>-86.553245490817616</v>
      </c>
      <c r="M62" s="30">
        <f t="shared" ca="1" si="50"/>
        <v>-9.7357899702578266</v>
      </c>
      <c r="N62" s="30">
        <f t="shared" ca="1" si="51"/>
        <v>-18.214228137099028</v>
      </c>
      <c r="O62" s="30">
        <f t="shared" ca="1" si="52"/>
        <v>-22.732251800119258</v>
      </c>
      <c r="P62" s="30">
        <f t="shared" ca="1" si="53"/>
        <v>-27.200593294536191</v>
      </c>
      <c r="Q62" s="30">
        <f t="shared" ca="1" si="54"/>
        <v>-30.626181304265117</v>
      </c>
      <c r="S62" s="230"/>
      <c r="T62" s="230"/>
      <c r="X62" s="116"/>
      <c r="Y62" s="116"/>
      <c r="Z62" s="116"/>
      <c r="AA62" s="116"/>
      <c r="AB62" s="3"/>
    </row>
    <row r="63" spans="1:28" ht="20" x14ac:dyDescent="0.4">
      <c r="A63" s="57"/>
      <c r="B63" s="39" t="s">
        <v>35</v>
      </c>
      <c r="C63" s="39"/>
      <c r="D63" s="76"/>
      <c r="E63" s="77">
        <f t="shared" ref="E63" si="69">SUM(E61:E62)</f>
        <v>196.06028819690397</v>
      </c>
      <c r="F63" s="77">
        <f t="shared" ref="F63:J63" ca="1" si="70">SUM(F61:F62)</f>
        <v>218.11378574710017</v>
      </c>
      <c r="G63" s="77">
        <f t="shared" ca="1" si="70"/>
        <v>259.3726293363062</v>
      </c>
      <c r="H63" s="77">
        <f t="shared" ca="1" si="70"/>
        <v>310.86569368094479</v>
      </c>
      <c r="I63" s="77">
        <f t="shared" ca="1" si="70"/>
        <v>372.48043880357926</v>
      </c>
      <c r="J63" s="77">
        <f t="shared" ca="1" si="70"/>
        <v>441.85482099843148</v>
      </c>
      <c r="L63" s="30">
        <f t="shared" si="49"/>
        <v>196.06028819690397</v>
      </c>
      <c r="M63" s="30">
        <f t="shared" ca="1" si="50"/>
        <v>22.053497550196198</v>
      </c>
      <c r="N63" s="30">
        <f t="shared" ca="1" si="51"/>
        <v>41.258843589206037</v>
      </c>
      <c r="O63" s="30">
        <f t="shared" ca="1" si="52"/>
        <v>51.493064344638583</v>
      </c>
      <c r="P63" s="30">
        <f t="shared" ca="1" si="53"/>
        <v>61.614745122634474</v>
      </c>
      <c r="Q63" s="30">
        <f t="shared" ca="1" si="54"/>
        <v>69.374382194852217</v>
      </c>
      <c r="S63" s="230"/>
      <c r="T63" s="230"/>
      <c r="X63" s="116"/>
      <c r="Y63" s="116"/>
      <c r="Z63" s="116"/>
      <c r="AA63" s="116"/>
      <c r="AB63" s="3"/>
    </row>
    <row r="64" spans="1:28" ht="20" x14ac:dyDescent="0.4">
      <c r="A64" s="57"/>
      <c r="S64" s="57"/>
      <c r="T64" s="57"/>
      <c r="X64" s="116"/>
      <c r="Y64" s="116"/>
      <c r="Z64" s="116"/>
      <c r="AA64" s="116"/>
      <c r="AB64" s="3"/>
    </row>
    <row r="65" spans="1:28" ht="20.5" thickBot="1" x14ac:dyDescent="0.45">
      <c r="A65" s="57" t="s">
        <v>66</v>
      </c>
      <c r="B65" s="4" t="s">
        <v>64</v>
      </c>
      <c r="C65" s="4"/>
      <c r="D65" s="71">
        <f>D$12</f>
        <v>2019</v>
      </c>
      <c r="E65" s="71">
        <f t="shared" ref="E65:J65" si="71">E$12</f>
        <v>2020</v>
      </c>
      <c r="F65" s="71">
        <f t="shared" si="71"/>
        <v>2021</v>
      </c>
      <c r="G65" s="71">
        <f t="shared" si="71"/>
        <v>2022</v>
      </c>
      <c r="H65" s="71">
        <f t="shared" si="71"/>
        <v>2023</v>
      </c>
      <c r="I65" s="71">
        <f t="shared" si="71"/>
        <v>2024</v>
      </c>
      <c r="J65" s="71">
        <f t="shared" si="71"/>
        <v>2025</v>
      </c>
      <c r="S65" s="57"/>
      <c r="T65" s="57"/>
      <c r="X65" s="116"/>
      <c r="Y65" s="116"/>
      <c r="Z65" s="116"/>
      <c r="AA65" s="116"/>
      <c r="AB65" s="3"/>
    </row>
    <row r="66" spans="1:28" ht="20" x14ac:dyDescent="0.4">
      <c r="A66" s="57"/>
      <c r="B66" s="10"/>
      <c r="C66" s="10"/>
      <c r="D66" s="43"/>
      <c r="E66" s="43"/>
      <c r="F66" s="43"/>
      <c r="G66" s="43"/>
      <c r="H66" s="43"/>
      <c r="I66" s="43"/>
      <c r="J66" s="43"/>
      <c r="S66" s="57"/>
      <c r="T66" s="57"/>
      <c r="X66" s="116"/>
      <c r="Y66" s="116"/>
      <c r="Z66" s="116"/>
      <c r="AA66" s="116"/>
      <c r="AB66" s="3"/>
    </row>
    <row r="67" spans="1:28" ht="20" x14ac:dyDescent="0.4">
      <c r="A67" s="57"/>
      <c r="B67" s="13" t="s">
        <v>9</v>
      </c>
      <c r="C67" s="13"/>
      <c r="S67" s="57"/>
      <c r="T67" s="57"/>
      <c r="X67" s="116"/>
      <c r="Y67" s="116"/>
      <c r="Z67" s="116"/>
      <c r="AA67" s="116"/>
      <c r="AB67" s="3"/>
    </row>
    <row r="68" spans="1:28" ht="20" x14ac:dyDescent="0.4">
      <c r="A68" s="57"/>
      <c r="B68" s="3" t="s">
        <v>33</v>
      </c>
      <c r="E68" s="63">
        <f>E59</f>
        <v>310.89666142065198</v>
      </c>
      <c r="F68" s="93">
        <f ca="1">F59</f>
        <v>359.04834401176078</v>
      </c>
      <c r="G68" s="93">
        <f t="shared" ref="G68:J68" ca="1" si="72">G59</f>
        <v>414.65776039055328</v>
      </c>
      <c r="H68" s="93">
        <f t="shared" ca="1" si="72"/>
        <v>478.87996455005941</v>
      </c>
      <c r="I68" s="93">
        <f t="shared" ca="1" si="72"/>
        <v>553.04890527424629</v>
      </c>
      <c r="J68" s="93">
        <f t="shared" ca="1" si="72"/>
        <v>638.70513336765191</v>
      </c>
      <c r="S68" s="57"/>
      <c r="T68" s="57"/>
      <c r="X68" s="116"/>
      <c r="Y68" s="116"/>
      <c r="Z68" s="116"/>
      <c r="AA68" s="116"/>
      <c r="AB68" s="3"/>
    </row>
    <row r="69" spans="1:28" ht="20" x14ac:dyDescent="0.4">
      <c r="A69" s="57"/>
      <c r="B69" s="3" t="s">
        <v>58</v>
      </c>
      <c r="E69" s="63">
        <f>-E56</f>
        <v>142.96100243714264</v>
      </c>
      <c r="F69" s="93">
        <f ca="1">-F56</f>
        <v>165.10280602166566</v>
      </c>
      <c r="G69" s="93">
        <f t="shared" ref="G69:J69" ca="1" si="73">-G56</f>
        <v>190.67393269163048</v>
      </c>
      <c r="H69" s="93">
        <f t="shared" ca="1" si="73"/>
        <v>220.20551609111678</v>
      </c>
      <c r="I69" s="93">
        <f t="shared" ca="1" si="73"/>
        <v>254.31095185610315</v>
      </c>
      <c r="J69" s="93">
        <f t="shared" ca="1" si="73"/>
        <v>293.69863835380187</v>
      </c>
      <c r="S69" s="57"/>
      <c r="T69" s="57"/>
      <c r="X69" s="116"/>
      <c r="Y69" s="116"/>
      <c r="Z69" s="116"/>
      <c r="AA69" s="116"/>
      <c r="AB69" s="3"/>
    </row>
    <row r="70" spans="1:28" ht="20" x14ac:dyDescent="0.4">
      <c r="A70" s="57"/>
      <c r="B70" s="12" t="s">
        <v>45</v>
      </c>
      <c r="C70" s="12"/>
      <c r="D70" s="12"/>
      <c r="E70" s="97">
        <f>E76</f>
        <v>-111.65158073674485</v>
      </c>
      <c r="F70" s="97">
        <f ca="1">F76</f>
        <v>-87.514709677355626</v>
      </c>
      <c r="G70" s="97">
        <f t="shared" ref="G70:J70" ca="1" si="74">G76</f>
        <v>-104.36997002059658</v>
      </c>
      <c r="H70" s="97">
        <f t="shared" ca="1" si="74"/>
        <v>-125.53277706141733</v>
      </c>
      <c r="I70" s="97">
        <f t="shared" ca="1" si="74"/>
        <v>-150.92084995361432</v>
      </c>
      <c r="J70" s="97">
        <f t="shared" ca="1" si="74"/>
        <v>-179.4537876509084</v>
      </c>
      <c r="S70" s="57"/>
      <c r="T70" s="57"/>
      <c r="X70" s="116"/>
      <c r="Y70" s="116"/>
      <c r="Z70" s="116"/>
      <c r="AA70" s="116"/>
      <c r="AB70" s="3"/>
    </row>
    <row r="71" spans="1:28" ht="20" x14ac:dyDescent="0.4">
      <c r="A71" s="57"/>
      <c r="B71" s="64" t="s">
        <v>9</v>
      </c>
      <c r="C71" s="64"/>
      <c r="D71" s="64"/>
      <c r="E71" s="95">
        <f>SUM(E68:E70)</f>
        <v>342.20608312104974</v>
      </c>
      <c r="F71" s="95">
        <f t="shared" ref="F71:J71" ca="1" si="75">SUM(F68:F70)</f>
        <v>436.63644035607081</v>
      </c>
      <c r="G71" s="95">
        <f t="shared" ca="1" si="75"/>
        <v>500.96172306158712</v>
      </c>
      <c r="H71" s="95">
        <f t="shared" ca="1" si="75"/>
        <v>573.55270357975883</v>
      </c>
      <c r="I71" s="95">
        <f t="shared" ca="1" si="75"/>
        <v>656.439007176735</v>
      </c>
      <c r="J71" s="95">
        <f t="shared" ca="1" si="75"/>
        <v>752.94998407054527</v>
      </c>
      <c r="S71" s="57"/>
      <c r="T71" s="57"/>
      <c r="X71" s="116"/>
      <c r="Y71" s="116"/>
      <c r="Z71" s="116"/>
      <c r="AA71" s="116"/>
      <c r="AB71" s="3"/>
    </row>
    <row r="72" spans="1:28" ht="20" x14ac:dyDescent="0.4">
      <c r="A72" s="57"/>
      <c r="S72" s="57"/>
      <c r="T72" s="57"/>
      <c r="X72" s="116"/>
      <c r="Y72" s="116"/>
      <c r="Z72" s="116"/>
      <c r="AA72" s="116"/>
      <c r="AB72" s="3"/>
    </row>
    <row r="73" spans="1:28" ht="20" x14ac:dyDescent="0.4">
      <c r="A73" s="57"/>
      <c r="B73" s="44" t="s">
        <v>46</v>
      </c>
      <c r="C73" s="44"/>
      <c r="G73" s="45">
        <f ca="1">F59</f>
        <v>359.04834401176078</v>
      </c>
      <c r="S73" s="57"/>
      <c r="T73" s="57"/>
      <c r="X73" s="116"/>
      <c r="Y73" s="116"/>
      <c r="Z73" s="116"/>
      <c r="AA73" s="116"/>
      <c r="AB73" s="3"/>
    </row>
    <row r="74" spans="1:28" ht="20" x14ac:dyDescent="0.4">
      <c r="A74" s="57"/>
      <c r="B74" s="3" t="s">
        <v>8</v>
      </c>
      <c r="E74" s="93">
        <f>E62</f>
        <v>-86.553245490817616</v>
      </c>
      <c r="F74" s="93">
        <f ca="1">F62</f>
        <v>-96.289035461075443</v>
      </c>
      <c r="G74" s="93">
        <f t="shared" ref="G74:J74" ca="1" si="76">G62</f>
        <v>-114.50326359817447</v>
      </c>
      <c r="H74" s="93">
        <f t="shared" ca="1" si="76"/>
        <v>-137.23551539829373</v>
      </c>
      <c r="I74" s="93">
        <f t="shared" ca="1" si="76"/>
        <v>-164.43610869282992</v>
      </c>
      <c r="J74" s="93">
        <f t="shared" ca="1" si="76"/>
        <v>-195.06228999709504</v>
      </c>
      <c r="S74" s="57"/>
      <c r="T74" s="57"/>
      <c r="X74" s="116"/>
      <c r="Y74" s="116"/>
      <c r="Z74" s="116"/>
      <c r="AA74" s="116"/>
      <c r="AB74" s="3"/>
    </row>
    <row r="75" spans="1:28" ht="20.5" thickBot="1" x14ac:dyDescent="0.45">
      <c r="A75" s="57"/>
      <c r="B75" s="3" t="s">
        <v>47</v>
      </c>
      <c r="E75" s="96">
        <f>E37-D37</f>
        <v>-25.098335245927224</v>
      </c>
      <c r="F75" s="96">
        <f t="shared" ref="F75:J75" ca="1" si="77">F37-E37</f>
        <v>8.7743257837198101</v>
      </c>
      <c r="G75" s="96">
        <f t="shared" ca="1" si="77"/>
        <v>10.133293577577888</v>
      </c>
      <c r="H75" s="96">
        <f t="shared" ca="1" si="77"/>
        <v>11.702738336876394</v>
      </c>
      <c r="I75" s="96">
        <f t="shared" ca="1" si="77"/>
        <v>13.515258739215597</v>
      </c>
      <c r="J75" s="96">
        <f t="shared" ca="1" si="77"/>
        <v>15.60850234618664</v>
      </c>
      <c r="S75" s="57"/>
      <c r="T75" s="57"/>
      <c r="X75" s="116"/>
      <c r="Y75" s="116"/>
      <c r="Z75" s="116"/>
      <c r="AA75" s="116"/>
      <c r="AB75" s="3"/>
    </row>
    <row r="76" spans="1:28" ht="20" x14ac:dyDescent="0.4">
      <c r="A76" s="57"/>
      <c r="B76" s="46" t="s">
        <v>46</v>
      </c>
      <c r="C76" s="46"/>
      <c r="D76" s="46"/>
      <c r="E76" s="98">
        <f>SUM(E74:E75)</f>
        <v>-111.65158073674485</v>
      </c>
      <c r="F76" s="98">
        <f t="shared" ref="F76:J76" ca="1" si="78">SUM(F74:F75)</f>
        <v>-87.514709677355626</v>
      </c>
      <c r="G76" s="98">
        <f t="shared" ca="1" si="78"/>
        <v>-104.36997002059658</v>
      </c>
      <c r="H76" s="98">
        <f t="shared" ca="1" si="78"/>
        <v>-125.53277706141733</v>
      </c>
      <c r="I76" s="98">
        <f t="shared" ca="1" si="78"/>
        <v>-150.92084995361432</v>
      </c>
      <c r="J76" s="98">
        <f t="shared" ca="1" si="78"/>
        <v>-179.4537876509084</v>
      </c>
      <c r="S76" s="57"/>
      <c r="T76" s="57"/>
      <c r="X76" s="116"/>
      <c r="Y76" s="116"/>
      <c r="Z76" s="116"/>
      <c r="AA76" s="116"/>
      <c r="AB76" s="3"/>
    </row>
    <row r="77" spans="1:28" ht="20" x14ac:dyDescent="0.4">
      <c r="A77" s="57"/>
      <c r="S77" s="57"/>
      <c r="T77" s="57"/>
      <c r="X77" s="116"/>
      <c r="Y77" s="116"/>
      <c r="Z77" s="116"/>
      <c r="AA77" s="116"/>
      <c r="AB77" s="3"/>
    </row>
    <row r="78" spans="1:28" ht="20.5" thickBot="1" x14ac:dyDescent="0.45">
      <c r="A78" s="57"/>
      <c r="B78" s="13" t="s">
        <v>48</v>
      </c>
      <c r="C78" s="13"/>
      <c r="D78" s="71">
        <f>D$12</f>
        <v>2019</v>
      </c>
      <c r="E78" s="71">
        <f t="shared" ref="E78:J78" si="79">E$12</f>
        <v>2020</v>
      </c>
      <c r="F78" s="71">
        <f t="shared" si="79"/>
        <v>2021</v>
      </c>
      <c r="G78" s="71">
        <f t="shared" si="79"/>
        <v>2022</v>
      </c>
      <c r="H78" s="71">
        <f t="shared" si="79"/>
        <v>2023</v>
      </c>
      <c r="I78" s="71">
        <f t="shared" si="79"/>
        <v>2024</v>
      </c>
      <c r="J78" s="71">
        <f t="shared" si="79"/>
        <v>2025</v>
      </c>
      <c r="S78" s="57"/>
      <c r="T78" s="57"/>
      <c r="X78" s="116"/>
      <c r="Y78" s="116"/>
      <c r="Z78" s="116"/>
      <c r="AA78" s="116"/>
      <c r="AB78" s="3"/>
    </row>
    <row r="79" spans="1:28" ht="20" x14ac:dyDescent="0.4">
      <c r="A79" s="57"/>
      <c r="B79" s="3" t="s">
        <v>56</v>
      </c>
      <c r="D79" s="99">
        <f>SUM(D16:D18)</f>
        <v>154.99998339275157</v>
      </c>
      <c r="E79" s="99">
        <f t="shared" ref="E79:J79" si="80">SUM(E16:E18)</f>
        <v>195.91874455826701</v>
      </c>
      <c r="F79" s="99">
        <f t="shared" ca="1" si="80"/>
        <v>226.26264454905521</v>
      </c>
      <c r="G79" s="99">
        <f t="shared" ca="1" si="80"/>
        <v>261.30620851904536</v>
      </c>
      <c r="H79" s="99">
        <f t="shared" ca="1" si="80"/>
        <v>301.77732054128387</v>
      </c>
      <c r="I79" s="99">
        <f t="shared" ca="1" si="80"/>
        <v>348.51659939200863</v>
      </c>
      <c r="J79" s="99">
        <f t="shared" ca="1" si="80"/>
        <v>402.49485890426041</v>
      </c>
      <c r="S79" s="57"/>
      <c r="T79" s="57"/>
      <c r="X79" s="116"/>
      <c r="Y79" s="116"/>
      <c r="Z79" s="116"/>
      <c r="AA79" s="116"/>
      <c r="AB79" s="3"/>
    </row>
    <row r="80" spans="1:28" ht="20.5" thickBot="1" x14ac:dyDescent="0.45">
      <c r="A80" s="57"/>
      <c r="B80" s="3" t="s">
        <v>57</v>
      </c>
      <c r="D80" s="99">
        <f>SUM(D31:D32)</f>
        <v>103.2636557157482</v>
      </c>
      <c r="E80" s="99">
        <f t="shared" ref="E80:J80" si="81">SUM(E31:E32)</f>
        <v>156.96523236425219</v>
      </c>
      <c r="F80" s="99">
        <f t="shared" ca="1" si="81"/>
        <v>181.27601142539092</v>
      </c>
      <c r="G80" s="99">
        <f t="shared" ca="1" si="81"/>
        <v>209.35204454730149</v>
      </c>
      <c r="H80" s="99">
        <f t="shared" ca="1" si="81"/>
        <v>241.7764943718106</v>
      </c>
      <c r="I80" s="99">
        <f t="shared" ca="1" si="81"/>
        <v>279.22284378509863</v>
      </c>
      <c r="J80" s="99">
        <f t="shared" ca="1" si="81"/>
        <v>322.46888471937319</v>
      </c>
      <c r="S80" s="57"/>
      <c r="T80" s="57"/>
      <c r="X80" s="116"/>
      <c r="Y80" s="116"/>
      <c r="Z80" s="116"/>
      <c r="AA80" s="116"/>
      <c r="AB80" s="3"/>
    </row>
    <row r="81" spans="1:28" ht="20" x14ac:dyDescent="0.4">
      <c r="A81" s="57"/>
      <c r="B81" s="46" t="s">
        <v>49</v>
      </c>
      <c r="C81" s="46"/>
      <c r="D81" s="100">
        <f>D79-D80</f>
        <v>51.736327677003374</v>
      </c>
      <c r="E81" s="100">
        <f t="shared" ref="E81:J81" si="82">E79-E80</f>
        <v>38.95351219401482</v>
      </c>
      <c r="F81" s="100">
        <f t="shared" ca="1" si="82"/>
        <v>44.986633123664291</v>
      </c>
      <c r="G81" s="100">
        <f t="shared" ca="1" si="82"/>
        <v>51.954163971743867</v>
      </c>
      <c r="H81" s="100">
        <f t="shared" ca="1" si="82"/>
        <v>60.000826169473271</v>
      </c>
      <c r="I81" s="100">
        <f t="shared" ca="1" si="82"/>
        <v>69.293755606909997</v>
      </c>
      <c r="J81" s="100">
        <f t="shared" ca="1" si="82"/>
        <v>80.025974184887218</v>
      </c>
      <c r="S81" s="57"/>
      <c r="T81" s="57"/>
      <c r="X81" s="116"/>
      <c r="Y81" s="116"/>
      <c r="Z81" s="116"/>
      <c r="AA81" s="116"/>
      <c r="AB81" s="3"/>
    </row>
    <row r="82" spans="1:28" ht="20" x14ac:dyDescent="0.4">
      <c r="A82" s="57"/>
      <c r="B82" s="3" t="s">
        <v>60</v>
      </c>
      <c r="D82" s="56"/>
      <c r="E82" s="99">
        <f>E81-D81</f>
        <v>-12.782815482988553</v>
      </c>
      <c r="F82" s="99">
        <f t="shared" ref="F82:J82" ca="1" si="83">F81-E81</f>
        <v>6.0331209296494706</v>
      </c>
      <c r="G82" s="99">
        <f t="shared" ca="1" si="83"/>
        <v>6.9675308480795763</v>
      </c>
      <c r="H82" s="99">
        <f t="shared" ca="1" si="83"/>
        <v>8.0466621977294039</v>
      </c>
      <c r="I82" s="99">
        <f t="shared" ca="1" si="83"/>
        <v>9.2929294374367259</v>
      </c>
      <c r="J82" s="99">
        <f t="shared" ca="1" si="83"/>
        <v>10.732218577977221</v>
      </c>
      <c r="S82" s="57"/>
      <c r="T82" s="57"/>
      <c r="X82" s="116"/>
      <c r="Y82" s="116"/>
      <c r="Z82" s="116"/>
      <c r="AA82" s="116"/>
      <c r="AB82" s="3"/>
    </row>
    <row r="83" spans="1:28" ht="20" x14ac:dyDescent="0.4">
      <c r="A83" s="57"/>
      <c r="B83" s="64" t="s">
        <v>7</v>
      </c>
      <c r="C83" s="64"/>
      <c r="D83" s="64"/>
      <c r="E83" s="95">
        <f>-E82</f>
        <v>12.782815482988553</v>
      </c>
      <c r="F83" s="95">
        <f t="shared" ref="F83:J83" ca="1" si="84">-F82</f>
        <v>-6.0331209296494706</v>
      </c>
      <c r="G83" s="95">
        <f t="shared" ca="1" si="84"/>
        <v>-6.9675308480795763</v>
      </c>
      <c r="H83" s="95">
        <f t="shared" ca="1" si="84"/>
        <v>-8.0466621977294039</v>
      </c>
      <c r="I83" s="95">
        <f t="shared" ca="1" si="84"/>
        <v>-9.2929294374367259</v>
      </c>
      <c r="J83" s="95">
        <f t="shared" ca="1" si="84"/>
        <v>-10.732218577977221</v>
      </c>
      <c r="S83" s="57"/>
      <c r="T83" s="57"/>
      <c r="X83" s="116"/>
      <c r="Y83" s="116"/>
      <c r="Z83" s="116"/>
      <c r="AA83" s="116"/>
      <c r="AB83" s="3"/>
    </row>
    <row r="84" spans="1:28" ht="20" x14ac:dyDescent="0.4">
      <c r="A84" s="57"/>
      <c r="S84" s="57"/>
      <c r="T84" s="57"/>
      <c r="X84" s="116"/>
      <c r="Y84" s="116"/>
      <c r="Z84" s="116"/>
      <c r="AA84" s="116"/>
      <c r="AB84" s="3"/>
    </row>
    <row r="85" spans="1:28" ht="20.5" thickBot="1" x14ac:dyDescent="0.45">
      <c r="A85" s="57"/>
      <c r="B85" s="13" t="s">
        <v>6</v>
      </c>
      <c r="C85" s="13"/>
      <c r="D85" s="71"/>
      <c r="E85" s="71">
        <f t="shared" ref="E85:J85" si="85">E$12</f>
        <v>2020</v>
      </c>
      <c r="F85" s="71">
        <f t="shared" si="85"/>
        <v>2021</v>
      </c>
      <c r="G85" s="71">
        <f t="shared" si="85"/>
        <v>2022</v>
      </c>
      <c r="H85" s="71">
        <f t="shared" si="85"/>
        <v>2023</v>
      </c>
      <c r="I85" s="71">
        <f t="shared" si="85"/>
        <v>2024</v>
      </c>
      <c r="J85" s="71">
        <f t="shared" si="85"/>
        <v>2025</v>
      </c>
      <c r="S85" s="57"/>
      <c r="T85" s="57"/>
      <c r="X85" s="116"/>
      <c r="Y85" s="116"/>
      <c r="Z85" s="116"/>
      <c r="AA85" s="116"/>
      <c r="AB85" s="3"/>
    </row>
    <row r="86" spans="1:28" ht="20" x14ac:dyDescent="0.4">
      <c r="A86" s="57"/>
      <c r="B86" s="3" t="s">
        <v>50</v>
      </c>
      <c r="S86" s="57"/>
      <c r="T86" s="57"/>
      <c r="X86" s="116"/>
      <c r="Y86" s="116"/>
      <c r="Z86" s="116"/>
      <c r="AA86" s="116"/>
      <c r="AB86" s="3"/>
    </row>
    <row r="87" spans="1:28" ht="20" x14ac:dyDescent="0.4">
      <c r="A87" s="57"/>
      <c r="B87" s="3" t="s">
        <v>37</v>
      </c>
      <c r="E87" s="93">
        <f>L21</f>
        <v>113.58143355582936</v>
      </c>
      <c r="F87" s="93">
        <f t="shared" ref="F87:J87" ca="1" si="86">M21</f>
        <v>41.250727822827173</v>
      </c>
      <c r="G87" s="93">
        <f t="shared" ca="1" si="86"/>
        <v>47.639641565742807</v>
      </c>
      <c r="H87" s="93">
        <f t="shared" ca="1" si="86"/>
        <v>55.018070426785187</v>
      </c>
      <c r="I87" s="93">
        <f t="shared" ca="1" si="86"/>
        <v>63.539270531862371</v>
      </c>
      <c r="J87" s="93">
        <f t="shared" ca="1" si="86"/>
        <v>73.380234319444583</v>
      </c>
      <c r="S87" s="57"/>
      <c r="T87" s="57"/>
      <c r="X87" s="116"/>
      <c r="Y87" s="116"/>
      <c r="Z87" s="116"/>
      <c r="AA87" s="116"/>
      <c r="AB87" s="3"/>
    </row>
    <row r="88" spans="1:28" ht="20" x14ac:dyDescent="0.4">
      <c r="A88" s="57"/>
      <c r="B88" s="3" t="s">
        <v>55</v>
      </c>
      <c r="E88" s="93">
        <f>L22</f>
        <v>-10.89537658874422</v>
      </c>
      <c r="F88" s="93">
        <f t="shared" ref="F88:J88" ca="1" si="87">M22</f>
        <v>1.7325086079917469</v>
      </c>
      <c r="G88" s="93">
        <f t="shared" ca="1" si="87"/>
        <v>2.0008395839410458</v>
      </c>
      <c r="H88" s="93">
        <f t="shared" ca="1" si="87"/>
        <v>2.310729668065493</v>
      </c>
      <c r="I88" s="93">
        <f t="shared" ca="1" si="87"/>
        <v>2.6686155360645785</v>
      </c>
      <c r="J88" s="93">
        <f t="shared" ca="1" si="87"/>
        <v>3.0819307761289316</v>
      </c>
      <c r="S88" s="57"/>
      <c r="T88" s="57"/>
      <c r="X88" s="116"/>
      <c r="Y88" s="116"/>
      <c r="Z88" s="116"/>
      <c r="AA88" s="116"/>
      <c r="AB88" s="3"/>
    </row>
    <row r="89" spans="1:28" ht="20" x14ac:dyDescent="0.4">
      <c r="A89" s="57"/>
      <c r="B89" s="3" t="s">
        <v>22</v>
      </c>
      <c r="E89" s="93">
        <f>L23</f>
        <v>19.392207769216611</v>
      </c>
      <c r="F89" s="93">
        <f t="shared" ref="F89:J89" ca="1" si="88">M23</f>
        <v>17.106454095500482</v>
      </c>
      <c r="G89" s="93">
        <f t="shared" ca="1" si="88"/>
        <v>19.755902127852991</v>
      </c>
      <c r="H89" s="93">
        <f t="shared" ca="1" si="88"/>
        <v>22.815696736822048</v>
      </c>
      <c r="I89" s="93">
        <f t="shared" ca="1" si="88"/>
        <v>26.349392410317876</v>
      </c>
      <c r="J89" s="93">
        <f t="shared" ca="1" si="88"/>
        <v>30.430386956906204</v>
      </c>
      <c r="S89" s="57"/>
      <c r="T89" s="57"/>
      <c r="X89" s="116"/>
      <c r="Y89" s="116"/>
      <c r="Z89" s="116"/>
      <c r="AA89" s="116"/>
      <c r="AB89" s="3"/>
    </row>
    <row r="90" spans="1:28" ht="20" x14ac:dyDescent="0.4">
      <c r="A90" s="57"/>
      <c r="B90" s="3" t="s">
        <v>100</v>
      </c>
      <c r="E90" s="93">
        <f>L24</f>
        <v>-2.4098213400767072</v>
      </c>
      <c r="F90" s="93">
        <f t="shared" ref="F90:J90" ca="1" si="89">M24</f>
        <v>1.103824227809568</v>
      </c>
      <c r="G90" s="93">
        <f t="shared" ca="1" si="89"/>
        <v>1.2747845514456841</v>
      </c>
      <c r="H90" s="93">
        <f t="shared" ca="1" si="89"/>
        <v>1.4722232142244032</v>
      </c>
      <c r="I90" s="93">
        <f t="shared" ca="1" si="89"/>
        <v>1.7002411819653904</v>
      </c>
      <c r="J90" s="93">
        <f t="shared" ca="1" si="89"/>
        <v>1.963574578175642</v>
      </c>
      <c r="S90" s="57"/>
      <c r="T90" s="57"/>
      <c r="X90" s="116"/>
      <c r="Y90" s="116"/>
      <c r="Z90" s="116"/>
      <c r="AA90" s="116"/>
      <c r="AB90" s="3"/>
    </row>
    <row r="91" spans="1:28" ht="20.5" thickBot="1" x14ac:dyDescent="0.45">
      <c r="A91" s="57"/>
      <c r="B91" s="3" t="s">
        <v>58</v>
      </c>
      <c r="E91" s="93">
        <f>E69</f>
        <v>142.96100243714264</v>
      </c>
      <c r="F91" s="93">
        <f t="shared" ref="F91:J91" ca="1" si="90">F69</f>
        <v>165.10280602166566</v>
      </c>
      <c r="G91" s="93">
        <f t="shared" ca="1" si="90"/>
        <v>190.67393269163048</v>
      </c>
      <c r="H91" s="93">
        <f t="shared" ca="1" si="90"/>
        <v>220.20551609111678</v>
      </c>
      <c r="I91" s="93">
        <f t="shared" ca="1" si="90"/>
        <v>254.31095185610315</v>
      </c>
      <c r="J91" s="93">
        <f t="shared" ca="1" si="90"/>
        <v>293.69863835380187</v>
      </c>
      <c r="S91" s="57"/>
      <c r="T91" s="57"/>
      <c r="X91" s="116"/>
      <c r="Y91" s="116"/>
      <c r="Z91" s="116"/>
      <c r="AA91" s="116"/>
      <c r="AB91" s="3"/>
    </row>
    <row r="92" spans="1:28" ht="20" x14ac:dyDescent="0.4">
      <c r="A92" s="57"/>
      <c r="B92" s="46" t="s">
        <v>51</v>
      </c>
      <c r="C92" s="46"/>
      <c r="D92" s="46"/>
      <c r="E92" s="100">
        <f>SUM(E87:E91)</f>
        <v>262.6294458333677</v>
      </c>
      <c r="F92" s="100">
        <f t="shared" ref="F92:J92" ca="1" si="91">SUM(F87:F91)</f>
        <v>226.29632077579464</v>
      </c>
      <c r="G92" s="100">
        <f t="shared" ca="1" si="91"/>
        <v>261.34510052061302</v>
      </c>
      <c r="H92" s="100">
        <f t="shared" ca="1" si="91"/>
        <v>301.82223613701387</v>
      </c>
      <c r="I92" s="100">
        <f t="shared" ca="1" si="91"/>
        <v>348.56847151631337</v>
      </c>
      <c r="J92" s="100">
        <f t="shared" ca="1" si="91"/>
        <v>402.55476498445722</v>
      </c>
      <c r="S92" s="57"/>
      <c r="T92" s="57"/>
      <c r="X92" s="116"/>
      <c r="Y92" s="116"/>
      <c r="Z92" s="116"/>
      <c r="AA92" s="116"/>
      <c r="AB92" s="3"/>
    </row>
    <row r="93" spans="1:28" ht="20" x14ac:dyDescent="0.4">
      <c r="A93" s="57"/>
      <c r="B93" s="64" t="s">
        <v>6</v>
      </c>
      <c r="C93" s="64"/>
      <c r="D93" s="64"/>
      <c r="E93" s="95">
        <f>-E92</f>
        <v>-262.6294458333677</v>
      </c>
      <c r="F93" s="95">
        <f t="shared" ref="F93:J93" ca="1" si="92">-F92</f>
        <v>-226.29632077579464</v>
      </c>
      <c r="G93" s="95">
        <f t="shared" ca="1" si="92"/>
        <v>-261.34510052061302</v>
      </c>
      <c r="H93" s="95">
        <f t="shared" ca="1" si="92"/>
        <v>-301.82223613701387</v>
      </c>
      <c r="I93" s="95">
        <f t="shared" ca="1" si="92"/>
        <v>-348.56847151631337</v>
      </c>
      <c r="J93" s="95">
        <f t="shared" ca="1" si="92"/>
        <v>-402.55476498445722</v>
      </c>
      <c r="S93" s="57"/>
      <c r="T93" s="57"/>
      <c r="X93" s="116"/>
      <c r="Y93" s="116"/>
      <c r="Z93" s="116"/>
      <c r="AA93" s="116"/>
      <c r="AB93" s="3"/>
    </row>
    <row r="94" spans="1:28" ht="20" x14ac:dyDescent="0.4">
      <c r="A94" s="57"/>
      <c r="S94" s="57"/>
      <c r="T94" s="57"/>
      <c r="X94" s="116"/>
      <c r="Y94" s="116"/>
      <c r="Z94" s="116"/>
      <c r="AA94" s="116"/>
      <c r="AB94" s="3"/>
    </row>
    <row r="95" spans="1:28" ht="20.5" thickBot="1" x14ac:dyDescent="0.45">
      <c r="A95" s="57"/>
      <c r="B95" s="13" t="s">
        <v>5</v>
      </c>
      <c r="C95" s="13"/>
      <c r="D95" s="71"/>
      <c r="E95" s="71">
        <f t="shared" ref="E95:J95" si="93">E$12</f>
        <v>2020</v>
      </c>
      <c r="F95" s="71">
        <f t="shared" si="93"/>
        <v>2021</v>
      </c>
      <c r="G95" s="71">
        <f t="shared" si="93"/>
        <v>2022</v>
      </c>
      <c r="H95" s="71">
        <f t="shared" si="93"/>
        <v>2023</v>
      </c>
      <c r="I95" s="71">
        <f t="shared" si="93"/>
        <v>2024</v>
      </c>
      <c r="J95" s="71">
        <f t="shared" si="93"/>
        <v>2025</v>
      </c>
      <c r="S95" s="57"/>
      <c r="T95" s="57"/>
      <c r="X95" s="116"/>
      <c r="Y95" s="116"/>
      <c r="Z95" s="116"/>
      <c r="AA95" s="116"/>
      <c r="AB95" s="3"/>
    </row>
    <row r="96" spans="1:28" ht="20" x14ac:dyDescent="0.4">
      <c r="A96" s="57"/>
      <c r="B96" s="47" t="s">
        <v>9</v>
      </c>
      <c r="C96" s="47"/>
      <c r="E96" s="93">
        <f>E71</f>
        <v>342.20608312104974</v>
      </c>
      <c r="F96" s="93">
        <f ca="1">F71</f>
        <v>436.63644035607081</v>
      </c>
      <c r="G96" s="93">
        <f t="shared" ref="G96:J96" ca="1" si="94">G71</f>
        <v>500.96172306158712</v>
      </c>
      <c r="H96" s="93">
        <f t="shared" ca="1" si="94"/>
        <v>573.55270357975883</v>
      </c>
      <c r="I96" s="93">
        <f t="shared" ca="1" si="94"/>
        <v>656.439007176735</v>
      </c>
      <c r="J96" s="93">
        <f t="shared" ca="1" si="94"/>
        <v>752.94998407054527</v>
      </c>
      <c r="S96" s="57"/>
      <c r="T96" s="57"/>
      <c r="X96" s="116"/>
      <c r="Y96" s="116"/>
      <c r="Z96" s="116"/>
      <c r="AA96" s="116"/>
      <c r="AB96" s="3"/>
    </row>
    <row r="97" spans="1:28" ht="20" x14ac:dyDescent="0.4">
      <c r="A97" s="57"/>
      <c r="B97" s="47" t="s">
        <v>7</v>
      </c>
      <c r="C97" s="47"/>
      <c r="E97" s="93">
        <f>E83</f>
        <v>12.782815482988553</v>
      </c>
      <c r="F97" s="93">
        <f t="shared" ref="F97:J97" ca="1" si="95">F83</f>
        <v>-6.0331209296494706</v>
      </c>
      <c r="G97" s="93">
        <f t="shared" ca="1" si="95"/>
        <v>-6.9675308480795763</v>
      </c>
      <c r="H97" s="93">
        <f t="shared" ca="1" si="95"/>
        <v>-8.0466621977294039</v>
      </c>
      <c r="I97" s="93">
        <f t="shared" ca="1" si="95"/>
        <v>-9.2929294374367259</v>
      </c>
      <c r="J97" s="93">
        <f t="shared" ca="1" si="95"/>
        <v>-10.732218577977221</v>
      </c>
      <c r="S97" s="57"/>
      <c r="T97" s="57"/>
      <c r="X97" s="116"/>
      <c r="Y97" s="116"/>
      <c r="Z97" s="116"/>
      <c r="AA97" s="116"/>
      <c r="AB97" s="3"/>
    </row>
    <row r="98" spans="1:28" ht="20" x14ac:dyDescent="0.4">
      <c r="A98" s="57"/>
      <c r="B98" s="47" t="s">
        <v>6</v>
      </c>
      <c r="C98" s="47"/>
      <c r="E98" s="93">
        <f>E93</f>
        <v>-262.6294458333677</v>
      </c>
      <c r="F98" s="93">
        <f t="shared" ref="F98:J98" ca="1" si="96">F93</f>
        <v>-226.29632077579464</v>
      </c>
      <c r="G98" s="93">
        <f t="shared" ca="1" si="96"/>
        <v>-261.34510052061302</v>
      </c>
      <c r="H98" s="93">
        <f t="shared" ca="1" si="96"/>
        <v>-301.82223613701387</v>
      </c>
      <c r="I98" s="93">
        <f t="shared" ca="1" si="96"/>
        <v>-348.56847151631337</v>
      </c>
      <c r="J98" s="93">
        <f t="shared" ca="1" si="96"/>
        <v>-402.55476498445722</v>
      </c>
      <c r="S98" s="57"/>
      <c r="T98" s="57"/>
      <c r="X98" s="116"/>
      <c r="Y98" s="116"/>
      <c r="Z98" s="116"/>
      <c r="AA98" s="116"/>
      <c r="AB98" s="3"/>
    </row>
    <row r="99" spans="1:28" ht="20" x14ac:dyDescent="0.4">
      <c r="A99" s="57"/>
      <c r="B99" s="64" t="s">
        <v>105</v>
      </c>
      <c r="C99" s="64"/>
      <c r="D99" s="64"/>
      <c r="E99" s="95">
        <f>SUM(E96:E98)</f>
        <v>92.3594527706706</v>
      </c>
      <c r="F99" s="95">
        <f t="shared" ref="F99:J99" ca="1" si="97">SUM(F96:F98)</f>
        <v>204.30699865062667</v>
      </c>
      <c r="G99" s="95">
        <f t="shared" ca="1" si="97"/>
        <v>232.6490916928945</v>
      </c>
      <c r="H99" s="95">
        <f t="shared" ca="1" si="97"/>
        <v>263.68380524501561</v>
      </c>
      <c r="I99" s="95">
        <f t="shared" ca="1" si="97"/>
        <v>298.57760622298497</v>
      </c>
      <c r="J99" s="95">
        <f t="shared" ca="1" si="97"/>
        <v>339.66300050811088</v>
      </c>
      <c r="S99" s="57"/>
      <c r="T99" s="57"/>
      <c r="X99" s="116"/>
      <c r="Y99" s="116"/>
      <c r="Z99" s="116"/>
      <c r="AA99" s="116"/>
      <c r="AB99" s="3"/>
    </row>
    <row r="100" spans="1:28" ht="20" x14ac:dyDescent="0.4">
      <c r="A100" s="57"/>
      <c r="S100" s="57"/>
      <c r="T100" s="57"/>
      <c r="X100" s="116"/>
      <c r="Y100" s="116"/>
      <c r="Z100" s="116"/>
      <c r="AA100" s="116"/>
      <c r="AB100" s="3"/>
    </row>
    <row r="101" spans="1:28" ht="20.5" thickBot="1" x14ac:dyDescent="0.45">
      <c r="A101" s="57"/>
      <c r="B101" s="13" t="s">
        <v>4</v>
      </c>
      <c r="C101" s="13"/>
      <c r="D101" s="71"/>
      <c r="E101" s="71">
        <f t="shared" ref="E101:J101" si="98">E$12</f>
        <v>2020</v>
      </c>
      <c r="F101" s="71">
        <f t="shared" si="98"/>
        <v>2021</v>
      </c>
      <c r="G101" s="71">
        <f t="shared" si="98"/>
        <v>2022</v>
      </c>
      <c r="H101" s="71">
        <f t="shared" si="98"/>
        <v>2023</v>
      </c>
      <c r="I101" s="71">
        <f t="shared" si="98"/>
        <v>2024</v>
      </c>
      <c r="J101" s="71">
        <f t="shared" si="98"/>
        <v>2025</v>
      </c>
      <c r="S101" s="57"/>
      <c r="T101" s="57"/>
      <c r="X101" s="116"/>
      <c r="Y101" s="116"/>
      <c r="Z101" s="116"/>
      <c r="AA101" s="116"/>
      <c r="AB101" s="3"/>
    </row>
    <row r="102" spans="1:28" ht="20" x14ac:dyDescent="0.4">
      <c r="A102" s="57"/>
      <c r="B102" s="3" t="str">
        <f>B60</f>
        <v>Net Interest Income / (Expense)</v>
      </c>
      <c r="E102" s="93">
        <f>E60</f>
        <v>-28.283127732930371</v>
      </c>
      <c r="F102" s="93">
        <f t="shared" ref="F102:J102" ca="1" si="99">F60</f>
        <v>-44.645522803585145</v>
      </c>
      <c r="G102" s="93">
        <f t="shared" ca="1" si="99"/>
        <v>-40.781867456072632</v>
      </c>
      <c r="H102" s="93">
        <f t="shared" ca="1" si="99"/>
        <v>-30.778755470820897</v>
      </c>
      <c r="I102" s="93">
        <f t="shared" ca="1" si="99"/>
        <v>-16.132357777837111</v>
      </c>
      <c r="J102" s="93">
        <f t="shared" ca="1" si="99"/>
        <v>-1.7880223721254254</v>
      </c>
      <c r="S102" s="57"/>
      <c r="T102" s="57"/>
      <c r="X102" s="116"/>
      <c r="Y102" s="116"/>
      <c r="Z102" s="116"/>
      <c r="AA102" s="116"/>
      <c r="AB102" s="3"/>
    </row>
    <row r="103" spans="1:28" ht="20" x14ac:dyDescent="0.4">
      <c r="A103" s="57"/>
      <c r="B103" s="3" t="s">
        <v>61</v>
      </c>
      <c r="E103" s="93">
        <f>L30</f>
        <v>-94.815866515597662</v>
      </c>
      <c r="F103" s="93">
        <f t="shared" ref="F103:J103" ca="1" si="100">M30</f>
        <v>-6.8359768932675991</v>
      </c>
      <c r="G103" s="93">
        <f t="shared" ca="1" si="100"/>
        <v>-158.11077442257621</v>
      </c>
      <c r="H103" s="93">
        <f t="shared" ca="1" si="100"/>
        <v>-46.196224228050454</v>
      </c>
      <c r="I103" s="93">
        <f t="shared" ca="1" si="100"/>
        <v>0</v>
      </c>
      <c r="J103" s="93">
        <f t="shared" ca="1" si="100"/>
        <v>0</v>
      </c>
      <c r="S103" s="57"/>
      <c r="T103" s="57"/>
      <c r="X103" s="116"/>
      <c r="Y103" s="116"/>
      <c r="Z103" s="116"/>
      <c r="AA103" s="116"/>
      <c r="AB103" s="3"/>
    </row>
    <row r="104" spans="1:28" ht="20" x14ac:dyDescent="0.4">
      <c r="A104" s="57"/>
      <c r="B104" s="3" t="s">
        <v>62</v>
      </c>
      <c r="E104" s="93">
        <f>L35</f>
        <v>192.34793518003596</v>
      </c>
      <c r="F104" s="93">
        <f t="shared" ref="F104:J104" ca="1" si="101">M35</f>
        <v>0</v>
      </c>
      <c r="G104" s="93">
        <f t="shared" ca="1" si="101"/>
        <v>0</v>
      </c>
      <c r="H104" s="93">
        <f t="shared" ca="1" si="101"/>
        <v>-146.2507316656787</v>
      </c>
      <c r="I104" s="93">
        <f t="shared" ca="1" si="101"/>
        <v>-233.96820878435122</v>
      </c>
      <c r="J104" s="93">
        <f t="shared" ca="1" si="101"/>
        <v>-155.22903109850867</v>
      </c>
      <c r="S104" s="57"/>
      <c r="T104" s="57"/>
      <c r="X104" s="116"/>
      <c r="Y104" s="116"/>
      <c r="Z104" s="116"/>
      <c r="AA104" s="116"/>
      <c r="AB104" s="3"/>
    </row>
    <row r="105" spans="1:28" ht="20" x14ac:dyDescent="0.4">
      <c r="A105" s="57"/>
      <c r="S105" s="57"/>
      <c r="T105" s="57"/>
      <c r="X105" s="116"/>
      <c r="Y105" s="116"/>
      <c r="Z105" s="116"/>
      <c r="AA105" s="116"/>
      <c r="AB105" s="3"/>
    </row>
    <row r="106" spans="1:28" ht="20" x14ac:dyDescent="0.4">
      <c r="A106" s="57"/>
      <c r="B106" s="64" t="s">
        <v>4</v>
      </c>
      <c r="C106" s="64"/>
      <c r="D106" s="64"/>
      <c r="E106" s="95">
        <f>SUM(E102:E104)</f>
        <v>69.248940931507931</v>
      </c>
      <c r="F106" s="95">
        <f t="shared" ref="F106:J106" ca="1" si="102">SUM(F102:F104)</f>
        <v>-51.481499696852744</v>
      </c>
      <c r="G106" s="95">
        <f t="shared" ca="1" si="102"/>
        <v>-198.89264187864885</v>
      </c>
      <c r="H106" s="95">
        <f t="shared" ca="1" si="102"/>
        <v>-223.22571136455005</v>
      </c>
      <c r="I106" s="95">
        <f t="shared" ca="1" si="102"/>
        <v>-250.10056656218833</v>
      </c>
      <c r="J106" s="95">
        <f t="shared" ca="1" si="102"/>
        <v>-157.0170534706341</v>
      </c>
      <c r="S106" s="57"/>
      <c r="T106" s="57"/>
      <c r="X106" s="116"/>
      <c r="Y106" s="116"/>
      <c r="Z106" s="116"/>
      <c r="AA106" s="116"/>
      <c r="AB106" s="3"/>
    </row>
    <row r="107" spans="1:28" ht="20" x14ac:dyDescent="0.4">
      <c r="A107" s="57"/>
      <c r="S107" s="57"/>
      <c r="T107" s="57"/>
      <c r="X107" s="116"/>
      <c r="Y107" s="116"/>
      <c r="Z107" s="116"/>
      <c r="AA107" s="116"/>
      <c r="AB107" s="3"/>
    </row>
    <row r="108" spans="1:28" ht="20.5" thickBot="1" x14ac:dyDescent="0.45">
      <c r="A108" s="57"/>
      <c r="B108" s="48" t="s">
        <v>3</v>
      </c>
      <c r="C108" s="48"/>
      <c r="D108" s="47"/>
      <c r="E108" s="71">
        <f t="shared" ref="E108:J108" si="103">E$12</f>
        <v>2020</v>
      </c>
      <c r="F108" s="71">
        <f t="shared" si="103"/>
        <v>2021</v>
      </c>
      <c r="G108" s="71">
        <f t="shared" si="103"/>
        <v>2022</v>
      </c>
      <c r="H108" s="71">
        <f t="shared" si="103"/>
        <v>2023</v>
      </c>
      <c r="I108" s="71">
        <f t="shared" si="103"/>
        <v>2024</v>
      </c>
      <c r="J108" s="71">
        <f t="shared" si="103"/>
        <v>2025</v>
      </c>
      <c r="S108" s="57"/>
      <c r="T108" s="57"/>
      <c r="X108" s="116"/>
      <c r="Y108" s="116"/>
      <c r="Z108" s="116"/>
      <c r="AA108" s="116"/>
      <c r="AB108" s="3"/>
    </row>
    <row r="109" spans="1:28" ht="20" x14ac:dyDescent="0.4">
      <c r="A109" s="57"/>
      <c r="B109" s="47" t="s">
        <v>52</v>
      </c>
      <c r="C109" s="47"/>
      <c r="D109" s="47"/>
      <c r="E109" s="101">
        <f>-E117</f>
        <v>-25.516567789055131</v>
      </c>
      <c r="F109" s="101">
        <f ca="1">-F117</f>
        <v>-28.386754150610368</v>
      </c>
      <c r="G109" s="101">
        <f t="shared" ref="G109:J109" ca="1" si="104">-G117</f>
        <v>-33.756449814245649</v>
      </c>
      <c r="H109" s="101">
        <f t="shared" ca="1" si="104"/>
        <v>-40.458093880465569</v>
      </c>
      <c r="I109" s="101">
        <f t="shared" ca="1" si="104"/>
        <v>-48.477039660796635</v>
      </c>
      <c r="J109" s="101">
        <f t="shared" ca="1" si="104"/>
        <v>-57.50587534383385</v>
      </c>
      <c r="S109" s="57"/>
      <c r="T109" s="57"/>
      <c r="X109" s="116"/>
      <c r="Y109" s="116"/>
      <c r="Z109" s="116"/>
      <c r="AA109" s="116"/>
      <c r="AB109" s="3"/>
    </row>
    <row r="110" spans="1:28" ht="20" x14ac:dyDescent="0.4">
      <c r="A110" s="57"/>
      <c r="B110" s="47" t="s">
        <v>106</v>
      </c>
      <c r="C110" s="47"/>
      <c r="D110" s="47"/>
      <c r="E110" s="102">
        <f>L43+L44</f>
        <v>0</v>
      </c>
      <c r="F110" s="102">
        <f t="shared" ref="F110:J110" si="105">M43+M44</f>
        <v>0</v>
      </c>
      <c r="G110" s="102">
        <f t="shared" ca="1" si="105"/>
        <v>0</v>
      </c>
      <c r="H110" s="102">
        <f t="shared" ca="1" si="105"/>
        <v>0</v>
      </c>
      <c r="I110" s="102">
        <f t="shared" ca="1" si="105"/>
        <v>0</v>
      </c>
      <c r="J110" s="102">
        <f t="shared" ca="1" si="105"/>
        <v>0</v>
      </c>
      <c r="S110" s="57"/>
      <c r="T110" s="57"/>
      <c r="X110" s="116"/>
      <c r="Y110" s="116"/>
      <c r="Z110" s="116"/>
      <c r="AA110" s="116"/>
      <c r="AB110" s="3"/>
    </row>
    <row r="111" spans="1:28" ht="20" x14ac:dyDescent="0.4">
      <c r="A111" s="57"/>
      <c r="B111" s="47" t="s">
        <v>101</v>
      </c>
      <c r="C111" s="47"/>
      <c r="D111" s="47"/>
      <c r="E111" s="101">
        <f>L46</f>
        <v>0</v>
      </c>
      <c r="F111" s="101">
        <f t="shared" ref="F111:J111" si="106">M46</f>
        <v>0</v>
      </c>
      <c r="G111" s="101">
        <f t="shared" ca="1" si="106"/>
        <v>0</v>
      </c>
      <c r="H111" s="101">
        <f t="shared" ca="1" si="106"/>
        <v>0</v>
      </c>
      <c r="I111" s="101">
        <f t="shared" ca="1" si="106"/>
        <v>0</v>
      </c>
      <c r="J111" s="101">
        <f t="shared" ca="1" si="106"/>
        <v>0</v>
      </c>
      <c r="S111" s="57"/>
      <c r="T111" s="57"/>
      <c r="X111" s="116"/>
      <c r="Y111" s="116"/>
      <c r="Z111" s="116"/>
      <c r="AA111" s="116"/>
      <c r="AB111" s="3"/>
    </row>
    <row r="112" spans="1:28" ht="20" x14ac:dyDescent="0.4">
      <c r="A112" s="57"/>
      <c r="B112" s="64" t="s">
        <v>3</v>
      </c>
      <c r="C112" s="64"/>
      <c r="D112" s="64"/>
      <c r="E112" s="95">
        <f>SUM(E109:E111)</f>
        <v>-25.516567789055131</v>
      </c>
      <c r="F112" s="95">
        <f ca="1">SUM(F109:F111)</f>
        <v>-28.386754150610368</v>
      </c>
      <c r="G112" s="95">
        <f t="shared" ref="G112:J112" ca="1" si="107">SUM(G109:G111)</f>
        <v>-33.756449814245649</v>
      </c>
      <c r="H112" s="95">
        <f t="shared" ca="1" si="107"/>
        <v>-40.458093880465569</v>
      </c>
      <c r="I112" s="95">
        <f t="shared" ca="1" si="107"/>
        <v>-48.477039660796635</v>
      </c>
      <c r="J112" s="95">
        <f t="shared" ca="1" si="107"/>
        <v>-57.50587534383385</v>
      </c>
      <c r="S112" s="57"/>
      <c r="T112" s="57"/>
      <c r="X112" s="116"/>
      <c r="Y112" s="116"/>
      <c r="Z112" s="116"/>
      <c r="AA112" s="116"/>
      <c r="AB112" s="3"/>
    </row>
    <row r="113" spans="1:28" ht="20" x14ac:dyDescent="0.4">
      <c r="A113" s="57"/>
      <c r="E113" s="45"/>
      <c r="F113" s="45"/>
      <c r="G113" s="45"/>
      <c r="H113" s="45"/>
      <c r="I113" s="45"/>
      <c r="J113" s="45"/>
      <c r="S113" s="57"/>
      <c r="T113" s="57"/>
      <c r="X113" s="116"/>
      <c r="Y113" s="116"/>
      <c r="Z113" s="116"/>
      <c r="AA113" s="116"/>
      <c r="AB113" s="3"/>
    </row>
    <row r="114" spans="1:28" ht="20" x14ac:dyDescent="0.4">
      <c r="A114" s="57"/>
      <c r="B114" s="44" t="s">
        <v>52</v>
      </c>
      <c r="C114" s="44"/>
      <c r="S114" s="57"/>
      <c r="T114" s="57"/>
      <c r="X114" s="116"/>
      <c r="Y114" s="116"/>
      <c r="Z114" s="116"/>
      <c r="AA114" s="116"/>
      <c r="AB114" s="3"/>
    </row>
    <row r="115" spans="1:28" ht="20" x14ac:dyDescent="0.4">
      <c r="A115" s="57"/>
      <c r="B115" s="3" t="s">
        <v>2</v>
      </c>
      <c r="E115" s="93">
        <f>E63</f>
        <v>196.06028819690397</v>
      </c>
      <c r="F115" s="93">
        <f ca="1">F63</f>
        <v>218.11378574710017</v>
      </c>
      <c r="G115" s="93">
        <f t="shared" ref="G115:J115" ca="1" si="108">G63</f>
        <v>259.3726293363062</v>
      </c>
      <c r="H115" s="93">
        <f t="shared" ca="1" si="108"/>
        <v>310.86569368094479</v>
      </c>
      <c r="I115" s="93">
        <f t="shared" ca="1" si="108"/>
        <v>372.48043880357926</v>
      </c>
      <c r="J115" s="93">
        <f t="shared" ca="1" si="108"/>
        <v>441.85482099843148</v>
      </c>
      <c r="S115" s="57"/>
      <c r="T115" s="57"/>
      <c r="X115" s="116"/>
      <c r="Y115" s="116"/>
      <c r="Z115" s="116"/>
      <c r="AA115" s="116"/>
      <c r="AB115" s="3"/>
    </row>
    <row r="116" spans="1:28" ht="20" x14ac:dyDescent="0.4">
      <c r="A116" s="57"/>
      <c r="B116" s="3" t="s">
        <v>53</v>
      </c>
      <c r="E116" s="93">
        <f>-L45</f>
        <v>-170.54372040784884</v>
      </c>
      <c r="F116" s="49"/>
      <c r="G116" s="49"/>
      <c r="H116" s="49"/>
      <c r="I116" s="49"/>
      <c r="J116" s="49"/>
      <c r="S116" s="57"/>
      <c r="T116" s="57"/>
      <c r="X116" s="116"/>
      <c r="Y116" s="116"/>
      <c r="Z116" s="116"/>
      <c r="AA116" s="116"/>
      <c r="AB116" s="3"/>
    </row>
    <row r="117" spans="1:28" ht="20" x14ac:dyDescent="0.4">
      <c r="A117" s="57"/>
      <c r="B117" s="64" t="s">
        <v>107</v>
      </c>
      <c r="C117" s="64"/>
      <c r="D117" s="64"/>
      <c r="E117" s="95">
        <f>SUM(E115:E116)</f>
        <v>25.516567789055131</v>
      </c>
      <c r="F117" s="95">
        <f ca="1">F115*F118</f>
        <v>28.386754150610368</v>
      </c>
      <c r="G117" s="95">
        <f t="shared" ref="G117:J117" ca="1" si="109">G115*G118</f>
        <v>33.756449814245649</v>
      </c>
      <c r="H117" s="95">
        <f t="shared" ca="1" si="109"/>
        <v>40.458093880465569</v>
      </c>
      <c r="I117" s="95">
        <f t="shared" ca="1" si="109"/>
        <v>48.477039660796635</v>
      </c>
      <c r="J117" s="95">
        <f t="shared" ca="1" si="109"/>
        <v>57.50587534383385</v>
      </c>
      <c r="S117" s="57"/>
      <c r="T117" s="57"/>
      <c r="X117" s="116"/>
      <c r="Y117" s="116"/>
      <c r="Z117" s="116"/>
      <c r="AA117" s="116"/>
      <c r="AB117" s="3"/>
    </row>
    <row r="118" spans="1:28" ht="20" x14ac:dyDescent="0.4">
      <c r="A118" s="57"/>
      <c r="B118" s="12" t="s">
        <v>68</v>
      </c>
      <c r="C118" s="12"/>
      <c r="D118" s="12"/>
      <c r="E118" s="103">
        <f>E117/E115</f>
        <v>0.130146538208843</v>
      </c>
      <c r="F118" s="104">
        <f ca="1">OFFSET(F118,$D$5,0)</f>
        <v>0.130146538208843</v>
      </c>
      <c r="G118" s="104">
        <f t="shared" ref="G118:J118" ca="1" si="110">OFFSET(G118,$D$5,0)</f>
        <v>0.130146538208843</v>
      </c>
      <c r="H118" s="104">
        <f t="shared" ca="1" si="110"/>
        <v>0.130146538208843</v>
      </c>
      <c r="I118" s="104">
        <f t="shared" ca="1" si="110"/>
        <v>0.130146538208843</v>
      </c>
      <c r="J118" s="104">
        <f t="shared" ca="1" si="110"/>
        <v>0.130146538208843</v>
      </c>
      <c r="S118" s="57"/>
      <c r="T118" s="57"/>
      <c r="X118" s="116"/>
      <c r="Y118" s="116"/>
      <c r="Z118" s="116"/>
      <c r="AA118" s="116"/>
      <c r="AB118" s="3"/>
    </row>
    <row r="119" spans="1:28" ht="20" x14ac:dyDescent="0.4">
      <c r="A119" s="57"/>
      <c r="B119" s="78" t="str">
        <f>$D$7</f>
        <v>Base</v>
      </c>
      <c r="C119" s="12"/>
      <c r="D119" s="12"/>
      <c r="E119" s="105">
        <f>E118</f>
        <v>0.130146538208843</v>
      </c>
      <c r="F119" s="105">
        <f>E119</f>
        <v>0.130146538208843</v>
      </c>
      <c r="G119" s="105">
        <f t="shared" ref="G119:J119" si="111">F119</f>
        <v>0.130146538208843</v>
      </c>
      <c r="H119" s="105">
        <f t="shared" si="111"/>
        <v>0.130146538208843</v>
      </c>
      <c r="I119" s="105">
        <f t="shared" si="111"/>
        <v>0.130146538208843</v>
      </c>
      <c r="J119" s="105">
        <f t="shared" si="111"/>
        <v>0.130146538208843</v>
      </c>
      <c r="M119" s="117" t="s">
        <v>117</v>
      </c>
      <c r="N119"/>
      <c r="S119" s="57"/>
      <c r="T119" s="57"/>
      <c r="X119" s="116"/>
      <c r="Y119" s="116"/>
      <c r="Z119" s="116"/>
      <c r="AA119" s="116"/>
      <c r="AB119" s="3"/>
    </row>
    <row r="120" spans="1:28" ht="20" x14ac:dyDescent="0.4">
      <c r="A120" s="57"/>
      <c r="B120" s="78" t="str">
        <f>$D$8</f>
        <v>Upside</v>
      </c>
      <c r="C120" s="12"/>
      <c r="D120" s="12"/>
      <c r="E120" s="65"/>
      <c r="F120" s="120">
        <f>F119*$M120</f>
        <v>0.1822051534923802</v>
      </c>
      <c r="G120" s="120">
        <f t="shared" ref="G120:J120" si="112">G119*$M120</f>
        <v>0.1822051534923802</v>
      </c>
      <c r="H120" s="120">
        <f t="shared" si="112"/>
        <v>0.1822051534923802</v>
      </c>
      <c r="I120" s="120">
        <f t="shared" si="112"/>
        <v>0.1822051534923802</v>
      </c>
      <c r="J120" s="120">
        <f t="shared" si="112"/>
        <v>0.1822051534923802</v>
      </c>
      <c r="M120" s="242">
        <v>1.4</v>
      </c>
      <c r="S120" s="57"/>
      <c r="T120" s="57"/>
      <c r="X120" s="116"/>
      <c r="Y120" s="116"/>
      <c r="Z120" s="116"/>
      <c r="AA120" s="116"/>
      <c r="AB120" s="3"/>
    </row>
    <row r="121" spans="1:28" ht="20" x14ac:dyDescent="0.4">
      <c r="A121" s="57"/>
      <c r="B121" s="78"/>
      <c r="C121" s="12"/>
      <c r="D121" s="12"/>
      <c r="E121" s="65"/>
      <c r="F121" s="65"/>
      <c r="G121" s="65"/>
      <c r="H121" s="65"/>
      <c r="I121" s="65"/>
      <c r="J121" s="65"/>
      <c r="M121" s="242"/>
      <c r="S121" s="57"/>
      <c r="T121" s="57"/>
      <c r="X121" s="116"/>
      <c r="Y121" s="116"/>
      <c r="Z121" s="116"/>
      <c r="AA121" s="116"/>
      <c r="AB121" s="3"/>
    </row>
    <row r="122" spans="1:28" ht="20" x14ac:dyDescent="0.4">
      <c r="A122" s="57"/>
      <c r="E122" s="50"/>
      <c r="F122" s="50"/>
      <c r="G122" s="50"/>
      <c r="H122" s="50"/>
      <c r="I122" s="50"/>
      <c r="J122" s="50"/>
      <c r="S122" s="57"/>
      <c r="T122" s="57"/>
      <c r="X122" s="116"/>
      <c r="Y122" s="116"/>
      <c r="Z122" s="116"/>
      <c r="AA122" s="116"/>
      <c r="AB122" s="3"/>
    </row>
    <row r="123" spans="1:28" ht="20.5" thickBot="1" x14ac:dyDescent="0.45">
      <c r="A123" s="57"/>
      <c r="B123" s="13" t="s">
        <v>1</v>
      </c>
      <c r="C123" s="13"/>
      <c r="E123" s="71">
        <f t="shared" ref="E123:J123" si="113">E$12</f>
        <v>2020</v>
      </c>
      <c r="F123" s="71">
        <f t="shared" si="113"/>
        <v>2021</v>
      </c>
      <c r="G123" s="71">
        <f t="shared" si="113"/>
        <v>2022</v>
      </c>
      <c r="H123" s="71">
        <f t="shared" si="113"/>
        <v>2023</v>
      </c>
      <c r="I123" s="71">
        <f t="shared" si="113"/>
        <v>2024</v>
      </c>
      <c r="J123" s="71">
        <f t="shared" si="113"/>
        <v>2025</v>
      </c>
      <c r="S123" s="57"/>
      <c r="T123" s="57"/>
      <c r="X123" s="116"/>
      <c r="Y123" s="116"/>
      <c r="Z123" s="116"/>
      <c r="AA123" s="116"/>
      <c r="AB123" s="3"/>
    </row>
    <row r="124" spans="1:28" ht="20" x14ac:dyDescent="0.4">
      <c r="A124" s="57"/>
      <c r="B124" s="3" t="s">
        <v>5</v>
      </c>
      <c r="E124" s="93">
        <f>E99</f>
        <v>92.3594527706706</v>
      </c>
      <c r="F124" s="93">
        <f t="shared" ref="F124:J124" ca="1" si="114">F99</f>
        <v>204.30699865062667</v>
      </c>
      <c r="G124" s="93">
        <f t="shared" ca="1" si="114"/>
        <v>232.6490916928945</v>
      </c>
      <c r="H124" s="93">
        <f t="shared" ca="1" si="114"/>
        <v>263.68380524501561</v>
      </c>
      <c r="I124" s="93">
        <f t="shared" ca="1" si="114"/>
        <v>298.57760622298497</v>
      </c>
      <c r="J124" s="93">
        <f t="shared" ca="1" si="114"/>
        <v>339.66300050811088</v>
      </c>
      <c r="S124" s="57"/>
      <c r="T124" s="57"/>
      <c r="X124" s="116"/>
      <c r="Y124" s="116"/>
      <c r="Z124" s="116"/>
      <c r="AA124" s="116"/>
      <c r="AB124" s="3"/>
    </row>
    <row r="125" spans="1:28" ht="20" x14ac:dyDescent="0.4">
      <c r="A125" s="57"/>
      <c r="B125" s="3" t="s">
        <v>4</v>
      </c>
      <c r="E125" s="93">
        <f>E106</f>
        <v>69.248940931507931</v>
      </c>
      <c r="F125" s="93">
        <f t="shared" ref="F125:J125" ca="1" si="115">F106</f>
        <v>-51.481499696852744</v>
      </c>
      <c r="G125" s="93">
        <f t="shared" ca="1" si="115"/>
        <v>-198.89264187864885</v>
      </c>
      <c r="H125" s="93">
        <f t="shared" ca="1" si="115"/>
        <v>-223.22571136455005</v>
      </c>
      <c r="I125" s="93">
        <f t="shared" ca="1" si="115"/>
        <v>-250.10056656218833</v>
      </c>
      <c r="J125" s="93">
        <f t="shared" ca="1" si="115"/>
        <v>-157.0170534706341</v>
      </c>
      <c r="S125" s="57"/>
      <c r="T125" s="57"/>
      <c r="X125" s="116"/>
      <c r="Y125" s="116"/>
      <c r="Z125" s="116"/>
      <c r="AA125" s="116"/>
      <c r="AB125" s="3"/>
    </row>
    <row r="126" spans="1:28" ht="20" x14ac:dyDescent="0.4">
      <c r="A126" s="57"/>
      <c r="B126" s="3" t="s">
        <v>3</v>
      </c>
      <c r="E126" s="93">
        <f>E112</f>
        <v>-25.516567789055131</v>
      </c>
      <c r="F126" s="93">
        <f ca="1">F112</f>
        <v>-28.386754150610368</v>
      </c>
      <c r="G126" s="93">
        <f t="shared" ref="G126:J126" ca="1" si="116">G112</f>
        <v>-33.756449814245649</v>
      </c>
      <c r="H126" s="93">
        <f t="shared" ca="1" si="116"/>
        <v>-40.458093880465569</v>
      </c>
      <c r="I126" s="93">
        <f t="shared" ca="1" si="116"/>
        <v>-48.477039660796635</v>
      </c>
      <c r="J126" s="93">
        <f t="shared" ca="1" si="116"/>
        <v>-57.50587534383385</v>
      </c>
      <c r="S126" s="57"/>
      <c r="T126" s="57"/>
      <c r="X126" s="116"/>
      <c r="Y126" s="116"/>
      <c r="Z126" s="116"/>
      <c r="AA126" s="116"/>
      <c r="AB126" s="3"/>
    </row>
    <row r="127" spans="1:28" ht="20" x14ac:dyDescent="0.4">
      <c r="A127" s="57"/>
      <c r="B127" s="64" t="s">
        <v>1</v>
      </c>
      <c r="C127" s="64"/>
      <c r="D127" s="64"/>
      <c r="E127" s="95">
        <f>SUM(E124:E126)</f>
        <v>136.09182591312342</v>
      </c>
      <c r="F127" s="95">
        <f t="shared" ref="F127:J127" ca="1" si="117">SUM(F124:F126)</f>
        <v>124.43874480316354</v>
      </c>
      <c r="G127" s="95">
        <f t="shared" ca="1" si="117"/>
        <v>0</v>
      </c>
      <c r="H127" s="95">
        <f t="shared" ca="1" si="117"/>
        <v>0</v>
      </c>
      <c r="I127" s="95">
        <f t="shared" ca="1" si="117"/>
        <v>0</v>
      </c>
      <c r="J127" s="95">
        <f t="shared" ca="1" si="117"/>
        <v>125.14007169364294</v>
      </c>
      <c r="S127" s="57"/>
      <c r="T127" s="57"/>
      <c r="X127" s="116"/>
      <c r="Y127" s="116"/>
      <c r="Z127" s="116"/>
      <c r="AA127" s="116"/>
      <c r="AB127" s="3"/>
    </row>
    <row r="128" spans="1:28" ht="20" x14ac:dyDescent="0.4">
      <c r="A128" s="57"/>
      <c r="B128" s="36" t="s">
        <v>111</v>
      </c>
      <c r="C128" s="36"/>
      <c r="D128" s="36"/>
      <c r="E128" s="111">
        <f>L15-E127</f>
        <v>0</v>
      </c>
      <c r="F128" s="111">
        <f t="shared" ref="F128:J128" ca="1" si="118">M15-F127</f>
        <v>-124.43874480316354</v>
      </c>
      <c r="G128" s="111">
        <f t="shared" ca="1" si="118"/>
        <v>0</v>
      </c>
      <c r="H128" s="111">
        <f t="shared" ca="1" si="118"/>
        <v>0</v>
      </c>
      <c r="I128" s="111">
        <f t="shared" ca="1" si="118"/>
        <v>0</v>
      </c>
      <c r="J128" s="111">
        <f t="shared" ca="1" si="118"/>
        <v>0</v>
      </c>
      <c r="S128" s="57"/>
      <c r="T128" s="57"/>
      <c r="X128" s="116"/>
      <c r="Y128" s="116"/>
      <c r="Z128" s="116"/>
      <c r="AA128" s="116"/>
      <c r="AB128" s="3"/>
    </row>
    <row r="129" spans="1:28" ht="20" x14ac:dyDescent="0.4">
      <c r="A129" s="57"/>
      <c r="E129" s="45"/>
      <c r="F129" s="45"/>
      <c r="G129" s="45"/>
      <c r="H129" s="45"/>
      <c r="I129" s="45"/>
      <c r="J129" s="45"/>
      <c r="S129" s="57"/>
      <c r="T129" s="57"/>
      <c r="X129" s="116"/>
      <c r="Y129" s="116"/>
      <c r="Z129" s="116"/>
      <c r="AA129" s="116"/>
      <c r="AB129" s="3"/>
    </row>
    <row r="130" spans="1:28" ht="20.5" thickBot="1" x14ac:dyDescent="0.45">
      <c r="A130" s="57"/>
      <c r="B130" s="48" t="s">
        <v>0</v>
      </c>
      <c r="C130" s="48"/>
      <c r="D130" s="47"/>
      <c r="E130" s="71">
        <f t="shared" ref="E130:J130" si="119">E$12</f>
        <v>2020</v>
      </c>
      <c r="F130" s="71">
        <f t="shared" si="119"/>
        <v>2021</v>
      </c>
      <c r="G130" s="71">
        <f t="shared" si="119"/>
        <v>2022</v>
      </c>
      <c r="H130" s="71">
        <f t="shared" si="119"/>
        <v>2023</v>
      </c>
      <c r="I130" s="71">
        <f t="shared" si="119"/>
        <v>2024</v>
      </c>
      <c r="J130" s="71">
        <f t="shared" si="119"/>
        <v>2025</v>
      </c>
      <c r="S130" s="57"/>
      <c r="T130" s="57"/>
      <c r="X130" s="116"/>
      <c r="Y130" s="116"/>
      <c r="Z130" s="116"/>
      <c r="AA130" s="116"/>
      <c r="AB130" s="3"/>
    </row>
    <row r="131" spans="1:28" ht="20" x14ac:dyDescent="0.4">
      <c r="A131" s="57"/>
      <c r="B131" s="47" t="s">
        <v>103</v>
      </c>
      <c r="C131" s="47"/>
      <c r="D131" s="47"/>
      <c r="E131" s="101">
        <f>E99</f>
        <v>92.3594527706706</v>
      </c>
      <c r="F131" s="101">
        <f ca="1">F99</f>
        <v>204.30699865062667</v>
      </c>
      <c r="G131" s="101">
        <f t="shared" ref="G131:I131" ca="1" si="120">G99</f>
        <v>232.6490916928945</v>
      </c>
      <c r="H131" s="101">
        <f t="shared" ca="1" si="120"/>
        <v>263.68380524501561</v>
      </c>
      <c r="I131" s="101">
        <f t="shared" ca="1" si="120"/>
        <v>298.57760622298497</v>
      </c>
      <c r="J131" s="101">
        <f ca="1">J99</f>
        <v>339.66300050811088</v>
      </c>
      <c r="S131" s="57"/>
      <c r="T131" s="57"/>
      <c r="X131" s="116"/>
      <c r="Y131" s="116"/>
      <c r="Z131" s="116"/>
      <c r="AA131" s="116"/>
      <c r="AB131" s="3"/>
    </row>
    <row r="132" spans="1:28" ht="20" x14ac:dyDescent="0.4">
      <c r="A132" s="57"/>
      <c r="B132" s="47" t="s">
        <v>63</v>
      </c>
      <c r="C132" s="47"/>
      <c r="D132" s="47"/>
      <c r="E132" s="101">
        <f>-E127</f>
        <v>-136.09182591312342</v>
      </c>
      <c r="F132" s="101">
        <f t="shared" ref="F132:J132" ca="1" si="121">-F127</f>
        <v>-124.43874480316354</v>
      </c>
      <c r="G132" s="101">
        <f t="shared" ca="1" si="121"/>
        <v>0</v>
      </c>
      <c r="H132" s="101">
        <f t="shared" ca="1" si="121"/>
        <v>0</v>
      </c>
      <c r="I132" s="101">
        <f t="shared" ca="1" si="121"/>
        <v>0</v>
      </c>
      <c r="J132" s="101">
        <f t="shared" ca="1" si="121"/>
        <v>-125.14007169364294</v>
      </c>
      <c r="S132" s="57"/>
      <c r="T132" s="57"/>
      <c r="X132" s="116"/>
      <c r="Y132" s="116"/>
      <c r="Z132" s="116"/>
      <c r="AA132" s="116"/>
      <c r="AB132" s="3"/>
    </row>
    <row r="133" spans="1:28" ht="20" x14ac:dyDescent="0.4">
      <c r="A133" s="57"/>
      <c r="B133" s="64" t="s">
        <v>0</v>
      </c>
      <c r="C133" s="64"/>
      <c r="D133" s="64"/>
      <c r="E133" s="95">
        <f>SUM(E131:E132)</f>
        <v>-43.732373142452815</v>
      </c>
      <c r="F133" s="95">
        <f t="shared" ref="F133:J133" ca="1" si="122">SUM(F131:F132)</f>
        <v>79.868253847463123</v>
      </c>
      <c r="G133" s="95">
        <f t="shared" ca="1" si="122"/>
        <v>232.6490916928945</v>
      </c>
      <c r="H133" s="95">
        <f t="shared" ca="1" si="122"/>
        <v>263.68380524501561</v>
      </c>
      <c r="I133" s="95">
        <f t="shared" ca="1" si="122"/>
        <v>298.57760622298497</v>
      </c>
      <c r="J133" s="95">
        <f t="shared" ca="1" si="122"/>
        <v>214.52292881446795</v>
      </c>
      <c r="S133" s="57"/>
      <c r="T133" s="57"/>
      <c r="X133" s="116"/>
      <c r="Y133" s="116"/>
      <c r="Z133" s="116"/>
      <c r="AA133" s="116"/>
      <c r="AB133" s="3"/>
    </row>
    <row r="134" spans="1:28" ht="20" x14ac:dyDescent="0.4">
      <c r="A134" s="57"/>
      <c r="B134" s="36" t="s">
        <v>54</v>
      </c>
      <c r="C134" s="36"/>
      <c r="D134" s="36"/>
      <c r="E134" s="94">
        <f>E133+E126+E125</f>
        <v>0</v>
      </c>
      <c r="F134" s="94">
        <f ca="1">F133+F126+F125</f>
        <v>0</v>
      </c>
      <c r="G134" s="94">
        <f t="shared" ref="G134:H134" ca="1" si="123">G133+G126+G125</f>
        <v>0</v>
      </c>
      <c r="H134" s="94">
        <f t="shared" ca="1" si="123"/>
        <v>0</v>
      </c>
      <c r="I134" s="94">
        <f ca="1">I133+I126+I125</f>
        <v>0</v>
      </c>
      <c r="J134" s="94">
        <f ca="1">J133+J126+J125</f>
        <v>0</v>
      </c>
      <c r="S134" s="57"/>
      <c r="T134" s="57"/>
      <c r="X134" s="116"/>
      <c r="Y134" s="116"/>
      <c r="Z134" s="116"/>
      <c r="AA134" s="116"/>
      <c r="AB134" s="3"/>
    </row>
    <row r="135" spans="1:28" ht="20" x14ac:dyDescent="0.4">
      <c r="A135" s="57"/>
      <c r="B135" s="36"/>
      <c r="C135" s="36"/>
      <c r="D135" s="36"/>
      <c r="E135" s="37"/>
      <c r="F135" s="37"/>
      <c r="G135" s="37"/>
      <c r="H135" s="37"/>
      <c r="I135" s="37"/>
      <c r="J135" s="37"/>
      <c r="S135" s="57"/>
      <c r="T135" s="57"/>
      <c r="X135" s="116"/>
      <c r="Y135" s="116"/>
      <c r="Z135" s="116"/>
      <c r="AA135" s="116"/>
      <c r="AB135" s="3"/>
    </row>
    <row r="136" spans="1:28" ht="24" x14ac:dyDescent="0.8">
      <c r="A136" s="57"/>
      <c r="B136" s="51"/>
      <c r="C136" s="51"/>
      <c r="D136" s="8" t="str">
        <f>D$11</f>
        <v>Historical</v>
      </c>
      <c r="E136" s="8" t="s">
        <v>220</v>
      </c>
      <c r="F136" s="8" t="str">
        <f>F$11</f>
        <v>Forecast</v>
      </c>
      <c r="G136" s="8"/>
      <c r="H136" s="8"/>
      <c r="I136" s="8"/>
      <c r="J136" s="8"/>
      <c r="S136" s="57"/>
      <c r="T136" s="57"/>
      <c r="X136" s="116"/>
      <c r="Y136" s="116"/>
      <c r="Z136" s="116"/>
      <c r="AA136" s="116"/>
      <c r="AB136" s="3"/>
    </row>
    <row r="137" spans="1:28" ht="20.5" thickBot="1" x14ac:dyDescent="0.45">
      <c r="A137" s="57"/>
      <c r="B137" s="4" t="s">
        <v>87</v>
      </c>
      <c r="C137" s="4"/>
      <c r="D137" s="71">
        <f t="shared" ref="D137:J137" si="124">D$12</f>
        <v>2019</v>
      </c>
      <c r="E137" s="71">
        <f t="shared" si="124"/>
        <v>2020</v>
      </c>
      <c r="F137" s="71">
        <f t="shared" si="124"/>
        <v>2021</v>
      </c>
      <c r="G137" s="71">
        <f t="shared" si="124"/>
        <v>2022</v>
      </c>
      <c r="H137" s="71">
        <f t="shared" si="124"/>
        <v>2023</v>
      </c>
      <c r="I137" s="71">
        <f t="shared" si="124"/>
        <v>2024</v>
      </c>
      <c r="J137" s="71">
        <f t="shared" si="124"/>
        <v>2025</v>
      </c>
      <c r="S137" s="57"/>
      <c r="T137" s="57"/>
      <c r="X137" s="116"/>
      <c r="Y137" s="116"/>
      <c r="Z137" s="116"/>
      <c r="AA137" s="116"/>
      <c r="AB137" s="3"/>
    </row>
    <row r="138" spans="1:28" ht="20" x14ac:dyDescent="0.4">
      <c r="A138" s="57"/>
      <c r="B138" s="36"/>
      <c r="C138" s="36"/>
      <c r="D138" s="36"/>
      <c r="E138" s="37"/>
      <c r="F138" s="37"/>
      <c r="G138" s="37"/>
      <c r="H138" s="37"/>
      <c r="I138" s="37"/>
      <c r="J138" s="37"/>
      <c r="S138" s="57"/>
      <c r="T138" s="57"/>
      <c r="X138" s="116"/>
      <c r="Y138" s="116"/>
      <c r="Z138" s="116"/>
      <c r="AA138" s="116"/>
      <c r="AB138" s="3"/>
    </row>
    <row r="139" spans="1:28" ht="20" x14ac:dyDescent="0.4">
      <c r="A139" s="57"/>
      <c r="B139" s="3" t="s">
        <v>112</v>
      </c>
      <c r="D139" s="86">
        <v>6.3500141995521189E-3</v>
      </c>
      <c r="E139" s="87">
        <f t="shared" ref="E139:J140" si="125">D139</f>
        <v>6.3500141995521189E-3</v>
      </c>
      <c r="F139" s="87">
        <f t="shared" si="125"/>
        <v>6.3500141995521189E-3</v>
      </c>
      <c r="G139" s="87">
        <f t="shared" si="125"/>
        <v>6.3500141995521189E-3</v>
      </c>
      <c r="H139" s="87">
        <f t="shared" si="125"/>
        <v>6.3500141995521189E-3</v>
      </c>
      <c r="I139" s="87">
        <f t="shared" si="125"/>
        <v>6.3500141995521189E-3</v>
      </c>
      <c r="J139" s="87">
        <f t="shared" si="125"/>
        <v>6.3500141995521189E-3</v>
      </c>
      <c r="S139" s="57"/>
      <c r="T139" s="57"/>
      <c r="X139" s="116"/>
      <c r="Y139" s="116"/>
      <c r="Z139" s="116"/>
      <c r="AA139" s="116"/>
      <c r="AB139" s="3"/>
    </row>
    <row r="140" spans="1:28" ht="20" x14ac:dyDescent="0.4">
      <c r="A140" s="57"/>
      <c r="B140" s="3" t="s">
        <v>113</v>
      </c>
      <c r="D140" s="86">
        <v>1.8473045596915259E-3</v>
      </c>
      <c r="E140" s="87">
        <f t="shared" si="125"/>
        <v>1.8473045596915259E-3</v>
      </c>
      <c r="F140" s="87">
        <f t="shared" si="125"/>
        <v>1.8473045596915259E-3</v>
      </c>
      <c r="G140" s="87">
        <f t="shared" si="125"/>
        <v>1.8473045596915259E-3</v>
      </c>
      <c r="H140" s="87">
        <f t="shared" si="125"/>
        <v>1.8473045596915259E-3</v>
      </c>
      <c r="I140" s="87">
        <f t="shared" si="125"/>
        <v>1.8473045596915259E-3</v>
      </c>
      <c r="J140" s="87">
        <f t="shared" si="125"/>
        <v>1.8473045596915259E-3</v>
      </c>
      <c r="S140" s="57"/>
      <c r="T140" s="57"/>
      <c r="X140" s="116"/>
      <c r="Y140" s="116"/>
      <c r="Z140" s="116"/>
      <c r="AA140" s="116"/>
      <c r="AB140" s="3"/>
    </row>
    <row r="141" spans="1:28" ht="20" x14ac:dyDescent="0.4">
      <c r="A141" s="57"/>
      <c r="B141" s="36"/>
      <c r="C141" s="36"/>
      <c r="D141" s="36"/>
      <c r="E141" s="37"/>
      <c r="F141" s="37"/>
      <c r="G141" s="37"/>
      <c r="H141" s="37"/>
      <c r="I141" s="37"/>
      <c r="J141" s="37"/>
      <c r="S141" s="57"/>
      <c r="T141" s="57"/>
      <c r="X141" s="116"/>
      <c r="Y141" s="116"/>
      <c r="Z141" s="116"/>
      <c r="AA141" s="116"/>
      <c r="AB141" s="3"/>
    </row>
    <row r="142" spans="1:28" ht="20" x14ac:dyDescent="0.4">
      <c r="A142" s="57"/>
      <c r="B142" s="13" t="s">
        <v>114</v>
      </c>
      <c r="C142" s="36"/>
      <c r="D142" s="36"/>
      <c r="E142" s="37"/>
      <c r="F142" s="37"/>
      <c r="G142" s="37"/>
      <c r="H142" s="37"/>
      <c r="I142" s="37"/>
      <c r="J142" s="37"/>
      <c r="S142" s="57"/>
      <c r="T142" s="57"/>
      <c r="X142" s="116"/>
      <c r="Y142" s="116"/>
      <c r="Z142" s="116"/>
      <c r="AA142" s="116"/>
      <c r="AB142" s="3"/>
    </row>
    <row r="143" spans="1:28" ht="20" x14ac:dyDescent="0.4">
      <c r="A143" s="57"/>
      <c r="B143" s="3" t="s">
        <v>103</v>
      </c>
      <c r="D143" s="62"/>
      <c r="E143" s="69"/>
      <c r="F143" s="106">
        <f ca="1">F131</f>
        <v>204.30699865062667</v>
      </c>
      <c r="G143" s="106">
        <f t="shared" ref="G143:J143" ca="1" si="126">G131</f>
        <v>232.6490916928945</v>
      </c>
      <c r="H143" s="106">
        <f t="shared" ca="1" si="126"/>
        <v>263.68380524501561</v>
      </c>
      <c r="I143" s="106">
        <f t="shared" ca="1" si="126"/>
        <v>298.57760622298497</v>
      </c>
      <c r="J143" s="106">
        <f t="shared" ca="1" si="126"/>
        <v>339.66300050811088</v>
      </c>
      <c r="S143" s="57"/>
      <c r="T143" s="57"/>
      <c r="X143" s="116"/>
      <c r="Y143" s="116"/>
      <c r="Z143" s="116"/>
      <c r="AA143" s="116"/>
      <c r="AB143" s="3"/>
    </row>
    <row r="144" spans="1:28" ht="20" x14ac:dyDescent="0.4">
      <c r="A144" s="57"/>
      <c r="B144" s="3" t="str">
        <f>$B$189</f>
        <v>Net Interest Income / (Expense)</v>
      </c>
      <c r="D144" s="62"/>
      <c r="E144" s="69"/>
      <c r="F144" s="106">
        <f ca="1">F60</f>
        <v>-44.645522803585145</v>
      </c>
      <c r="G144" s="106">
        <f t="shared" ref="G144:J144" ca="1" si="127">G60</f>
        <v>-40.781867456072632</v>
      </c>
      <c r="H144" s="106">
        <f t="shared" ca="1" si="127"/>
        <v>-30.778755470820897</v>
      </c>
      <c r="I144" s="106">
        <f t="shared" ca="1" si="127"/>
        <v>-16.132357777837111</v>
      </c>
      <c r="J144" s="106">
        <f t="shared" ca="1" si="127"/>
        <v>-1.7880223721254254</v>
      </c>
      <c r="S144" s="57"/>
      <c r="T144" s="57"/>
      <c r="X144" s="116"/>
      <c r="Y144" s="116"/>
      <c r="Z144" s="116"/>
      <c r="AA144" s="116"/>
      <c r="AB144" s="3"/>
    </row>
    <row r="145" spans="1:28" ht="20" x14ac:dyDescent="0.4">
      <c r="A145" s="57"/>
      <c r="B145" s="12" t="str">
        <f>B112</f>
        <v>Cash Flow from / (to) Shareholders (CF(S))</v>
      </c>
      <c r="C145" s="12"/>
      <c r="D145" s="82"/>
      <c r="E145" s="83"/>
      <c r="F145" s="89">
        <f ca="1">F126</f>
        <v>-28.386754150610368</v>
      </c>
      <c r="G145" s="89">
        <f t="shared" ref="G145:J145" ca="1" si="128">G126</f>
        <v>-33.756449814245649</v>
      </c>
      <c r="H145" s="89">
        <f t="shared" ca="1" si="128"/>
        <v>-40.458093880465569</v>
      </c>
      <c r="I145" s="89">
        <f t="shared" ca="1" si="128"/>
        <v>-48.477039660796635</v>
      </c>
      <c r="J145" s="89">
        <f t="shared" ca="1" si="128"/>
        <v>-57.50587534383385</v>
      </c>
      <c r="S145" s="57"/>
      <c r="T145" s="57"/>
      <c r="X145" s="116"/>
      <c r="Y145" s="116"/>
      <c r="Z145" s="116"/>
      <c r="AA145" s="116"/>
      <c r="AB145" s="3"/>
    </row>
    <row r="146" spans="1:28" ht="20" x14ac:dyDescent="0.4">
      <c r="A146" s="57"/>
      <c r="B146" s="39" t="str">
        <f>B142</f>
        <v>FCF for Discretionary Debt Retirement / (Issuance)</v>
      </c>
      <c r="C146" s="39"/>
      <c r="D146" s="84"/>
      <c r="E146" s="84"/>
      <c r="F146" s="88">
        <f ca="1">SUM(F143:F145)</f>
        <v>131.27472169643116</v>
      </c>
      <c r="G146" s="88">
        <f t="shared" ref="G146:J146" ca="1" si="129">SUM(G143:G145)</f>
        <v>158.11077442257621</v>
      </c>
      <c r="H146" s="88">
        <f t="shared" ca="1" si="129"/>
        <v>192.44695589372913</v>
      </c>
      <c r="I146" s="88">
        <f t="shared" ca="1" si="129"/>
        <v>233.96820878435122</v>
      </c>
      <c r="J146" s="88">
        <f t="shared" ca="1" si="129"/>
        <v>280.36910279215158</v>
      </c>
      <c r="S146" s="57"/>
      <c r="T146" s="57"/>
      <c r="X146" s="116"/>
      <c r="Y146" s="116"/>
      <c r="Z146" s="116"/>
      <c r="AA146" s="116"/>
      <c r="AB146" s="3"/>
    </row>
    <row r="147" spans="1:28" ht="20" x14ac:dyDescent="0.4">
      <c r="A147" s="57"/>
      <c r="B147" s="36"/>
      <c r="C147" s="36"/>
      <c r="D147" s="36"/>
      <c r="E147" s="37"/>
      <c r="F147" s="37"/>
      <c r="G147" s="37"/>
      <c r="H147" s="37"/>
      <c r="I147" s="37"/>
      <c r="J147" s="37"/>
      <c r="S147" s="57"/>
      <c r="T147" s="57"/>
      <c r="X147" s="116"/>
      <c r="Y147" s="116"/>
      <c r="Z147" s="116"/>
      <c r="AA147" s="116"/>
      <c r="AB147" s="3"/>
    </row>
    <row r="148" spans="1:28" ht="20" x14ac:dyDescent="0.4">
      <c r="A148" s="57"/>
      <c r="B148" s="13" t="s">
        <v>89</v>
      </c>
      <c r="D148" s="36"/>
      <c r="E148" s="37"/>
      <c r="F148" s="37"/>
      <c r="G148" s="37"/>
      <c r="H148" s="37">
        <f ca="1">F126</f>
        <v>-28.386754150610368</v>
      </c>
      <c r="I148" s="37"/>
      <c r="J148" s="37"/>
      <c r="S148" s="57"/>
      <c r="T148" s="57"/>
      <c r="X148" s="116"/>
      <c r="Y148" s="116"/>
      <c r="Z148" s="116"/>
      <c r="AA148" s="116"/>
      <c r="AB148" s="3"/>
    </row>
    <row r="149" spans="1:28" ht="20" x14ac:dyDescent="0.4">
      <c r="A149" s="57"/>
      <c r="B149" s="3" t="s">
        <v>88</v>
      </c>
      <c r="D149" s="62"/>
      <c r="E149" s="69"/>
      <c r="F149" s="106">
        <f>E152</f>
        <v>211.14297554389427</v>
      </c>
      <c r="G149" s="106">
        <f ca="1">F152</f>
        <v>204.30699865062667</v>
      </c>
      <c r="H149" s="106">
        <f t="shared" ref="H149:J149" ca="1" si="130">G152</f>
        <v>46.196224228050454</v>
      </c>
      <c r="I149" s="106">
        <f t="shared" ca="1" si="130"/>
        <v>0</v>
      </c>
      <c r="J149" s="106">
        <f t="shared" ca="1" si="130"/>
        <v>0</v>
      </c>
      <c r="S149" s="57"/>
      <c r="T149" s="57"/>
      <c r="X149" s="116"/>
      <c r="Y149" s="116"/>
      <c r="Z149" s="116"/>
      <c r="AA149" s="116"/>
      <c r="AB149" s="3"/>
    </row>
    <row r="150" spans="1:28" ht="20" x14ac:dyDescent="0.4">
      <c r="A150" s="57"/>
      <c r="B150" s="3" t="s">
        <v>91</v>
      </c>
      <c r="D150" s="62"/>
      <c r="E150" s="69"/>
      <c r="F150" s="92">
        <f ca="1">-MIN(F146,0)</f>
        <v>0</v>
      </c>
      <c r="G150" s="92">
        <f t="shared" ref="G150:J150" ca="1" si="131">-MIN(G146,0)</f>
        <v>0</v>
      </c>
      <c r="H150" s="92">
        <f t="shared" ca="1" si="131"/>
        <v>0</v>
      </c>
      <c r="I150" s="92">
        <f t="shared" ca="1" si="131"/>
        <v>0</v>
      </c>
      <c r="J150" s="92">
        <f t="shared" ca="1" si="131"/>
        <v>0</v>
      </c>
      <c r="S150" s="57"/>
      <c r="T150" s="57"/>
      <c r="X150" s="116"/>
      <c r="Y150" s="116"/>
      <c r="Z150" s="116"/>
      <c r="AA150" s="116"/>
      <c r="AB150" s="3"/>
    </row>
    <row r="151" spans="1:28" ht="24" x14ac:dyDescent="0.8">
      <c r="A151" s="57"/>
      <c r="B151" s="12" t="s">
        <v>92</v>
      </c>
      <c r="C151" s="12"/>
      <c r="D151" s="82"/>
      <c r="E151" s="223" t="s">
        <v>220</v>
      </c>
      <c r="F151" s="90">
        <f ca="1">-IF(F146&gt;0,IF(F149&lt;F146,F149,F146),0)</f>
        <v>-131.27472169643116</v>
      </c>
      <c r="G151" s="90">
        <f t="shared" ref="G151:J151" ca="1" si="132">-IF(G146&gt;0,IF(G149&lt;G146,G149,G146),0)</f>
        <v>-158.11077442257621</v>
      </c>
      <c r="H151" s="90">
        <f t="shared" ca="1" si="132"/>
        <v>-46.196224228050454</v>
      </c>
      <c r="I151" s="90">
        <f t="shared" ca="1" si="132"/>
        <v>0</v>
      </c>
      <c r="J151" s="90">
        <f t="shared" ca="1" si="132"/>
        <v>0</v>
      </c>
      <c r="S151" s="57"/>
      <c r="T151" s="57"/>
      <c r="X151" s="116"/>
      <c r="Y151" s="116"/>
      <c r="Z151" s="116"/>
      <c r="AA151" s="116"/>
      <c r="AB151" s="3"/>
    </row>
    <row r="152" spans="1:28" ht="20" x14ac:dyDescent="0.4">
      <c r="A152" s="57"/>
      <c r="B152" s="39" t="s">
        <v>90</v>
      </c>
      <c r="C152" s="39"/>
      <c r="D152" s="84">
        <f>D30</f>
        <v>305.95884205949193</v>
      </c>
      <c r="E152" s="224">
        <f>$E$426</f>
        <v>211.14297554389427</v>
      </c>
      <c r="F152" s="88">
        <f ca="1">F99</f>
        <v>204.30699865062667</v>
      </c>
      <c r="G152" s="88">
        <f t="shared" ref="G152:J152" ca="1" si="133">SUM(G149:G151)</f>
        <v>46.196224228050454</v>
      </c>
      <c r="H152" s="88">
        <f t="shared" ca="1" si="133"/>
        <v>0</v>
      </c>
      <c r="I152" s="88">
        <f t="shared" ca="1" si="133"/>
        <v>0</v>
      </c>
      <c r="J152" s="88">
        <f t="shared" ca="1" si="133"/>
        <v>0</v>
      </c>
      <c r="S152" s="57"/>
      <c r="T152" s="57"/>
      <c r="X152" s="116"/>
      <c r="Y152" s="116"/>
      <c r="Z152" s="116"/>
      <c r="AA152" s="116"/>
      <c r="AB152" s="3"/>
    </row>
    <row r="153" spans="1:28" ht="20" x14ac:dyDescent="0.4">
      <c r="A153" s="57"/>
      <c r="B153" s="3" t="s">
        <v>116</v>
      </c>
      <c r="D153" s="62"/>
      <c r="E153" s="69"/>
      <c r="F153" s="92">
        <f ca="1">AVERAGE(E152:F152)</f>
        <v>207.72498709726045</v>
      </c>
      <c r="G153" s="92">
        <f t="shared" ref="G153:J153" ca="1" si="134">AVERAGE(F152:G152)</f>
        <v>125.25161143933856</v>
      </c>
      <c r="H153" s="92">
        <f t="shared" ca="1" si="134"/>
        <v>23.098112114025227</v>
      </c>
      <c r="I153" s="92">
        <f t="shared" ca="1" si="134"/>
        <v>0</v>
      </c>
      <c r="J153" s="92">
        <f t="shared" ca="1" si="134"/>
        <v>0</v>
      </c>
      <c r="S153" s="57"/>
      <c r="T153" s="57"/>
      <c r="X153" s="116"/>
      <c r="Y153" s="116"/>
      <c r="Z153" s="116"/>
      <c r="AA153" s="116"/>
      <c r="AB153" s="3"/>
    </row>
    <row r="154" spans="1:28" ht="20" x14ac:dyDescent="0.4">
      <c r="A154" s="57"/>
      <c r="B154" s="3" t="s">
        <v>94</v>
      </c>
      <c r="D154" s="91">
        <v>4.4999999999999998E-2</v>
      </c>
      <c r="F154" s="107">
        <f>F$140+$D154</f>
        <v>4.6847304559691522E-2</v>
      </c>
      <c r="G154" s="107">
        <f t="shared" ref="G154:J154" si="135">G$140+$D154</f>
        <v>4.6847304559691522E-2</v>
      </c>
      <c r="H154" s="107">
        <f t="shared" si="135"/>
        <v>4.6847304559691522E-2</v>
      </c>
      <c r="I154" s="107">
        <f t="shared" si="135"/>
        <v>4.6847304559691522E-2</v>
      </c>
      <c r="J154" s="107">
        <f t="shared" si="135"/>
        <v>4.6847304559691522E-2</v>
      </c>
      <c r="S154" s="57"/>
      <c r="T154" s="57"/>
      <c r="X154" s="116"/>
      <c r="Y154" s="116"/>
      <c r="Z154" s="116"/>
      <c r="AA154" s="116"/>
      <c r="AB154" s="3"/>
    </row>
    <row r="155" spans="1:28" ht="20" x14ac:dyDescent="0.4">
      <c r="A155" s="57"/>
      <c r="B155" s="3" t="s">
        <v>115</v>
      </c>
      <c r="D155" s="85"/>
      <c r="E155" s="69"/>
      <c r="F155" s="92">
        <f ca="1">F153*-F154</f>
        <v>-9.7313557352033513</v>
      </c>
      <c r="G155" s="92">
        <f t="shared" ref="G155:J155" ca="1" si="136">G153*-G154</f>
        <v>-5.867700387690836</v>
      </c>
      <c r="H155" s="92">
        <f t="shared" ca="1" si="136"/>
        <v>-1.0820842929596399</v>
      </c>
      <c r="I155" s="92">
        <f t="shared" ca="1" si="136"/>
        <v>0</v>
      </c>
      <c r="J155" s="92">
        <f t="shared" ca="1" si="136"/>
        <v>0</v>
      </c>
      <c r="S155" s="57"/>
      <c r="T155" s="57"/>
      <c r="X155" s="116"/>
      <c r="Y155" s="116"/>
      <c r="Z155" s="116"/>
      <c r="AA155" s="116"/>
      <c r="AB155" s="3"/>
    </row>
    <row r="156" spans="1:28" ht="20" x14ac:dyDescent="0.4">
      <c r="A156" s="57"/>
      <c r="D156" s="62"/>
      <c r="E156" s="69"/>
      <c r="F156" s="30"/>
      <c r="G156" s="30"/>
      <c r="H156" s="30"/>
      <c r="I156" s="30"/>
      <c r="J156" s="30"/>
      <c r="S156" s="57"/>
      <c r="T156" s="57"/>
      <c r="X156" s="116"/>
      <c r="Y156" s="116"/>
      <c r="Z156" s="116"/>
      <c r="AA156" s="116"/>
      <c r="AB156" s="3"/>
    </row>
    <row r="157" spans="1:28" ht="20" x14ac:dyDescent="0.4">
      <c r="A157" s="57"/>
      <c r="B157" s="60" t="str">
        <f>$B$146&amp;" After "&amp;B148</f>
        <v>FCF for Discretionary Debt Retirement / (Issuance) After Short-term Debt:</v>
      </c>
      <c r="C157" s="60"/>
      <c r="D157" s="83"/>
      <c r="E157" s="83"/>
      <c r="F157" s="90">
        <f ca="1">F151+F150+F146</f>
        <v>0</v>
      </c>
      <c r="G157" s="90">
        <f ca="1">G151+G150+G146</f>
        <v>0</v>
      </c>
      <c r="H157" s="90">
        <f t="shared" ref="H157:J157" ca="1" si="137">H151+H150+H146</f>
        <v>146.25073166567867</v>
      </c>
      <c r="I157" s="90">
        <f t="shared" ca="1" si="137"/>
        <v>233.96820878435122</v>
      </c>
      <c r="J157" s="90">
        <f t="shared" ca="1" si="137"/>
        <v>280.36910279215158</v>
      </c>
      <c r="S157" s="57"/>
      <c r="T157" s="57"/>
      <c r="X157" s="116"/>
      <c r="Y157" s="116"/>
      <c r="Z157" s="116"/>
      <c r="AA157" s="116"/>
      <c r="AB157" s="3"/>
    </row>
    <row r="158" spans="1:28" ht="20" x14ac:dyDescent="0.4">
      <c r="A158" s="57"/>
      <c r="D158" s="62"/>
      <c r="E158" s="69"/>
      <c r="F158" s="30"/>
      <c r="G158" s="30"/>
      <c r="H158" s="30"/>
      <c r="I158" s="30"/>
      <c r="J158" s="30"/>
      <c r="S158" s="57"/>
      <c r="T158" s="57"/>
      <c r="X158" s="116"/>
      <c r="Y158" s="116"/>
      <c r="Z158" s="116"/>
      <c r="AA158" s="116"/>
      <c r="AB158" s="3"/>
    </row>
    <row r="159" spans="1:28" ht="20" x14ac:dyDescent="0.4">
      <c r="A159" s="57"/>
      <c r="B159" s="13" t="s">
        <v>95</v>
      </c>
      <c r="C159" s="36"/>
      <c r="D159" s="36"/>
      <c r="E159" s="37"/>
      <c r="F159" s="37"/>
      <c r="G159" s="37"/>
      <c r="H159" s="37"/>
      <c r="I159" s="37"/>
      <c r="J159" s="37"/>
      <c r="S159" s="57"/>
      <c r="T159" s="57"/>
      <c r="X159" s="116"/>
      <c r="Y159" s="116"/>
      <c r="Z159" s="116"/>
      <c r="AA159" s="116"/>
      <c r="AB159" s="3"/>
    </row>
    <row r="160" spans="1:28" ht="20" x14ac:dyDescent="0.4">
      <c r="A160" s="57"/>
      <c r="B160" s="3" t="str">
        <f>B149</f>
        <v>Beginning Balance</v>
      </c>
      <c r="D160" s="62"/>
      <c r="E160" s="69"/>
      <c r="F160" s="106">
        <f>E163</f>
        <v>535.44797154853859</v>
      </c>
      <c r="G160" s="106">
        <f t="shared" ref="G160:J160" ca="1" si="138">F163</f>
        <v>535.44797154853859</v>
      </c>
      <c r="H160" s="106">
        <f t="shared" ca="1" si="138"/>
        <v>535.44797154853859</v>
      </c>
      <c r="I160" s="106">
        <f ca="1">H163</f>
        <v>389.19723988285989</v>
      </c>
      <c r="J160" s="106">
        <f t="shared" ca="1" si="138"/>
        <v>155.22903109850867</v>
      </c>
      <c r="S160" s="57"/>
      <c r="T160" s="57"/>
      <c r="X160" s="116"/>
      <c r="Y160" s="116"/>
      <c r="Z160" s="116"/>
      <c r="AA160" s="116"/>
      <c r="AB160" s="3"/>
    </row>
    <row r="161" spans="1:28" ht="20" x14ac:dyDescent="0.4">
      <c r="A161" s="57"/>
      <c r="B161" s="3" t="str">
        <f t="shared" ref="B161:B166" si="139">B150</f>
        <v>Issuance</v>
      </c>
      <c r="D161" s="62"/>
      <c r="E161" s="69"/>
      <c r="F161" s="92">
        <f ca="1">-MIN(F157,0)</f>
        <v>0</v>
      </c>
      <c r="G161" s="92">
        <f t="shared" ref="G161:J161" ca="1" si="140">-MIN(G157,0)</f>
        <v>0</v>
      </c>
      <c r="H161" s="92">
        <f t="shared" ca="1" si="140"/>
        <v>0</v>
      </c>
      <c r="I161" s="92">
        <f t="shared" ca="1" si="140"/>
        <v>0</v>
      </c>
      <c r="J161" s="92">
        <f t="shared" ca="1" si="140"/>
        <v>0</v>
      </c>
      <c r="S161" s="57"/>
      <c r="T161" s="57"/>
      <c r="X161" s="116"/>
      <c r="Y161" s="116"/>
      <c r="Z161" s="116"/>
      <c r="AA161" s="116"/>
      <c r="AB161" s="3"/>
    </row>
    <row r="162" spans="1:28" ht="24" x14ac:dyDescent="0.8">
      <c r="A162" s="57"/>
      <c r="B162" s="12" t="str">
        <f t="shared" si="139"/>
        <v>(Retirement)</v>
      </c>
      <c r="C162" s="12"/>
      <c r="D162" s="82"/>
      <c r="E162" s="223" t="s">
        <v>220</v>
      </c>
      <c r="F162" s="90">
        <f ca="1">-IF(F157&gt;0,IF(F160&lt;F157,F160,F157),0)</f>
        <v>0</v>
      </c>
      <c r="G162" s="90">
        <f ca="1">-IF(G157&gt;0,IF(G160&lt;G157,G160,G157),0)</f>
        <v>0</v>
      </c>
      <c r="H162" s="90">
        <f t="shared" ref="H162:J162" ca="1" si="141">-IF(H157&gt;0,IF(H160&lt;H157,H160,H157),0)</f>
        <v>-146.25073166567867</v>
      </c>
      <c r="I162" s="90">
        <f t="shared" ca="1" si="141"/>
        <v>-233.96820878435122</v>
      </c>
      <c r="J162" s="90">
        <f t="shared" ca="1" si="141"/>
        <v>-155.22903109850867</v>
      </c>
      <c r="S162" s="57"/>
      <c r="T162" s="57"/>
      <c r="X162" s="116"/>
      <c r="Y162" s="116"/>
      <c r="Z162" s="116"/>
      <c r="AA162" s="116"/>
      <c r="AB162" s="3"/>
    </row>
    <row r="163" spans="1:28" ht="20" x14ac:dyDescent="0.4">
      <c r="A163" s="57"/>
      <c r="B163" s="39" t="str">
        <f t="shared" si="139"/>
        <v>Ending Balance</v>
      </c>
      <c r="C163" s="39"/>
      <c r="D163" s="84">
        <f>D35</f>
        <v>343.10003636850263</v>
      </c>
      <c r="E163" s="224">
        <f>$E$427</f>
        <v>535.44797154853859</v>
      </c>
      <c r="F163" s="88">
        <f ca="1">SUM(F160:F162)</f>
        <v>535.44797154853859</v>
      </c>
      <c r="G163" s="88">
        <f t="shared" ref="G163" ca="1" si="142">SUM(G160:G162)</f>
        <v>535.44797154853859</v>
      </c>
      <c r="H163" s="88">
        <f t="shared" ref="H163" ca="1" si="143">SUM(H160:H162)</f>
        <v>389.19723988285989</v>
      </c>
      <c r="I163" s="88">
        <f t="shared" ref="I163" ca="1" si="144">SUM(I160:I162)</f>
        <v>155.22903109850867</v>
      </c>
      <c r="J163" s="88">
        <f t="shared" ref="J163" ca="1" si="145">SUM(J160:J162)</f>
        <v>0</v>
      </c>
      <c r="S163" s="57"/>
      <c r="T163" s="57"/>
      <c r="X163" s="116"/>
      <c r="Y163" s="116"/>
      <c r="Z163" s="116"/>
      <c r="AA163" s="116"/>
      <c r="AB163" s="3"/>
    </row>
    <row r="164" spans="1:28" ht="20" x14ac:dyDescent="0.4">
      <c r="A164" s="57"/>
      <c r="B164" s="3" t="str">
        <f t="shared" si="139"/>
        <v>Average Balance (beginning and ending)</v>
      </c>
      <c r="D164" s="62"/>
      <c r="E164" s="69"/>
      <c r="F164" s="92">
        <f ca="1">AVERAGE(E163:F163)</f>
        <v>535.44797154853859</v>
      </c>
      <c r="G164" s="92">
        <f t="shared" ref="G164" ca="1" si="146">AVERAGE(F163:G163)</f>
        <v>535.44797154853859</v>
      </c>
      <c r="H164" s="92">
        <f t="shared" ref="H164" ca="1" si="147">AVERAGE(G163:H163)</f>
        <v>462.32260571569924</v>
      </c>
      <c r="I164" s="92">
        <f t="shared" ref="I164" ca="1" si="148">AVERAGE(H163:I163)</f>
        <v>272.21313549068429</v>
      </c>
      <c r="J164" s="92">
        <f t="shared" ref="J164" ca="1" si="149">AVERAGE(I163:J163)</f>
        <v>77.614515549254335</v>
      </c>
      <c r="S164" s="57"/>
      <c r="T164" s="57"/>
      <c r="X164" s="116"/>
      <c r="Y164" s="116"/>
      <c r="Z164" s="116"/>
      <c r="AA164" s="116"/>
      <c r="AB164" s="3"/>
    </row>
    <row r="165" spans="1:28" ht="20" x14ac:dyDescent="0.4">
      <c r="A165" s="57"/>
      <c r="B165" s="3" t="str">
        <f t="shared" si="139"/>
        <v>Interest Rate</v>
      </c>
      <c r="D165" s="85">
        <v>6.5000000000000002E-2</v>
      </c>
      <c r="E165" s="69"/>
      <c r="F165" s="107">
        <f>F$139+$D165</f>
        <v>7.1350014199552114E-2</v>
      </c>
      <c r="G165" s="107">
        <f t="shared" ref="G165:J165" si="150">G$139+$D165</f>
        <v>7.1350014199552114E-2</v>
      </c>
      <c r="H165" s="107">
        <f t="shared" si="150"/>
        <v>7.1350014199552114E-2</v>
      </c>
      <c r="I165" s="107">
        <f t="shared" si="150"/>
        <v>7.1350014199552114E-2</v>
      </c>
      <c r="J165" s="107">
        <f t="shared" si="150"/>
        <v>7.1350014199552114E-2</v>
      </c>
      <c r="S165" s="57"/>
      <c r="T165" s="57"/>
      <c r="X165" s="116"/>
      <c r="Y165" s="116"/>
      <c r="Z165" s="116"/>
      <c r="AA165" s="116"/>
      <c r="AB165" s="3"/>
    </row>
    <row r="166" spans="1:28" ht="20" x14ac:dyDescent="0.4">
      <c r="A166" s="57"/>
      <c r="B166" s="3" t="str">
        <f t="shared" si="139"/>
        <v>Interest (Expense)</v>
      </c>
      <c r="D166" s="85"/>
      <c r="E166" s="69"/>
      <c r="F166" s="92">
        <f ca="1">F164*-F165</f>
        <v>-38.204220373109607</v>
      </c>
      <c r="G166" s="92">
        <f t="shared" ref="G166" ca="1" si="151">G164*-G165</f>
        <v>-38.204220373109607</v>
      </c>
      <c r="H166" s="92">
        <f t="shared" ref="H166" ca="1" si="152">H164*-H165</f>
        <v>-32.986724482589075</v>
      </c>
      <c r="I166" s="92">
        <f t="shared" ref="I166" ca="1" si="153">I164*-I165</f>
        <v>-19.422411082564928</v>
      </c>
      <c r="J166" s="92">
        <f t="shared" ref="J166" ca="1" si="154">J164*-J165</f>
        <v>-5.537796786530655</v>
      </c>
      <c r="S166" s="57"/>
      <c r="T166" s="57"/>
      <c r="X166" s="116"/>
      <c r="Y166" s="116"/>
      <c r="Z166" s="116"/>
      <c r="AA166" s="116"/>
      <c r="AB166" s="3"/>
    </row>
    <row r="167" spans="1:28" ht="20" x14ac:dyDescent="0.4">
      <c r="A167" s="57"/>
      <c r="D167" s="62"/>
      <c r="E167" s="69"/>
      <c r="F167" s="30"/>
      <c r="G167" s="30"/>
      <c r="H167" s="30"/>
      <c r="I167" s="30"/>
      <c r="J167" s="30"/>
      <c r="S167" s="57"/>
      <c r="T167" s="57"/>
      <c r="X167" s="116"/>
      <c r="Y167" s="116"/>
      <c r="Z167" s="116"/>
      <c r="AA167" s="116"/>
      <c r="AB167" s="3"/>
    </row>
    <row r="168" spans="1:28" ht="20" x14ac:dyDescent="0.4">
      <c r="A168" s="57"/>
      <c r="B168" s="60" t="str">
        <f>$B$146&amp;" After "&amp;B159</f>
        <v>FCF for Discretionary Debt Retirement / (Issuance) After Long-term Debt:</v>
      </c>
      <c r="C168" s="60"/>
      <c r="D168" s="83"/>
      <c r="E168" s="83"/>
      <c r="F168" s="90">
        <f ca="1">F162+F161+F157</f>
        <v>0</v>
      </c>
      <c r="G168" s="90">
        <f t="shared" ref="G168:I168" ca="1" si="155">G162+G161+G157</f>
        <v>0</v>
      </c>
      <c r="H168" s="90">
        <f t="shared" ca="1" si="155"/>
        <v>0</v>
      </c>
      <c r="I168" s="90">
        <f t="shared" ca="1" si="155"/>
        <v>0</v>
      </c>
      <c r="J168" s="90">
        <f ca="1">J162+J161+J157</f>
        <v>125.14007169364291</v>
      </c>
      <c r="S168" s="57"/>
      <c r="T168" s="57"/>
      <c r="X168" s="116"/>
      <c r="Y168" s="116"/>
      <c r="Z168" s="116"/>
      <c r="AA168" s="116"/>
      <c r="AB168" s="3"/>
    </row>
    <row r="169" spans="1:28" ht="20" x14ac:dyDescent="0.4">
      <c r="A169" s="57"/>
      <c r="D169" s="62"/>
      <c r="E169" s="69"/>
      <c r="F169" s="30"/>
      <c r="G169" s="30"/>
      <c r="H169" s="30"/>
      <c r="I169" s="30"/>
      <c r="J169" s="30"/>
      <c r="S169" s="57"/>
      <c r="T169" s="57"/>
      <c r="X169" s="116"/>
      <c r="Y169" s="116"/>
      <c r="Z169" s="116"/>
      <c r="AA169" s="116"/>
      <c r="AB169" s="3"/>
    </row>
    <row r="170" spans="1:28" ht="20" x14ac:dyDescent="0.4">
      <c r="A170" s="57"/>
      <c r="D170" s="62"/>
      <c r="E170" s="69"/>
      <c r="F170" s="30"/>
      <c r="G170" s="30"/>
      <c r="H170" s="30"/>
      <c r="I170" s="30"/>
      <c r="J170" s="30"/>
      <c r="K170" s="79"/>
      <c r="S170" s="57"/>
      <c r="T170" s="57"/>
      <c r="X170" s="116"/>
      <c r="Y170" s="116"/>
      <c r="Z170" s="116"/>
      <c r="AA170" s="116"/>
      <c r="AB170" s="3"/>
    </row>
    <row r="171" spans="1:28" ht="20" x14ac:dyDescent="0.4">
      <c r="A171" s="57"/>
      <c r="D171" s="62"/>
      <c r="E171" s="69"/>
      <c r="F171" s="30"/>
      <c r="G171" s="30"/>
      <c r="H171" s="30"/>
      <c r="I171" s="30"/>
      <c r="J171" s="30"/>
      <c r="K171" s="79"/>
      <c r="S171" s="57"/>
      <c r="T171" s="57"/>
      <c r="X171" s="116"/>
      <c r="Y171" s="116"/>
      <c r="Z171" s="116"/>
      <c r="AA171" s="116"/>
      <c r="AB171" s="3"/>
    </row>
    <row r="172" spans="1:28" ht="20" x14ac:dyDescent="0.4">
      <c r="A172" s="57"/>
      <c r="D172" s="62"/>
      <c r="E172" s="69"/>
      <c r="F172" s="30"/>
      <c r="G172" s="30"/>
      <c r="H172" s="30"/>
      <c r="I172" s="30"/>
      <c r="J172" s="30"/>
      <c r="K172" s="79"/>
      <c r="S172" s="57"/>
      <c r="T172" s="57"/>
      <c r="X172" s="116"/>
      <c r="Y172" s="116"/>
      <c r="Z172" s="116"/>
      <c r="AA172" s="116"/>
      <c r="AB172" s="3"/>
    </row>
    <row r="173" spans="1:28" ht="20" x14ac:dyDescent="0.4">
      <c r="A173" s="57"/>
      <c r="D173" s="62"/>
      <c r="E173" s="69"/>
      <c r="F173" s="30"/>
      <c r="G173" s="30"/>
      <c r="H173" s="30"/>
      <c r="I173" s="30"/>
      <c r="J173" s="30"/>
      <c r="K173" s="79"/>
      <c r="S173" s="57"/>
      <c r="T173" s="57"/>
      <c r="X173" s="116"/>
      <c r="Y173" s="116"/>
      <c r="Z173" s="116"/>
      <c r="AA173" s="116"/>
      <c r="AB173" s="3"/>
    </row>
    <row r="174" spans="1:28" ht="20" x14ac:dyDescent="0.4">
      <c r="A174" s="57"/>
      <c r="D174" s="62"/>
      <c r="E174" s="69"/>
      <c r="F174" s="30"/>
      <c r="G174" s="30"/>
      <c r="H174" s="30"/>
      <c r="I174" s="30"/>
      <c r="J174" s="30"/>
      <c r="K174" s="79"/>
      <c r="S174" s="57"/>
      <c r="T174" s="57"/>
      <c r="X174" s="116"/>
      <c r="Y174" s="116"/>
      <c r="Z174" s="116"/>
      <c r="AA174" s="116"/>
      <c r="AB174" s="3"/>
    </row>
    <row r="175" spans="1:28" ht="20" x14ac:dyDescent="0.4">
      <c r="A175" s="57"/>
      <c r="D175" s="62"/>
      <c r="E175" s="69"/>
      <c r="F175" s="30"/>
      <c r="G175" s="30"/>
      <c r="H175" s="30"/>
      <c r="I175" s="30"/>
      <c r="J175" s="30"/>
      <c r="K175" s="79"/>
      <c r="S175" s="57"/>
      <c r="T175" s="57"/>
      <c r="X175" s="116"/>
      <c r="Y175" s="116"/>
      <c r="Z175" s="116"/>
      <c r="AA175" s="116"/>
      <c r="AB175" s="3"/>
    </row>
    <row r="176" spans="1:28" ht="20" x14ac:dyDescent="0.4">
      <c r="A176" s="57"/>
      <c r="D176" s="62"/>
      <c r="E176" s="69"/>
      <c r="F176" s="30"/>
      <c r="G176" s="30"/>
      <c r="H176" s="30"/>
      <c r="I176" s="30"/>
      <c r="J176" s="30"/>
      <c r="K176" s="79"/>
      <c r="S176" s="57"/>
      <c r="T176" s="57"/>
      <c r="X176" s="116"/>
      <c r="Y176" s="116"/>
      <c r="Z176" s="116"/>
      <c r="AA176" s="116"/>
      <c r="AB176" s="3"/>
    </row>
    <row r="177" spans="1:28" ht="20" x14ac:dyDescent="0.4">
      <c r="A177" s="57"/>
      <c r="D177" s="62"/>
      <c r="E177" s="69"/>
      <c r="F177" s="30"/>
      <c r="G177" s="30"/>
      <c r="H177" s="30"/>
      <c r="I177" s="30"/>
      <c r="J177" s="30"/>
      <c r="K177" s="79"/>
      <c r="S177" s="57"/>
      <c r="T177" s="57"/>
      <c r="X177" s="116"/>
      <c r="Y177" s="116"/>
      <c r="Z177" s="116"/>
      <c r="AA177" s="116"/>
      <c r="AB177" s="3"/>
    </row>
    <row r="178" spans="1:28" ht="20" x14ac:dyDescent="0.4">
      <c r="A178" s="57"/>
      <c r="D178" s="62"/>
      <c r="E178" s="69"/>
      <c r="F178" s="30"/>
      <c r="G178" s="30"/>
      <c r="H178" s="30"/>
      <c r="I178" s="30"/>
      <c r="J178" s="30"/>
      <c r="K178" s="79"/>
      <c r="S178" s="57"/>
      <c r="T178" s="57"/>
      <c r="X178" s="116"/>
      <c r="Y178" s="116"/>
      <c r="Z178" s="116"/>
      <c r="AA178" s="116"/>
      <c r="AB178" s="3"/>
    </row>
    <row r="179" spans="1:28" ht="20" x14ac:dyDescent="0.4">
      <c r="A179" s="57"/>
      <c r="D179" s="62"/>
      <c r="E179" s="69"/>
      <c r="F179" s="30"/>
      <c r="G179" s="30"/>
      <c r="H179" s="30"/>
      <c r="I179" s="30"/>
      <c r="J179" s="30"/>
      <c r="K179" s="79"/>
      <c r="S179" s="57"/>
      <c r="T179" s="57"/>
      <c r="X179" s="116"/>
      <c r="Y179" s="116"/>
      <c r="Z179" s="116"/>
      <c r="AA179" s="116"/>
      <c r="AB179" s="3"/>
    </row>
    <row r="180" spans="1:28" ht="20" x14ac:dyDescent="0.4">
      <c r="A180" s="57"/>
      <c r="D180" s="62"/>
      <c r="E180" s="69"/>
      <c r="F180" s="30"/>
      <c r="G180" s="30"/>
      <c r="H180" s="30"/>
      <c r="I180" s="30"/>
      <c r="J180" s="30"/>
      <c r="K180" s="79"/>
      <c r="S180" s="57"/>
      <c r="T180" s="57"/>
      <c r="X180" s="116"/>
      <c r="Y180" s="116"/>
      <c r="Z180" s="116"/>
      <c r="AA180" s="116"/>
      <c r="AB180" s="3"/>
    </row>
    <row r="181" spans="1:28" ht="20" x14ac:dyDescent="0.4">
      <c r="A181" s="57"/>
      <c r="B181" s="13" t="s">
        <v>36</v>
      </c>
      <c r="C181" s="36"/>
      <c r="D181" s="36"/>
      <c r="E181" s="37"/>
      <c r="F181" s="37"/>
      <c r="G181" s="37"/>
      <c r="H181" s="37"/>
      <c r="I181" s="37"/>
      <c r="J181" s="37"/>
      <c r="S181" s="57"/>
      <c r="T181" s="57"/>
      <c r="X181" s="116"/>
      <c r="Y181" s="116"/>
      <c r="Z181" s="116"/>
      <c r="AA181" s="116"/>
      <c r="AB181" s="3"/>
    </row>
    <row r="182" spans="1:28" ht="20" x14ac:dyDescent="0.4">
      <c r="A182" s="57"/>
      <c r="B182" s="3" t="s">
        <v>88</v>
      </c>
      <c r="D182" s="62"/>
      <c r="E182" s="69"/>
      <c r="F182" s="106">
        <f>E184</f>
        <v>447.79051664437173</v>
      </c>
      <c r="G182" s="106">
        <f t="shared" ref="G182:J182" ca="1" si="156">F184</f>
        <v>447.79051664437173</v>
      </c>
      <c r="H182" s="106">
        <f t="shared" ca="1" si="156"/>
        <v>447.79051664437173</v>
      </c>
      <c r="I182" s="106">
        <f t="shared" ca="1" si="156"/>
        <v>447.79051664437173</v>
      </c>
      <c r="J182" s="106">
        <f t="shared" ca="1" si="156"/>
        <v>447.79051664437173</v>
      </c>
      <c r="S182" s="57"/>
      <c r="T182" s="57"/>
      <c r="X182" s="116"/>
      <c r="Y182" s="116"/>
      <c r="Z182" s="116"/>
      <c r="AA182" s="116"/>
      <c r="AB182" s="3"/>
    </row>
    <row r="183" spans="1:28" ht="20" x14ac:dyDescent="0.4">
      <c r="A183" s="57"/>
      <c r="B183" s="3" t="s">
        <v>98</v>
      </c>
      <c r="D183" s="62"/>
      <c r="E183" s="69"/>
      <c r="F183" s="106">
        <f ca="1">F168</f>
        <v>0</v>
      </c>
      <c r="G183" s="106">
        <f t="shared" ref="G183:J183" ca="1" si="157">G168</f>
        <v>0</v>
      </c>
      <c r="H183" s="106">
        <f t="shared" ca="1" si="157"/>
        <v>0</v>
      </c>
      <c r="I183" s="106">
        <f ca="1">I168</f>
        <v>0</v>
      </c>
      <c r="J183" s="106">
        <f t="shared" ca="1" si="157"/>
        <v>125.14007169364291</v>
      </c>
      <c r="S183" s="57"/>
      <c r="T183" s="57"/>
      <c r="X183" s="116"/>
      <c r="Y183" s="116"/>
      <c r="Z183" s="116"/>
      <c r="AA183" s="116"/>
      <c r="AB183" s="3"/>
    </row>
    <row r="184" spans="1:28" ht="20" x14ac:dyDescent="0.4">
      <c r="A184" s="57"/>
      <c r="B184" s="39" t="s">
        <v>90</v>
      </c>
      <c r="C184" s="39"/>
      <c r="D184" s="84">
        <f>D15</f>
        <v>311.69869073124846</v>
      </c>
      <c r="E184" s="84">
        <f>E15</f>
        <v>447.79051664437173</v>
      </c>
      <c r="F184" s="88">
        <f ca="1">SUM(F182:F183)</f>
        <v>447.79051664437173</v>
      </c>
      <c r="G184" s="88">
        <f t="shared" ref="G184:J184" ca="1" si="158">SUM(G182:G183)</f>
        <v>447.79051664437173</v>
      </c>
      <c r="H184" s="88">
        <f t="shared" ca="1" si="158"/>
        <v>447.79051664437173</v>
      </c>
      <c r="I184" s="88">
        <f t="shared" ca="1" si="158"/>
        <v>447.79051664437173</v>
      </c>
      <c r="J184" s="88">
        <f t="shared" ca="1" si="158"/>
        <v>572.93058833801467</v>
      </c>
      <c r="S184" s="57"/>
      <c r="T184" s="57"/>
      <c r="X184" s="116"/>
      <c r="Y184" s="116"/>
      <c r="Z184" s="116"/>
      <c r="AA184" s="116"/>
      <c r="AB184" s="3"/>
    </row>
    <row r="185" spans="1:28" ht="20" x14ac:dyDescent="0.4">
      <c r="A185" s="57"/>
      <c r="B185" s="3" t="s">
        <v>93</v>
      </c>
      <c r="D185" s="62"/>
      <c r="E185" s="69"/>
      <c r="F185" s="92">
        <f ca="1">AVERAGE(E184:F184)</f>
        <v>447.79051664437173</v>
      </c>
      <c r="G185" s="92">
        <f t="shared" ref="G185:J185" ca="1" si="159">AVERAGE(F184:G184)</f>
        <v>447.79051664437173</v>
      </c>
      <c r="H185" s="92">
        <f t="shared" ca="1" si="159"/>
        <v>447.79051664437173</v>
      </c>
      <c r="I185" s="92">
        <f t="shared" ca="1" si="159"/>
        <v>447.79051664437173</v>
      </c>
      <c r="J185" s="92">
        <f t="shared" ca="1" si="159"/>
        <v>510.36055249119318</v>
      </c>
      <c r="S185" s="57"/>
      <c r="T185" s="57"/>
      <c r="X185" s="116"/>
      <c r="Y185" s="116"/>
      <c r="Z185" s="116"/>
      <c r="AA185" s="116"/>
      <c r="AB185" s="3"/>
    </row>
    <row r="186" spans="1:28" ht="20" x14ac:dyDescent="0.4">
      <c r="A186" s="57"/>
      <c r="B186" s="3" t="s">
        <v>94</v>
      </c>
      <c r="D186" s="91">
        <v>5.4999999999999997E-3</v>
      </c>
      <c r="E186" s="69"/>
      <c r="F186" s="107">
        <f>$D186+F$140</f>
        <v>7.3473045596915256E-3</v>
      </c>
      <c r="G186" s="107">
        <f t="shared" ref="G186:J186" si="160">$D186+G$140</f>
        <v>7.3473045596915256E-3</v>
      </c>
      <c r="H186" s="107">
        <f t="shared" si="160"/>
        <v>7.3473045596915256E-3</v>
      </c>
      <c r="I186" s="107">
        <f t="shared" si="160"/>
        <v>7.3473045596915256E-3</v>
      </c>
      <c r="J186" s="107">
        <f t="shared" si="160"/>
        <v>7.3473045596915256E-3</v>
      </c>
      <c r="S186" s="57"/>
      <c r="T186" s="57"/>
      <c r="X186" s="116"/>
      <c r="Y186" s="116"/>
      <c r="Z186" s="116"/>
      <c r="AA186" s="116"/>
      <c r="AB186" s="3"/>
    </row>
    <row r="187" spans="1:28" ht="20" x14ac:dyDescent="0.4">
      <c r="A187" s="57"/>
      <c r="B187" s="3" t="s">
        <v>96</v>
      </c>
      <c r="D187" s="85"/>
      <c r="E187" s="69"/>
      <c r="F187" s="92">
        <f ca="1">F186*F185</f>
        <v>3.2900533047278162</v>
      </c>
      <c r="G187" s="92">
        <f t="shared" ref="G187:J187" ca="1" si="161">G186*G185</f>
        <v>3.2900533047278162</v>
      </c>
      <c r="H187" s="92">
        <f t="shared" ca="1" si="161"/>
        <v>3.2900533047278162</v>
      </c>
      <c r="I187" s="92">
        <f t="shared" ca="1" si="161"/>
        <v>3.2900533047278162</v>
      </c>
      <c r="J187" s="92">
        <f t="shared" ca="1" si="161"/>
        <v>3.7497744144052296</v>
      </c>
      <c r="S187" s="57"/>
      <c r="T187" s="57"/>
      <c r="X187" s="116"/>
      <c r="Y187" s="116"/>
      <c r="Z187" s="116"/>
      <c r="AA187" s="116"/>
      <c r="AB187" s="3"/>
    </row>
    <row r="188" spans="1:28" ht="20" x14ac:dyDescent="0.4">
      <c r="A188" s="57"/>
      <c r="B188" s="36"/>
      <c r="C188" s="36"/>
      <c r="D188" s="36"/>
      <c r="E188" s="37"/>
      <c r="F188" s="37"/>
      <c r="G188" s="37"/>
      <c r="H188" s="37"/>
      <c r="I188" s="37"/>
      <c r="J188" s="37"/>
      <c r="S188" s="57"/>
      <c r="T188" s="57"/>
      <c r="X188" s="116"/>
      <c r="Y188" s="116"/>
      <c r="Z188" s="116"/>
      <c r="AA188" s="116"/>
      <c r="AB188" s="3"/>
    </row>
    <row r="189" spans="1:28" ht="20" x14ac:dyDescent="0.4">
      <c r="A189" s="57"/>
      <c r="B189" s="3" t="s">
        <v>97</v>
      </c>
      <c r="D189" s="85"/>
      <c r="E189" s="69"/>
      <c r="F189" s="92">
        <f ca="1">F187+F166+F155</f>
        <v>-44.645522803585145</v>
      </c>
      <c r="G189" s="92">
        <f t="shared" ref="G189:J189" ca="1" si="162">G187+G166+G155</f>
        <v>-40.781867456072632</v>
      </c>
      <c r="H189" s="92">
        <f t="shared" ca="1" si="162"/>
        <v>-30.778755470820897</v>
      </c>
      <c r="I189" s="92">
        <f t="shared" ca="1" si="162"/>
        <v>-16.132357777837111</v>
      </c>
      <c r="J189" s="92">
        <f t="shared" ca="1" si="162"/>
        <v>-1.7880223721254254</v>
      </c>
      <c r="S189" s="57"/>
      <c r="T189" s="57"/>
      <c r="X189" s="116"/>
      <c r="Y189" s="116"/>
      <c r="Z189" s="116"/>
      <c r="AA189" s="116"/>
      <c r="AB189" s="3"/>
    </row>
    <row r="190" spans="1:28" ht="20" x14ac:dyDescent="0.4">
      <c r="A190" s="57"/>
      <c r="B190" s="36"/>
      <c r="C190" s="36"/>
      <c r="D190" s="36"/>
      <c r="E190" s="37"/>
      <c r="F190" s="37"/>
      <c r="G190" s="37"/>
      <c r="H190" s="37"/>
      <c r="I190" s="37"/>
      <c r="J190" s="37"/>
      <c r="S190" s="57"/>
      <c r="T190" s="57"/>
      <c r="X190" s="116"/>
      <c r="Y190" s="116"/>
      <c r="Z190" s="116"/>
      <c r="AA190" s="116"/>
      <c r="AB190" s="3"/>
    </row>
    <row r="191" spans="1:28" ht="24" x14ac:dyDescent="0.8">
      <c r="A191" s="57"/>
      <c r="B191" s="51"/>
      <c r="C191" s="51"/>
      <c r="D191" s="8" t="str">
        <f>D$11</f>
        <v>Historical</v>
      </c>
      <c r="E191" s="8"/>
      <c r="F191" s="8" t="str">
        <f>F$11</f>
        <v>Forecast</v>
      </c>
      <c r="G191" s="8"/>
      <c r="H191" s="8"/>
      <c r="I191" s="8"/>
      <c r="J191" s="8"/>
      <c r="S191" s="57"/>
      <c r="T191" s="57"/>
      <c r="X191" s="116"/>
      <c r="Y191" s="116"/>
      <c r="Z191" s="116"/>
      <c r="AA191" s="116"/>
      <c r="AB191" s="3"/>
    </row>
    <row r="192" spans="1:28" ht="20.5" thickBot="1" x14ac:dyDescent="0.45">
      <c r="A192" s="57" t="s">
        <v>66</v>
      </c>
      <c r="B192" s="4" t="s">
        <v>65</v>
      </c>
      <c r="C192" s="4"/>
      <c r="D192" s="71">
        <f t="shared" ref="D192:J194" si="163">D$12</f>
        <v>2019</v>
      </c>
      <c r="E192" s="71">
        <f t="shared" si="163"/>
        <v>2020</v>
      </c>
      <c r="F192" s="71">
        <f t="shared" si="163"/>
        <v>2021</v>
      </c>
      <c r="G192" s="71">
        <f t="shared" si="163"/>
        <v>2022</v>
      </c>
      <c r="H192" s="71">
        <f t="shared" si="163"/>
        <v>2023</v>
      </c>
      <c r="I192" s="71">
        <f t="shared" si="163"/>
        <v>2024</v>
      </c>
      <c r="J192" s="71">
        <f t="shared" si="163"/>
        <v>2025</v>
      </c>
      <c r="S192" s="57"/>
      <c r="T192" s="57"/>
      <c r="X192" s="116"/>
      <c r="Y192" s="116"/>
      <c r="Z192" s="116"/>
      <c r="AA192" s="116"/>
      <c r="AB192" s="3"/>
    </row>
    <row r="193" spans="1:28" ht="20" x14ac:dyDescent="0.4">
      <c r="A193" s="57"/>
      <c r="S193" s="57"/>
      <c r="T193" s="57"/>
      <c r="X193" s="116"/>
      <c r="Y193" s="116"/>
      <c r="Z193" s="116"/>
      <c r="AA193" s="116"/>
      <c r="AB193" s="3"/>
    </row>
    <row r="194" spans="1:28" ht="20.5" thickBot="1" x14ac:dyDescent="0.45">
      <c r="A194" s="57"/>
      <c r="B194" s="4" t="s">
        <v>27</v>
      </c>
      <c r="C194" s="4"/>
      <c r="D194" s="71">
        <f t="shared" si="163"/>
        <v>2019</v>
      </c>
      <c r="E194" s="71">
        <f t="shared" si="163"/>
        <v>2020</v>
      </c>
      <c r="F194" s="71">
        <f t="shared" si="163"/>
        <v>2021</v>
      </c>
      <c r="G194" s="71">
        <f t="shared" si="163"/>
        <v>2022</v>
      </c>
      <c r="H194" s="71">
        <f t="shared" si="163"/>
        <v>2023</v>
      </c>
      <c r="I194" s="71">
        <f t="shared" si="163"/>
        <v>2024</v>
      </c>
      <c r="J194" s="71">
        <f t="shared" si="163"/>
        <v>2025</v>
      </c>
      <c r="S194" s="57"/>
      <c r="T194" s="57"/>
      <c r="X194" s="116"/>
      <c r="Y194" s="116"/>
      <c r="Z194" s="116"/>
      <c r="AA194" s="116"/>
      <c r="AB194" s="3"/>
    </row>
    <row r="195" spans="1:28" ht="20" x14ac:dyDescent="0.4">
      <c r="A195" s="57"/>
      <c r="B195" s="10"/>
      <c r="C195" s="10"/>
      <c r="D195" s="11"/>
      <c r="E195" s="11"/>
      <c r="F195" s="11"/>
      <c r="G195" s="11"/>
      <c r="H195" s="11"/>
      <c r="I195" s="11"/>
      <c r="J195" s="11"/>
      <c r="S195" s="57"/>
      <c r="T195" s="57"/>
      <c r="X195" s="116"/>
      <c r="Y195" s="116"/>
      <c r="Z195" s="116"/>
      <c r="AA195" s="116"/>
      <c r="AB195" s="3"/>
    </row>
    <row r="196" spans="1:28" ht="20" x14ac:dyDescent="0.4">
      <c r="A196" s="57"/>
      <c r="B196" s="13" t="s">
        <v>25</v>
      </c>
      <c r="C196" s="13"/>
      <c r="D196" s="14"/>
      <c r="E196" s="15"/>
      <c r="F196" s="15"/>
      <c r="G196" s="15"/>
      <c r="H196" s="15"/>
      <c r="I196" s="15"/>
      <c r="J196" s="15"/>
      <c r="S196" s="57"/>
      <c r="T196" s="57"/>
      <c r="X196" s="116"/>
      <c r="Y196" s="116"/>
      <c r="Z196" s="116"/>
      <c r="AA196" s="116"/>
      <c r="AB196" s="3"/>
    </row>
    <row r="197" spans="1:28" ht="20" x14ac:dyDescent="0.4">
      <c r="A197" s="57"/>
      <c r="D197" s="16"/>
      <c r="E197" s="16"/>
      <c r="F197" s="16"/>
      <c r="G197" s="16"/>
      <c r="H197" s="16"/>
      <c r="I197" s="16"/>
      <c r="J197" s="16"/>
      <c r="S197" s="57"/>
      <c r="T197" s="57"/>
      <c r="X197" s="116"/>
      <c r="Y197" s="116"/>
      <c r="Z197" s="116"/>
      <c r="AA197" s="116"/>
      <c r="AB197" s="3"/>
    </row>
    <row r="198" spans="1:28" ht="20" x14ac:dyDescent="0.4">
      <c r="A198" s="57"/>
      <c r="B198" s="3" t="s">
        <v>73</v>
      </c>
      <c r="D198" s="16"/>
      <c r="E198" s="108">
        <f>E16/E$52</f>
        <v>0.11141194332628006</v>
      </c>
      <c r="F198" s="108">
        <f ca="1">OFFSET(F198,$D$5,0)</f>
        <v>0.11141194332628006</v>
      </c>
      <c r="G198" s="108">
        <f t="shared" ref="G198:J198" ca="1" si="164">OFFSET(G198,$D$5,0)</f>
        <v>0.11141194332628006</v>
      </c>
      <c r="H198" s="108">
        <f t="shared" ca="1" si="164"/>
        <v>0.11141194332628006</v>
      </c>
      <c r="I198" s="108">
        <f t="shared" ca="1" si="164"/>
        <v>0.11141194332628006</v>
      </c>
      <c r="J198" s="108">
        <f t="shared" ca="1" si="164"/>
        <v>0.11141194332628006</v>
      </c>
      <c r="S198" s="57"/>
      <c r="T198" s="57"/>
      <c r="X198" s="116"/>
      <c r="Y198" s="116"/>
      <c r="Z198" s="116"/>
      <c r="AA198" s="116"/>
      <c r="AB198" s="3"/>
    </row>
    <row r="199" spans="1:28" ht="20" x14ac:dyDescent="0.4">
      <c r="A199" s="57"/>
      <c r="B199" s="78" t="str">
        <f>$D$7</f>
        <v>Base</v>
      </c>
      <c r="D199" s="16"/>
      <c r="E199" s="105">
        <f>E198</f>
        <v>0.11141194332628006</v>
      </c>
      <c r="F199" s="105">
        <f>E199</f>
        <v>0.11141194332628006</v>
      </c>
      <c r="G199" s="105">
        <f t="shared" ref="G199:J199" si="165">F199</f>
        <v>0.11141194332628006</v>
      </c>
      <c r="H199" s="105">
        <f t="shared" si="165"/>
        <v>0.11141194332628006</v>
      </c>
      <c r="I199" s="105">
        <f t="shared" si="165"/>
        <v>0.11141194332628006</v>
      </c>
      <c r="J199" s="105">
        <f t="shared" si="165"/>
        <v>0.11141194332628006</v>
      </c>
      <c r="M199" s="117" t="s">
        <v>117</v>
      </c>
      <c r="S199" s="57"/>
      <c r="T199" s="57"/>
      <c r="X199" s="116"/>
      <c r="Y199" s="116"/>
      <c r="Z199" s="116"/>
      <c r="AA199" s="116"/>
      <c r="AB199" s="3"/>
    </row>
    <row r="200" spans="1:28" ht="20" x14ac:dyDescent="0.4">
      <c r="A200" s="57"/>
      <c r="B200" s="78" t="str">
        <f>$D$8</f>
        <v>Upside</v>
      </c>
      <c r="D200" s="16"/>
      <c r="E200" s="65"/>
      <c r="F200" s="120">
        <f>F199*$M$200</f>
        <v>7.7988360328396053E-2</v>
      </c>
      <c r="G200" s="120">
        <f t="shared" ref="G200:J200" si="166">G199*$M$200</f>
        <v>7.7988360328396053E-2</v>
      </c>
      <c r="H200" s="120">
        <f t="shared" si="166"/>
        <v>7.7988360328396053E-2</v>
      </c>
      <c r="I200" s="120">
        <f t="shared" si="166"/>
        <v>7.7988360328396053E-2</v>
      </c>
      <c r="J200" s="120">
        <f t="shared" si="166"/>
        <v>7.7988360328396053E-2</v>
      </c>
      <c r="M200" s="242">
        <v>0.70000000000000007</v>
      </c>
      <c r="S200" s="57"/>
      <c r="T200" s="57"/>
      <c r="X200" s="116"/>
      <c r="Y200" s="116"/>
      <c r="Z200" s="116"/>
      <c r="AA200" s="116"/>
      <c r="AB200" s="3"/>
    </row>
    <row r="201" spans="1:28" ht="20" x14ac:dyDescent="0.4">
      <c r="A201" s="57"/>
      <c r="B201" s="78"/>
      <c r="D201" s="16"/>
      <c r="E201" s="65"/>
      <c r="F201" s="65"/>
      <c r="G201" s="65"/>
      <c r="H201" s="65"/>
      <c r="I201" s="65"/>
      <c r="J201" s="65"/>
      <c r="K201" s="65"/>
      <c r="M201" s="119"/>
      <c r="S201" s="57"/>
      <c r="T201" s="57"/>
      <c r="X201" s="116"/>
      <c r="Y201" s="116"/>
      <c r="Z201" s="116"/>
      <c r="AA201" s="116"/>
      <c r="AB201" s="3"/>
    </row>
    <row r="202" spans="1:28" ht="20" x14ac:dyDescent="0.4">
      <c r="A202" s="57"/>
      <c r="D202" s="16"/>
      <c r="E202" s="67"/>
      <c r="F202" s="68"/>
      <c r="G202" s="68"/>
      <c r="H202" s="68"/>
      <c r="I202" s="68"/>
      <c r="J202" s="68"/>
      <c r="S202" s="57"/>
      <c r="T202" s="57"/>
      <c r="X202" s="116"/>
      <c r="Y202" s="116"/>
      <c r="Z202" s="116"/>
      <c r="AA202" s="116"/>
      <c r="AB202" s="3"/>
    </row>
    <row r="203" spans="1:28" ht="20" x14ac:dyDescent="0.4">
      <c r="A203" s="57"/>
      <c r="B203" s="3" t="s">
        <v>74</v>
      </c>
      <c r="D203" s="16"/>
      <c r="E203" s="108">
        <f>E17/E$52</f>
        <v>2.719338941178363E-2</v>
      </c>
      <c r="F203" s="108">
        <f ca="1">OFFSET(F203,$D$5,0)</f>
        <v>2.719338941178363E-2</v>
      </c>
      <c r="G203" s="108">
        <f t="shared" ref="G203:J203" ca="1" si="167">OFFSET(G203,$D$5,0)</f>
        <v>2.719338941178363E-2</v>
      </c>
      <c r="H203" s="108">
        <f t="shared" ca="1" si="167"/>
        <v>2.719338941178363E-2</v>
      </c>
      <c r="I203" s="108">
        <f t="shared" ca="1" si="167"/>
        <v>2.719338941178363E-2</v>
      </c>
      <c r="J203" s="108">
        <f t="shared" ca="1" si="167"/>
        <v>2.719338941178363E-2</v>
      </c>
      <c r="S203" s="57"/>
      <c r="T203" s="57"/>
      <c r="X203" s="116"/>
      <c r="Y203" s="116"/>
      <c r="Z203" s="116"/>
      <c r="AA203" s="116"/>
      <c r="AB203" s="3"/>
    </row>
    <row r="204" spans="1:28" ht="20" x14ac:dyDescent="0.4">
      <c r="A204" s="57"/>
      <c r="B204" s="78" t="str">
        <f>$D$7</f>
        <v>Base</v>
      </c>
      <c r="D204" s="16"/>
      <c r="E204" s="105">
        <f>E203</f>
        <v>2.719338941178363E-2</v>
      </c>
      <c r="F204" s="105">
        <f>E204</f>
        <v>2.719338941178363E-2</v>
      </c>
      <c r="G204" s="105">
        <f t="shared" ref="G204:J204" si="168">F204</f>
        <v>2.719338941178363E-2</v>
      </c>
      <c r="H204" s="105">
        <f t="shared" si="168"/>
        <v>2.719338941178363E-2</v>
      </c>
      <c r="I204" s="105">
        <f t="shared" si="168"/>
        <v>2.719338941178363E-2</v>
      </c>
      <c r="J204" s="105">
        <f t="shared" si="168"/>
        <v>2.719338941178363E-2</v>
      </c>
      <c r="M204" s="117" t="s">
        <v>117</v>
      </c>
      <c r="S204" s="57"/>
      <c r="T204" s="57"/>
      <c r="X204" s="116"/>
      <c r="Y204" s="116"/>
      <c r="Z204" s="116"/>
      <c r="AA204" s="116"/>
      <c r="AB204" s="3"/>
    </row>
    <row r="205" spans="1:28" ht="20" x14ac:dyDescent="0.4">
      <c r="A205" s="57"/>
      <c r="B205" s="78" t="str">
        <f>$D$8</f>
        <v>Upside</v>
      </c>
      <c r="D205" s="16"/>
      <c r="E205" s="65"/>
      <c r="F205" s="120">
        <f>F204*$M$205</f>
        <v>1.9035372588248542E-2</v>
      </c>
      <c r="G205" s="120">
        <f t="shared" ref="G205:J205" si="169">G204*$M$205</f>
        <v>1.9035372588248542E-2</v>
      </c>
      <c r="H205" s="120">
        <f t="shared" si="169"/>
        <v>1.9035372588248542E-2</v>
      </c>
      <c r="I205" s="120">
        <f t="shared" si="169"/>
        <v>1.9035372588248542E-2</v>
      </c>
      <c r="J205" s="120">
        <f t="shared" si="169"/>
        <v>1.9035372588248542E-2</v>
      </c>
      <c r="M205" s="242">
        <v>0.70000000000000007</v>
      </c>
      <c r="S205" s="57"/>
      <c r="T205" s="57"/>
      <c r="X205" s="116"/>
      <c r="Y205" s="116"/>
      <c r="Z205" s="116"/>
      <c r="AA205" s="116"/>
      <c r="AB205" s="3"/>
    </row>
    <row r="206" spans="1:28" ht="20" x14ac:dyDescent="0.4">
      <c r="A206" s="57"/>
      <c r="B206" s="78"/>
      <c r="D206" s="16"/>
      <c r="E206" s="65"/>
      <c r="F206" s="65"/>
      <c r="G206" s="65"/>
      <c r="H206" s="65"/>
      <c r="I206" s="65"/>
      <c r="J206" s="65"/>
      <c r="K206" s="65"/>
      <c r="M206" s="119"/>
      <c r="S206" s="57"/>
      <c r="T206" s="57"/>
      <c r="X206" s="116"/>
      <c r="Y206" s="116"/>
      <c r="Z206" s="116"/>
      <c r="AA206" s="116"/>
      <c r="AB206" s="3"/>
    </row>
    <row r="207" spans="1:28" ht="20" x14ac:dyDescent="0.4">
      <c r="A207" s="57"/>
      <c r="D207" s="16"/>
      <c r="E207" s="67"/>
      <c r="F207" s="68"/>
      <c r="G207" s="68"/>
      <c r="H207" s="68"/>
      <c r="I207" s="68"/>
      <c r="J207" s="68"/>
      <c r="S207" s="57"/>
      <c r="T207" s="57"/>
      <c r="X207" s="116"/>
      <c r="Y207" s="116"/>
      <c r="Z207" s="116"/>
      <c r="AA207" s="116"/>
      <c r="AB207" s="3"/>
    </row>
    <row r="208" spans="1:28" ht="20" x14ac:dyDescent="0.4">
      <c r="A208" s="57"/>
      <c r="B208" s="3" t="s">
        <v>75</v>
      </c>
      <c r="D208" s="16"/>
      <c r="E208" s="108">
        <f>E18/E$52</f>
        <v>1.4832785580344695E-2</v>
      </c>
      <c r="F208" s="108">
        <f ca="1">OFFSET(F208,$D$5,0)</f>
        <v>1.4832785580344695E-2</v>
      </c>
      <c r="G208" s="108">
        <f t="shared" ref="G208:J208" ca="1" si="170">OFFSET(G208,$D$5,0)</f>
        <v>1.4832785580344695E-2</v>
      </c>
      <c r="H208" s="108">
        <f t="shared" ca="1" si="170"/>
        <v>1.4832785580344695E-2</v>
      </c>
      <c r="I208" s="108">
        <f t="shared" ca="1" si="170"/>
        <v>1.4832785580344695E-2</v>
      </c>
      <c r="J208" s="108">
        <f t="shared" ca="1" si="170"/>
        <v>1.4832785580344695E-2</v>
      </c>
      <c r="S208" s="57"/>
      <c r="T208" s="57"/>
      <c r="X208" s="116"/>
      <c r="Y208" s="116"/>
      <c r="Z208" s="116"/>
      <c r="AA208" s="116"/>
      <c r="AB208" s="3"/>
    </row>
    <row r="209" spans="1:28" ht="20" x14ac:dyDescent="0.4">
      <c r="A209" s="57"/>
      <c r="B209" s="78" t="str">
        <f>$D$7</f>
        <v>Base</v>
      </c>
      <c r="D209" s="16"/>
      <c r="E209" s="105">
        <f>E208</f>
        <v>1.4832785580344695E-2</v>
      </c>
      <c r="F209" s="105">
        <f>E209</f>
        <v>1.4832785580344695E-2</v>
      </c>
      <c r="G209" s="105">
        <f t="shared" ref="G209:J209" si="171">F209</f>
        <v>1.4832785580344695E-2</v>
      </c>
      <c r="H209" s="105">
        <f t="shared" si="171"/>
        <v>1.4832785580344695E-2</v>
      </c>
      <c r="I209" s="105">
        <f t="shared" si="171"/>
        <v>1.4832785580344695E-2</v>
      </c>
      <c r="J209" s="105">
        <f t="shared" si="171"/>
        <v>1.4832785580344695E-2</v>
      </c>
      <c r="M209" s="117" t="s">
        <v>117</v>
      </c>
      <c r="S209" s="57"/>
      <c r="T209" s="57"/>
      <c r="X209" s="116"/>
      <c r="Y209" s="116"/>
      <c r="Z209" s="116"/>
      <c r="AA209" s="116"/>
      <c r="AB209" s="3"/>
    </row>
    <row r="210" spans="1:28" ht="20" x14ac:dyDescent="0.4">
      <c r="A210" s="57"/>
      <c r="B210" s="78" t="str">
        <f>$D$8</f>
        <v>Upside</v>
      </c>
      <c r="D210" s="16"/>
      <c r="E210" s="65"/>
      <c r="F210" s="120">
        <f>F209*$M$210</f>
        <v>1.0382949906241288E-2</v>
      </c>
      <c r="G210" s="120">
        <f t="shared" ref="G210:J210" si="172">G209*$M$210</f>
        <v>1.0382949906241288E-2</v>
      </c>
      <c r="H210" s="120">
        <f t="shared" si="172"/>
        <v>1.0382949906241288E-2</v>
      </c>
      <c r="I210" s="120">
        <f t="shared" si="172"/>
        <v>1.0382949906241288E-2</v>
      </c>
      <c r="J210" s="120">
        <f t="shared" si="172"/>
        <v>1.0382949906241288E-2</v>
      </c>
      <c r="M210" s="242">
        <v>0.70000000000000007</v>
      </c>
      <c r="S210" s="57"/>
      <c r="T210" s="57"/>
      <c r="X210" s="116"/>
      <c r="Y210" s="116"/>
      <c r="Z210" s="116"/>
      <c r="AA210" s="116"/>
      <c r="AB210" s="3"/>
    </row>
    <row r="211" spans="1:28" ht="20" x14ac:dyDescent="0.4">
      <c r="A211" s="57"/>
      <c r="B211" s="78"/>
      <c r="D211" s="16"/>
      <c r="E211" s="65"/>
      <c r="F211" s="65"/>
      <c r="G211" s="65"/>
      <c r="H211" s="65"/>
      <c r="I211" s="65"/>
      <c r="J211" s="65"/>
      <c r="K211" s="65"/>
      <c r="M211" s="119"/>
      <c r="S211" s="57"/>
      <c r="T211" s="57"/>
      <c r="X211" s="116"/>
      <c r="Y211" s="116"/>
      <c r="Z211" s="116"/>
      <c r="AA211" s="116"/>
      <c r="AB211" s="3"/>
    </row>
    <row r="212" spans="1:28" ht="20" x14ac:dyDescent="0.4">
      <c r="A212" s="57"/>
      <c r="D212" s="16"/>
      <c r="E212" s="23"/>
      <c r="F212" s="53"/>
      <c r="G212" s="53"/>
      <c r="H212" s="53"/>
      <c r="I212" s="53"/>
      <c r="J212" s="53"/>
      <c r="S212" s="57"/>
      <c r="T212" s="57"/>
      <c r="X212" s="116"/>
      <c r="Y212" s="116"/>
      <c r="Z212" s="116"/>
      <c r="AA212" s="116"/>
      <c r="AB212" s="3"/>
    </row>
    <row r="213" spans="1:28" ht="20" x14ac:dyDescent="0.4">
      <c r="A213" s="57"/>
      <c r="B213" s="3" t="s">
        <v>76</v>
      </c>
      <c r="D213" s="16"/>
      <c r="E213" s="108">
        <f>E21/E$52</f>
        <v>0.2085899985934869</v>
      </c>
      <c r="F213" s="108">
        <f ca="1">OFFSET(F213,$D$5,0)</f>
        <v>0.2085899985934869</v>
      </c>
      <c r="G213" s="108">
        <f t="shared" ref="G213:J213" ca="1" si="173">OFFSET(G213,$D$5,0)</f>
        <v>0.2085899985934869</v>
      </c>
      <c r="H213" s="108">
        <f t="shared" ca="1" si="173"/>
        <v>0.2085899985934869</v>
      </c>
      <c r="I213" s="108">
        <f t="shared" ca="1" si="173"/>
        <v>0.2085899985934869</v>
      </c>
      <c r="J213" s="108">
        <f t="shared" ca="1" si="173"/>
        <v>0.2085899985934869</v>
      </c>
      <c r="S213" s="57"/>
      <c r="T213" s="57"/>
      <c r="X213" s="116"/>
      <c r="Y213" s="116"/>
      <c r="Z213" s="116"/>
      <c r="AA213" s="116"/>
      <c r="AB213" s="3"/>
    </row>
    <row r="214" spans="1:28" ht="20" x14ac:dyDescent="0.4">
      <c r="A214" s="57"/>
      <c r="B214" s="78" t="str">
        <f>$D$7</f>
        <v>Base</v>
      </c>
      <c r="D214" s="16"/>
      <c r="E214" s="105">
        <f>E213</f>
        <v>0.2085899985934869</v>
      </c>
      <c r="F214" s="105">
        <f>E214</f>
        <v>0.2085899985934869</v>
      </c>
      <c r="G214" s="105">
        <f t="shared" ref="G214:J214" si="174">F214</f>
        <v>0.2085899985934869</v>
      </c>
      <c r="H214" s="105">
        <f t="shared" si="174"/>
        <v>0.2085899985934869</v>
      </c>
      <c r="I214" s="105">
        <f t="shared" si="174"/>
        <v>0.2085899985934869</v>
      </c>
      <c r="J214" s="105">
        <f t="shared" si="174"/>
        <v>0.2085899985934869</v>
      </c>
      <c r="M214" s="117" t="s">
        <v>117</v>
      </c>
      <c r="S214" s="57"/>
      <c r="T214" s="57"/>
      <c r="X214" s="116"/>
      <c r="Y214" s="116"/>
      <c r="Z214" s="116"/>
      <c r="AA214" s="116"/>
      <c r="AB214" s="3"/>
    </row>
    <row r="215" spans="1:28" ht="20" x14ac:dyDescent="0.4">
      <c r="A215" s="57"/>
      <c r="B215" s="78" t="str">
        <f>$D$8</f>
        <v>Upside</v>
      </c>
      <c r="D215" s="16"/>
      <c r="E215" s="65"/>
      <c r="F215" s="120">
        <f>F214*$M$215</f>
        <v>0.16687199887478954</v>
      </c>
      <c r="G215" s="120">
        <f t="shared" ref="G215:J215" si="175">G214*$M$215</f>
        <v>0.16687199887478954</v>
      </c>
      <c r="H215" s="120">
        <f t="shared" si="175"/>
        <v>0.16687199887478954</v>
      </c>
      <c r="I215" s="120">
        <f t="shared" si="175"/>
        <v>0.16687199887478954</v>
      </c>
      <c r="J215" s="120">
        <f t="shared" si="175"/>
        <v>0.16687199887478954</v>
      </c>
      <c r="M215" s="119">
        <v>0.8</v>
      </c>
      <c r="S215" s="57"/>
      <c r="T215" s="57"/>
      <c r="X215" s="116"/>
      <c r="Y215" s="116"/>
      <c r="Z215" s="116"/>
      <c r="AA215" s="116"/>
      <c r="AB215" s="3"/>
    </row>
    <row r="216" spans="1:28" ht="20" x14ac:dyDescent="0.4">
      <c r="A216" s="57"/>
      <c r="B216" s="78"/>
      <c r="D216" s="16"/>
      <c r="E216" s="65"/>
      <c r="F216" s="65"/>
      <c r="G216" s="65"/>
      <c r="H216" s="65"/>
      <c r="I216" s="65"/>
      <c r="J216" s="65"/>
      <c r="K216" s="65"/>
      <c r="M216" s="119"/>
      <c r="S216" s="57"/>
      <c r="T216" s="57"/>
      <c r="X216" s="116"/>
      <c r="Y216" s="116"/>
      <c r="Z216" s="116"/>
      <c r="AA216" s="116"/>
      <c r="AB216" s="3"/>
    </row>
    <row r="217" spans="1:28" ht="20" x14ac:dyDescent="0.4">
      <c r="A217" s="57"/>
      <c r="D217" s="16"/>
      <c r="E217" s="67"/>
      <c r="F217" s="68"/>
      <c r="G217" s="68"/>
      <c r="H217" s="68"/>
      <c r="I217" s="68"/>
      <c r="J217" s="68"/>
      <c r="S217" s="57"/>
      <c r="T217" s="57"/>
      <c r="X217" s="116"/>
      <c r="Y217" s="116"/>
      <c r="Z217" s="116"/>
      <c r="AA217" s="116"/>
      <c r="AB217" s="3"/>
    </row>
    <row r="218" spans="1:28" ht="20" x14ac:dyDescent="0.4">
      <c r="A218" s="57"/>
      <c r="B218" s="3" t="s">
        <v>77</v>
      </c>
      <c r="D218" s="16"/>
      <c r="E218" s="108">
        <f>E22/E$52</f>
        <v>8.7606688942884793E-3</v>
      </c>
      <c r="F218" s="108">
        <f ca="1">OFFSET(F218,$D$5,0)</f>
        <v>8.7606688942884793E-3</v>
      </c>
      <c r="G218" s="108">
        <f t="shared" ref="G218:J218" ca="1" si="176">OFFSET(G218,$D$5,0)</f>
        <v>8.7606688942884793E-3</v>
      </c>
      <c r="H218" s="108">
        <f t="shared" ca="1" si="176"/>
        <v>8.7606688942884793E-3</v>
      </c>
      <c r="I218" s="108">
        <f t="shared" ca="1" si="176"/>
        <v>8.7606688942884793E-3</v>
      </c>
      <c r="J218" s="108">
        <f t="shared" ca="1" si="176"/>
        <v>8.7606688942884793E-3</v>
      </c>
      <c r="S218" s="57"/>
      <c r="T218" s="57"/>
      <c r="X218" s="116"/>
      <c r="Y218" s="116"/>
      <c r="Z218" s="116"/>
      <c r="AA218" s="116"/>
      <c r="AB218" s="3"/>
    </row>
    <row r="219" spans="1:28" ht="20" x14ac:dyDescent="0.4">
      <c r="A219" s="57"/>
      <c r="B219" s="78" t="str">
        <f>$D$7</f>
        <v>Base</v>
      </c>
      <c r="D219" s="16"/>
      <c r="E219" s="105">
        <f>E218</f>
        <v>8.7606688942884793E-3</v>
      </c>
      <c r="F219" s="105">
        <f>E219</f>
        <v>8.7606688942884793E-3</v>
      </c>
      <c r="G219" s="105">
        <f t="shared" ref="G219:J219" si="177">F219</f>
        <v>8.7606688942884793E-3</v>
      </c>
      <c r="H219" s="105">
        <f t="shared" si="177"/>
        <v>8.7606688942884793E-3</v>
      </c>
      <c r="I219" s="105">
        <f t="shared" si="177"/>
        <v>8.7606688942884793E-3</v>
      </c>
      <c r="J219" s="105">
        <f t="shared" si="177"/>
        <v>8.7606688942884793E-3</v>
      </c>
      <c r="M219" s="117" t="s">
        <v>117</v>
      </c>
      <c r="S219" s="57"/>
      <c r="T219" s="57"/>
      <c r="X219" s="116"/>
      <c r="Y219" s="116"/>
      <c r="Z219" s="116"/>
      <c r="AA219" s="116"/>
      <c r="AB219" s="3"/>
    </row>
    <row r="220" spans="1:28" ht="20" x14ac:dyDescent="0.4">
      <c r="A220" s="57"/>
      <c r="B220" s="78" t="str">
        <f>$D$8</f>
        <v>Upside</v>
      </c>
      <c r="D220" s="16"/>
      <c r="E220" s="65"/>
      <c r="F220" s="120">
        <f>F219*$M$220</f>
        <v>8.7606688942884793E-3</v>
      </c>
      <c r="G220" s="120">
        <f t="shared" ref="G220:J220" si="178">G219*$M$220</f>
        <v>8.7606688942884793E-3</v>
      </c>
      <c r="H220" s="120">
        <f t="shared" si="178"/>
        <v>8.7606688942884793E-3</v>
      </c>
      <c r="I220" s="120">
        <f t="shared" si="178"/>
        <v>8.7606688942884793E-3</v>
      </c>
      <c r="J220" s="120">
        <f t="shared" si="178"/>
        <v>8.7606688942884793E-3</v>
      </c>
      <c r="M220" s="119">
        <v>1</v>
      </c>
      <c r="S220" s="57"/>
      <c r="T220" s="57"/>
      <c r="X220" s="116"/>
      <c r="Y220" s="116"/>
      <c r="Z220" s="116"/>
      <c r="AA220" s="116"/>
      <c r="AB220" s="3"/>
    </row>
    <row r="221" spans="1:28" ht="20" x14ac:dyDescent="0.4">
      <c r="A221" s="57"/>
      <c r="B221" s="78"/>
      <c r="D221" s="16"/>
      <c r="E221" s="65"/>
      <c r="F221" s="65"/>
      <c r="G221" s="65"/>
      <c r="H221" s="65"/>
      <c r="I221" s="65"/>
      <c r="J221" s="65"/>
      <c r="K221" s="65"/>
      <c r="M221" s="119"/>
      <c r="S221" s="57"/>
      <c r="T221" s="57"/>
      <c r="X221" s="116"/>
      <c r="Y221" s="116"/>
      <c r="Z221" s="116"/>
      <c r="AA221" s="116"/>
      <c r="AB221" s="3"/>
    </row>
    <row r="222" spans="1:28" ht="20" x14ac:dyDescent="0.4">
      <c r="A222" s="57"/>
      <c r="D222" s="16"/>
      <c r="E222" s="67"/>
      <c r="F222" s="68"/>
      <c r="G222" s="68"/>
      <c r="H222" s="68"/>
      <c r="I222" s="68"/>
      <c r="J222" s="68"/>
      <c r="S222" s="57"/>
      <c r="T222" s="57"/>
      <c r="X222" s="116"/>
      <c r="Y222" s="116"/>
      <c r="Z222" s="116"/>
      <c r="AA222" s="116"/>
      <c r="AB222" s="3"/>
    </row>
    <row r="223" spans="1:28" ht="20" x14ac:dyDescent="0.4">
      <c r="A223" s="57"/>
      <c r="B223" s="3" t="s">
        <v>78</v>
      </c>
      <c r="D223" s="16"/>
      <c r="E223" s="108">
        <f>E23/E$52</f>
        <v>8.6501146138454721E-2</v>
      </c>
      <c r="F223" s="108">
        <f>E223</f>
        <v>8.6501146138454721E-2</v>
      </c>
      <c r="G223" s="108">
        <f t="shared" ref="G223:J223" si="179">F223</f>
        <v>8.6501146138454721E-2</v>
      </c>
      <c r="H223" s="108">
        <f t="shared" si="179"/>
        <v>8.6501146138454721E-2</v>
      </c>
      <c r="I223" s="108">
        <f t="shared" si="179"/>
        <v>8.6501146138454721E-2</v>
      </c>
      <c r="J223" s="108">
        <f t="shared" si="179"/>
        <v>8.6501146138454721E-2</v>
      </c>
      <c r="S223" s="57"/>
      <c r="T223" s="57"/>
      <c r="X223" s="116"/>
      <c r="Y223" s="116"/>
      <c r="Z223" s="116"/>
      <c r="AA223" s="116"/>
      <c r="AB223" s="3"/>
    </row>
    <row r="224" spans="1:28" ht="20" x14ac:dyDescent="0.4">
      <c r="A224" s="57"/>
      <c r="D224" s="16"/>
      <c r="E224" s="66"/>
      <c r="F224" s="68"/>
      <c r="G224" s="68"/>
      <c r="H224" s="68"/>
      <c r="I224" s="68"/>
      <c r="J224" s="68"/>
      <c r="S224" s="57"/>
      <c r="T224" s="57"/>
      <c r="X224" s="116"/>
      <c r="Y224" s="116"/>
      <c r="Z224" s="116"/>
      <c r="AA224" s="116"/>
      <c r="AB224" s="3"/>
    </row>
    <row r="225" spans="1:28" ht="20" x14ac:dyDescent="0.4">
      <c r="A225" s="57"/>
      <c r="B225" s="3" t="s">
        <v>79</v>
      </c>
      <c r="D225" s="16"/>
      <c r="E225" s="108">
        <f>E24/E$52</f>
        <v>5.5816395559169186E-3</v>
      </c>
      <c r="F225" s="104">
        <f ca="1">OFFSET(F225,$D$5,0)</f>
        <v>5.5816395559169186E-3</v>
      </c>
      <c r="G225" s="104">
        <f t="shared" ref="G225:J225" ca="1" si="180">OFFSET(G225,$D$5,0)</f>
        <v>5.5816395559169186E-3</v>
      </c>
      <c r="H225" s="104">
        <f t="shared" ca="1" si="180"/>
        <v>5.5816395559169186E-3</v>
      </c>
      <c r="I225" s="104">
        <f t="shared" ca="1" si="180"/>
        <v>5.5816395559169186E-3</v>
      </c>
      <c r="J225" s="104">
        <f t="shared" ca="1" si="180"/>
        <v>5.5816395559169186E-3</v>
      </c>
      <c r="S225" s="57"/>
      <c r="T225" s="57"/>
      <c r="X225" s="116"/>
      <c r="Y225" s="116"/>
      <c r="Z225" s="116"/>
      <c r="AA225" s="116"/>
      <c r="AB225" s="3"/>
    </row>
    <row r="226" spans="1:28" ht="20" x14ac:dyDescent="0.4">
      <c r="A226" s="57"/>
      <c r="B226" s="78" t="str">
        <f>$D$7</f>
        <v>Base</v>
      </c>
      <c r="D226" s="16"/>
      <c r="E226" s="105">
        <f>E225</f>
        <v>5.5816395559169186E-3</v>
      </c>
      <c r="F226" s="105">
        <f>E226</f>
        <v>5.5816395559169186E-3</v>
      </c>
      <c r="G226" s="105">
        <f t="shared" ref="G226:J226" si="181">F226</f>
        <v>5.5816395559169186E-3</v>
      </c>
      <c r="H226" s="105">
        <f t="shared" si="181"/>
        <v>5.5816395559169186E-3</v>
      </c>
      <c r="I226" s="105">
        <f t="shared" si="181"/>
        <v>5.5816395559169186E-3</v>
      </c>
      <c r="J226" s="105">
        <f t="shared" si="181"/>
        <v>5.5816395559169186E-3</v>
      </c>
      <c r="M226" s="117" t="s">
        <v>117</v>
      </c>
      <c r="S226" s="57"/>
      <c r="T226" s="57"/>
      <c r="X226" s="116"/>
      <c r="Y226" s="116"/>
      <c r="Z226" s="116"/>
      <c r="AA226" s="116"/>
      <c r="AB226" s="3"/>
    </row>
    <row r="227" spans="1:28" ht="20" x14ac:dyDescent="0.4">
      <c r="A227" s="57"/>
      <c r="B227" s="78" t="str">
        <f>$D$8</f>
        <v>Upside</v>
      </c>
      <c r="D227" s="16"/>
      <c r="E227" s="65"/>
      <c r="F227" s="120">
        <f>F226*$M$227</f>
        <v>4.4653116447335352E-3</v>
      </c>
      <c r="G227" s="120">
        <f>G226*$M$227</f>
        <v>4.4653116447335352E-3</v>
      </c>
      <c r="H227" s="120">
        <f t="shared" ref="H227:J227" si="182">H226*$M$227</f>
        <v>4.4653116447335352E-3</v>
      </c>
      <c r="I227" s="120">
        <f t="shared" si="182"/>
        <v>4.4653116447335352E-3</v>
      </c>
      <c r="J227" s="120">
        <f t="shared" si="182"/>
        <v>4.4653116447335352E-3</v>
      </c>
      <c r="M227" s="119">
        <v>0.8</v>
      </c>
      <c r="S227" s="57"/>
      <c r="T227" s="57"/>
      <c r="X227" s="116"/>
      <c r="Y227" s="116"/>
      <c r="Z227" s="116"/>
      <c r="AA227" s="116"/>
      <c r="AB227" s="3"/>
    </row>
    <row r="228" spans="1:28" ht="20" x14ac:dyDescent="0.4">
      <c r="A228" s="57"/>
      <c r="B228" s="78"/>
      <c r="D228" s="67"/>
      <c r="E228" s="65"/>
      <c r="F228" s="65"/>
      <c r="G228" s="65"/>
      <c r="H228" s="65"/>
      <c r="I228" s="65"/>
      <c r="J228" s="65"/>
      <c r="K228" s="65"/>
      <c r="M228" s="119"/>
      <c r="S228" s="57"/>
      <c r="T228" s="57"/>
      <c r="X228" s="116"/>
      <c r="Y228" s="116"/>
      <c r="Z228" s="116"/>
      <c r="AA228" s="116"/>
      <c r="AB228" s="3"/>
    </row>
    <row r="229" spans="1:28" ht="20" x14ac:dyDescent="0.4">
      <c r="A229" s="57"/>
      <c r="S229" s="57"/>
      <c r="T229" s="57"/>
      <c r="X229" s="116"/>
      <c r="Y229" s="116"/>
      <c r="Z229" s="116"/>
      <c r="AA229" s="116"/>
      <c r="AB229" s="3"/>
    </row>
    <row r="230" spans="1:28" ht="24" x14ac:dyDescent="0.8">
      <c r="A230" s="57"/>
      <c r="D230" s="8" t="str">
        <f>D$11</f>
        <v>Historical</v>
      </c>
      <c r="E230" s="8"/>
      <c r="F230" s="8" t="str">
        <f>F$11</f>
        <v>Forecast</v>
      </c>
      <c r="G230" s="8"/>
      <c r="H230" s="8"/>
      <c r="I230" s="8"/>
      <c r="J230" s="8"/>
      <c r="M230" s="9"/>
      <c r="S230" s="57"/>
      <c r="T230" s="57"/>
      <c r="X230" s="116"/>
      <c r="Y230" s="116"/>
      <c r="Z230" s="116"/>
      <c r="AA230" s="116"/>
      <c r="AB230" s="3"/>
    </row>
    <row r="231" spans="1:28" ht="22" thickBot="1" x14ac:dyDescent="0.6">
      <c r="A231" s="57"/>
      <c r="B231" s="13" t="s">
        <v>19</v>
      </c>
      <c r="C231" s="13"/>
      <c r="D231" s="71">
        <f t="shared" ref="D231:J231" si="183">D$12</f>
        <v>2019</v>
      </c>
      <c r="E231" s="71">
        <f t="shared" si="183"/>
        <v>2020</v>
      </c>
      <c r="F231" s="71">
        <f t="shared" si="183"/>
        <v>2021</v>
      </c>
      <c r="G231" s="71">
        <f t="shared" si="183"/>
        <v>2022</v>
      </c>
      <c r="H231" s="71">
        <f t="shared" si="183"/>
        <v>2023</v>
      </c>
      <c r="I231" s="71">
        <f t="shared" si="183"/>
        <v>2024</v>
      </c>
      <c r="J231" s="71">
        <f t="shared" si="183"/>
        <v>2025</v>
      </c>
      <c r="M231" s="9"/>
      <c r="S231" s="57"/>
      <c r="T231" s="57"/>
      <c r="X231" s="116"/>
      <c r="Y231" s="116"/>
      <c r="Z231" s="116"/>
      <c r="AA231" s="116"/>
      <c r="AB231" s="3"/>
    </row>
    <row r="232" spans="1:28" ht="20" x14ac:dyDescent="0.4">
      <c r="A232" s="57"/>
      <c r="B232" s="3" t="s">
        <v>80</v>
      </c>
      <c r="E232" s="108">
        <f>E31/E$52</f>
        <v>0.11065003659089465</v>
      </c>
      <c r="F232" s="104">
        <f ca="1">OFFSET(F232,$D$5,0)</f>
        <v>0.11065003659089465</v>
      </c>
      <c r="G232" s="104">
        <f t="shared" ref="G232:J232" ca="1" si="184">OFFSET(G232,$D$5,0)</f>
        <v>0.11065003659089465</v>
      </c>
      <c r="H232" s="104">
        <f t="shared" ca="1" si="184"/>
        <v>0.11065003659089465</v>
      </c>
      <c r="I232" s="104">
        <f t="shared" ca="1" si="184"/>
        <v>0.11065003659089465</v>
      </c>
      <c r="J232" s="104">
        <f t="shared" ca="1" si="184"/>
        <v>0.11065003659089465</v>
      </c>
      <c r="S232" s="57"/>
      <c r="T232" s="57"/>
      <c r="X232" s="116"/>
      <c r="Y232" s="116"/>
      <c r="Z232" s="116"/>
      <c r="AA232" s="116"/>
      <c r="AB232" s="3"/>
    </row>
    <row r="233" spans="1:28" ht="20" x14ac:dyDescent="0.4">
      <c r="A233" s="57"/>
      <c r="B233" s="78" t="str">
        <f>$D$7</f>
        <v>Base</v>
      </c>
      <c r="E233" s="105">
        <f>E232</f>
        <v>0.11065003659089465</v>
      </c>
      <c r="F233" s="105">
        <f>E233</f>
        <v>0.11065003659089465</v>
      </c>
      <c r="G233" s="105">
        <f t="shared" ref="G233:J233" si="185">F233</f>
        <v>0.11065003659089465</v>
      </c>
      <c r="H233" s="105">
        <f t="shared" si="185"/>
        <v>0.11065003659089465</v>
      </c>
      <c r="I233" s="105">
        <f t="shared" si="185"/>
        <v>0.11065003659089465</v>
      </c>
      <c r="J233" s="105">
        <f t="shared" si="185"/>
        <v>0.11065003659089465</v>
      </c>
      <c r="M233" s="117" t="s">
        <v>117</v>
      </c>
      <c r="S233" s="57"/>
      <c r="T233" s="57"/>
      <c r="X233" s="116"/>
      <c r="Y233" s="116"/>
      <c r="Z233" s="116"/>
      <c r="AA233" s="116"/>
      <c r="AB233" s="3"/>
    </row>
    <row r="234" spans="1:28" ht="20" x14ac:dyDescent="0.4">
      <c r="A234" s="57"/>
      <c r="B234" s="78" t="str">
        <f>$D$8</f>
        <v>Upside</v>
      </c>
      <c r="E234" s="65"/>
      <c r="F234" s="120">
        <f>F233*$M$234</f>
        <v>0.11065003659089465</v>
      </c>
      <c r="G234" s="120">
        <f>G233*$M$234</f>
        <v>0.11065003659089465</v>
      </c>
      <c r="H234" s="120">
        <f t="shared" ref="H234:J234" si="186">H233*$M$234</f>
        <v>0.11065003659089465</v>
      </c>
      <c r="I234" s="120">
        <f t="shared" si="186"/>
        <v>0.11065003659089465</v>
      </c>
      <c r="J234" s="120">
        <f t="shared" si="186"/>
        <v>0.11065003659089465</v>
      </c>
      <c r="M234" s="119">
        <v>1</v>
      </c>
      <c r="S234" s="57"/>
      <c r="T234" s="57"/>
      <c r="X234" s="116"/>
      <c r="Y234" s="116"/>
      <c r="Z234" s="116"/>
      <c r="AA234" s="116"/>
      <c r="AB234" s="3"/>
    </row>
    <row r="235" spans="1:28" ht="20" x14ac:dyDescent="0.4">
      <c r="A235" s="57"/>
      <c r="B235" s="78"/>
      <c r="E235" s="65"/>
      <c r="F235" s="65"/>
      <c r="G235" s="65"/>
      <c r="H235" s="65"/>
      <c r="I235" s="65"/>
      <c r="J235" s="65"/>
      <c r="K235" s="65"/>
      <c r="M235" s="119"/>
      <c r="S235" s="57"/>
      <c r="T235" s="57"/>
      <c r="X235" s="116"/>
      <c r="Y235" s="116"/>
      <c r="Z235" s="116"/>
      <c r="AA235" s="116"/>
      <c r="AB235" s="3"/>
    </row>
    <row r="236" spans="1:28" ht="20" x14ac:dyDescent="0.4">
      <c r="A236" s="57"/>
      <c r="E236" s="67"/>
      <c r="F236" s="68"/>
      <c r="G236" s="68"/>
      <c r="H236" s="68"/>
      <c r="I236" s="68"/>
      <c r="J236" s="68"/>
      <c r="S236" s="57"/>
      <c r="T236" s="57"/>
      <c r="X236" s="116"/>
      <c r="Y236" s="116"/>
      <c r="Z236" s="116"/>
      <c r="AA236" s="116"/>
      <c r="AB236" s="3"/>
    </row>
    <row r="237" spans="1:28" ht="20" x14ac:dyDescent="0.4">
      <c r="A237" s="57"/>
      <c r="B237" s="3" t="s">
        <v>81</v>
      </c>
      <c r="E237" s="108">
        <f>E32/E$52</f>
        <v>1.2280773065349261E-2</v>
      </c>
      <c r="F237" s="104">
        <f ca="1">OFFSET(F237,$D$5,0)</f>
        <v>1.2280773065349261E-2</v>
      </c>
      <c r="G237" s="104">
        <f t="shared" ref="G237:J237" ca="1" si="187">OFFSET(G237,$D$5,0)</f>
        <v>1.2280773065349261E-2</v>
      </c>
      <c r="H237" s="104">
        <f t="shared" ca="1" si="187"/>
        <v>1.2280773065349261E-2</v>
      </c>
      <c r="I237" s="104">
        <f t="shared" ca="1" si="187"/>
        <v>1.2280773065349261E-2</v>
      </c>
      <c r="J237" s="104">
        <f t="shared" ca="1" si="187"/>
        <v>1.2280773065349261E-2</v>
      </c>
      <c r="S237" s="57"/>
      <c r="T237" s="57"/>
      <c r="X237" s="116"/>
      <c r="Y237" s="116"/>
      <c r="Z237" s="116"/>
      <c r="AA237" s="116"/>
      <c r="AB237" s="3"/>
    </row>
    <row r="238" spans="1:28" ht="20" x14ac:dyDescent="0.4">
      <c r="A238" s="57"/>
      <c r="B238" s="78" t="str">
        <f>$D$7</f>
        <v>Base</v>
      </c>
      <c r="E238" s="105">
        <f>E237</f>
        <v>1.2280773065349261E-2</v>
      </c>
      <c r="F238" s="105">
        <f>E238</f>
        <v>1.2280773065349261E-2</v>
      </c>
      <c r="G238" s="105">
        <f t="shared" ref="G238:J238" si="188">F238</f>
        <v>1.2280773065349261E-2</v>
      </c>
      <c r="H238" s="105">
        <f t="shared" si="188"/>
        <v>1.2280773065349261E-2</v>
      </c>
      <c r="I238" s="105">
        <f t="shared" si="188"/>
        <v>1.2280773065349261E-2</v>
      </c>
      <c r="J238" s="105">
        <f t="shared" si="188"/>
        <v>1.2280773065349261E-2</v>
      </c>
      <c r="M238" s="117" t="s">
        <v>117</v>
      </c>
      <c r="S238" s="57"/>
      <c r="T238" s="57"/>
      <c r="X238" s="116"/>
      <c r="Y238" s="116"/>
      <c r="Z238" s="116"/>
      <c r="AA238" s="116"/>
      <c r="AB238" s="3"/>
    </row>
    <row r="239" spans="1:28" ht="20" x14ac:dyDescent="0.4">
      <c r="A239" s="57"/>
      <c r="B239" s="78" t="str">
        <f>$D$8</f>
        <v>Upside</v>
      </c>
      <c r="E239" s="65"/>
      <c r="F239" s="120">
        <f>F238*$M$239</f>
        <v>1.2280773065349261E-2</v>
      </c>
      <c r="G239" s="120">
        <f t="shared" ref="G239:J239" si="189">G238*$M$239</f>
        <v>1.2280773065349261E-2</v>
      </c>
      <c r="H239" s="120">
        <f t="shared" si="189"/>
        <v>1.2280773065349261E-2</v>
      </c>
      <c r="I239" s="120">
        <f t="shared" si="189"/>
        <v>1.2280773065349261E-2</v>
      </c>
      <c r="J239" s="120">
        <f t="shared" si="189"/>
        <v>1.2280773065349261E-2</v>
      </c>
      <c r="M239" s="119">
        <v>1</v>
      </c>
      <c r="S239" s="57"/>
      <c r="T239" s="57"/>
      <c r="X239" s="116"/>
      <c r="Y239" s="116"/>
      <c r="Z239" s="116"/>
      <c r="AA239" s="116"/>
      <c r="AB239" s="3"/>
    </row>
    <row r="240" spans="1:28" ht="20" x14ac:dyDescent="0.4">
      <c r="A240" s="57"/>
      <c r="B240" s="78"/>
      <c r="E240" s="65"/>
      <c r="F240" s="65"/>
      <c r="G240" s="65"/>
      <c r="H240" s="65"/>
      <c r="I240" s="65"/>
      <c r="J240" s="65"/>
      <c r="K240" s="65"/>
      <c r="M240" s="119"/>
      <c r="S240" s="57"/>
      <c r="T240" s="57"/>
      <c r="X240" s="116"/>
      <c r="Y240" s="116"/>
      <c r="Z240" s="116"/>
      <c r="AA240" s="116"/>
      <c r="AB240" s="3"/>
    </row>
    <row r="241" spans="1:28" ht="20" x14ac:dyDescent="0.4">
      <c r="A241" s="57"/>
      <c r="E241" s="27"/>
      <c r="F241" s="27"/>
      <c r="G241" s="27"/>
      <c r="H241" s="27"/>
      <c r="I241" s="27"/>
      <c r="J241" s="27"/>
      <c r="P241" s="56"/>
      <c r="S241" s="57"/>
      <c r="T241" s="57"/>
      <c r="X241" s="116"/>
      <c r="Y241" s="116"/>
      <c r="Z241" s="116"/>
      <c r="AA241" s="116"/>
      <c r="AB241" s="3"/>
    </row>
    <row r="242" spans="1:28" ht="20" x14ac:dyDescent="0.4">
      <c r="A242" s="57"/>
      <c r="B242" s="3" t="s">
        <v>99</v>
      </c>
      <c r="E242" s="108">
        <f>E37/E$52</f>
        <v>4.4368589343340092E-2</v>
      </c>
      <c r="F242" s="104">
        <f>E242</f>
        <v>4.4368589343340092E-2</v>
      </c>
      <c r="G242" s="104">
        <f t="shared" ref="G242:J242" si="190">F242</f>
        <v>4.4368589343340092E-2</v>
      </c>
      <c r="H242" s="104">
        <f t="shared" si="190"/>
        <v>4.4368589343340092E-2</v>
      </c>
      <c r="I242" s="104">
        <f t="shared" si="190"/>
        <v>4.4368589343340092E-2</v>
      </c>
      <c r="J242" s="104">
        <f t="shared" si="190"/>
        <v>4.4368589343340092E-2</v>
      </c>
      <c r="S242" s="57"/>
      <c r="T242" s="57"/>
      <c r="X242" s="116"/>
      <c r="Y242" s="116"/>
      <c r="Z242" s="116"/>
      <c r="AA242" s="116"/>
      <c r="AB242" s="3"/>
    </row>
    <row r="243" spans="1:28" ht="20" x14ac:dyDescent="0.4">
      <c r="A243" s="57"/>
      <c r="S243" s="57"/>
      <c r="T243" s="57"/>
      <c r="X243" s="116"/>
      <c r="Y243" s="116"/>
      <c r="Z243" s="116"/>
      <c r="AA243" s="116"/>
      <c r="AB243" s="3"/>
    </row>
    <row r="244" spans="1:28" ht="24" x14ac:dyDescent="0.8">
      <c r="A244" s="57"/>
      <c r="D244" s="8" t="str">
        <f>D$11</f>
        <v>Historical</v>
      </c>
      <c r="E244" s="8"/>
      <c r="F244" s="8" t="str">
        <f>F$11</f>
        <v>Forecast</v>
      </c>
      <c r="G244" s="8"/>
      <c r="H244" s="8"/>
      <c r="I244" s="8"/>
      <c r="J244" s="8"/>
      <c r="L244" s="8" t="s">
        <v>26</v>
      </c>
      <c r="M244" s="8"/>
      <c r="N244" s="9"/>
      <c r="O244" s="9"/>
      <c r="P244" s="9"/>
      <c r="Q244" s="9"/>
      <c r="S244" s="57"/>
      <c r="T244" s="57"/>
      <c r="X244" s="116"/>
      <c r="Y244" s="116"/>
      <c r="Z244" s="116"/>
      <c r="AA244" s="116"/>
      <c r="AB244" s="3"/>
    </row>
    <row r="245" spans="1:28" ht="20.5" thickBot="1" x14ac:dyDescent="0.45">
      <c r="A245" s="57"/>
      <c r="B245" s="13" t="s">
        <v>15</v>
      </c>
      <c r="C245" s="13"/>
      <c r="D245" s="71">
        <f t="shared" ref="D245:Q245" si="191">D$12</f>
        <v>2019</v>
      </c>
      <c r="E245" s="71">
        <f t="shared" si="191"/>
        <v>2020</v>
      </c>
      <c r="F245" s="71">
        <f t="shared" si="191"/>
        <v>2021</v>
      </c>
      <c r="G245" s="71">
        <f t="shared" si="191"/>
        <v>2022</v>
      </c>
      <c r="H245" s="71">
        <f t="shared" si="191"/>
        <v>2023</v>
      </c>
      <c r="I245" s="71">
        <f t="shared" si="191"/>
        <v>2024</v>
      </c>
      <c r="J245" s="71">
        <f t="shared" si="191"/>
        <v>2025</v>
      </c>
      <c r="L245" s="71">
        <f t="shared" si="191"/>
        <v>2020</v>
      </c>
      <c r="M245" s="71">
        <f t="shared" si="191"/>
        <v>2021</v>
      </c>
      <c r="N245" s="71">
        <f t="shared" si="191"/>
        <v>2022</v>
      </c>
      <c r="O245" s="71">
        <f t="shared" si="191"/>
        <v>2023</v>
      </c>
      <c r="P245" s="71">
        <f t="shared" si="191"/>
        <v>2024</v>
      </c>
      <c r="Q245" s="71">
        <f t="shared" si="191"/>
        <v>2025</v>
      </c>
      <c r="S245" s="57"/>
      <c r="T245" s="57"/>
      <c r="X245" s="116"/>
      <c r="Y245" s="116"/>
      <c r="Z245" s="116"/>
      <c r="AA245" s="116"/>
      <c r="AB245" s="3"/>
    </row>
    <row r="246" spans="1:28" ht="20" x14ac:dyDescent="0.4">
      <c r="A246" s="57"/>
      <c r="B246" s="3" t="s">
        <v>14</v>
      </c>
      <c r="D246" s="62">
        <f>D43</f>
        <v>2.3129605999012277</v>
      </c>
      <c r="E246" s="82">
        <f>E43</f>
        <v>2.3129605999012277</v>
      </c>
      <c r="F246" s="90">
        <f>E246+L246</f>
        <v>2.3129605999012277</v>
      </c>
      <c r="G246" s="90">
        <f ca="1">F246+M246</f>
        <v>2.3129605999012277</v>
      </c>
      <c r="H246" s="90">
        <f ca="1">G246+N246</f>
        <v>2.3129605999012277</v>
      </c>
      <c r="I246" s="90">
        <f t="shared" ref="I246" ca="1" si="192">H246+O246</f>
        <v>2.3129605999012277</v>
      </c>
      <c r="J246" s="90">
        <f ca="1">I246+P246</f>
        <v>2.3129605999012277</v>
      </c>
      <c r="L246" s="99">
        <f>E246-D246</f>
        <v>0</v>
      </c>
      <c r="M246" s="97">
        <f ca="1">OFFSET(M246,$D$5,0)</f>
        <v>0</v>
      </c>
      <c r="N246" s="97">
        <f t="shared" ref="N246:Q246" ca="1" si="193">OFFSET(N246,$D$5,0)</f>
        <v>0</v>
      </c>
      <c r="O246" s="97">
        <f t="shared" ca="1" si="193"/>
        <v>0</v>
      </c>
      <c r="P246" s="97">
        <f t="shared" ca="1" si="193"/>
        <v>0</v>
      </c>
      <c r="Q246" s="97">
        <f t="shared" ca="1" si="193"/>
        <v>0</v>
      </c>
      <c r="T246" s="57"/>
      <c r="X246" s="116"/>
      <c r="Y246" s="116"/>
      <c r="Z246" s="116"/>
      <c r="AA246" s="116"/>
      <c r="AB246" s="3"/>
    </row>
    <row r="247" spans="1:28" ht="20" x14ac:dyDescent="0.4">
      <c r="A247" s="57"/>
      <c r="B247" s="78" t="str">
        <f>$D$7</f>
        <v>Base</v>
      </c>
      <c r="D247" s="81"/>
      <c r="E247" s="73"/>
      <c r="F247" s="17"/>
      <c r="G247" s="17"/>
      <c r="H247" s="17"/>
      <c r="I247" s="17"/>
      <c r="J247" s="17"/>
      <c r="M247" s="97">
        <f ca="1">M246</f>
        <v>0</v>
      </c>
      <c r="N247" s="97">
        <f t="shared" ref="N247:Q247" ca="1" si="194">N246</f>
        <v>0</v>
      </c>
      <c r="O247" s="97">
        <f t="shared" ca="1" si="194"/>
        <v>0</v>
      </c>
      <c r="P247" s="97">
        <f t="shared" ca="1" si="194"/>
        <v>0</v>
      </c>
      <c r="Q247" s="97">
        <f t="shared" ca="1" si="194"/>
        <v>0</v>
      </c>
      <c r="S247" s="160" t="s">
        <v>117</v>
      </c>
      <c r="T247" s="57"/>
      <c r="X247" s="116"/>
      <c r="Y247" s="116"/>
      <c r="Z247" s="116"/>
      <c r="AA247" s="116"/>
      <c r="AB247" s="3"/>
    </row>
    <row r="248" spans="1:28" ht="20" x14ac:dyDescent="0.4">
      <c r="A248" s="57"/>
      <c r="B248" s="78" t="str">
        <f>$D$8</f>
        <v>Upside</v>
      </c>
      <c r="D248" s="52"/>
      <c r="E248" s="73"/>
      <c r="F248" s="17"/>
      <c r="G248" s="17"/>
      <c r="H248" s="17"/>
      <c r="I248" s="17"/>
      <c r="J248" s="17"/>
      <c r="M248" s="121">
        <f ca="1">M247*S248</f>
        <v>0</v>
      </c>
      <c r="N248" s="121">
        <f t="shared" ref="N248:Q248" ca="1" si="195">N247*T248</f>
        <v>0</v>
      </c>
      <c r="O248" s="121">
        <f t="shared" ca="1" si="195"/>
        <v>0</v>
      </c>
      <c r="P248" s="121">
        <f t="shared" ca="1" si="195"/>
        <v>0</v>
      </c>
      <c r="Q248" s="121">
        <f t="shared" ca="1" si="195"/>
        <v>0</v>
      </c>
      <c r="S248" s="243">
        <v>0</v>
      </c>
      <c r="T248" s="57"/>
      <c r="X248" s="116"/>
      <c r="Y248" s="116"/>
      <c r="Z248" s="116"/>
      <c r="AA248" s="116"/>
      <c r="AB248" s="3"/>
    </row>
    <row r="249" spans="1:28" ht="20" x14ac:dyDescent="0.4">
      <c r="A249" s="57"/>
      <c r="B249" s="78"/>
      <c r="D249" s="67"/>
      <c r="E249" s="65"/>
      <c r="F249" s="65"/>
      <c r="G249" s="65"/>
      <c r="H249" s="65"/>
      <c r="I249" s="65"/>
      <c r="J249" s="65"/>
      <c r="K249" s="65"/>
      <c r="M249" s="119"/>
      <c r="T249" s="57"/>
      <c r="X249" s="116"/>
      <c r="Y249" s="116"/>
      <c r="Z249" s="116"/>
      <c r="AA249" s="116"/>
      <c r="AB249" s="3"/>
    </row>
    <row r="250" spans="1:28" ht="20" x14ac:dyDescent="0.4">
      <c r="A250" s="57"/>
      <c r="D250" s="62"/>
      <c r="E250" s="62"/>
      <c r="F250" s="30"/>
      <c r="G250" s="30"/>
      <c r="H250" s="30"/>
      <c r="I250" s="30"/>
      <c r="J250" s="30"/>
      <c r="M250" s="54"/>
      <c r="N250" s="63"/>
      <c r="O250" s="63"/>
      <c r="P250" s="63"/>
      <c r="Q250" s="63"/>
      <c r="T250" s="57"/>
      <c r="X250" s="116"/>
      <c r="Y250" s="116"/>
      <c r="Z250" s="116"/>
      <c r="AA250" s="116"/>
      <c r="AB250" s="3"/>
    </row>
    <row r="251" spans="1:28" ht="20" x14ac:dyDescent="0.4">
      <c r="A251" s="57"/>
      <c r="B251" s="3" t="s">
        <v>42</v>
      </c>
      <c r="D251" s="62">
        <f>D44</f>
        <v>29.644342908840009</v>
      </c>
      <c r="E251" s="62">
        <f>E44</f>
        <v>29.644342908840009</v>
      </c>
      <c r="F251" s="90">
        <f>E251+L251</f>
        <v>29.644342908840009</v>
      </c>
      <c r="G251" s="90">
        <f t="shared" ref="G251:J251" ca="1" si="196">F251+M251</f>
        <v>29.644342908840009</v>
      </c>
      <c r="H251" s="90">
        <f t="shared" ca="1" si="196"/>
        <v>29.644342908840009</v>
      </c>
      <c r="I251" s="90">
        <f t="shared" ca="1" si="196"/>
        <v>29.644342908840009</v>
      </c>
      <c r="J251" s="90">
        <f t="shared" ca="1" si="196"/>
        <v>29.644342908840009</v>
      </c>
      <c r="L251" s="99">
        <f>E251-D251</f>
        <v>0</v>
      </c>
      <c r="M251" s="97">
        <f ca="1">OFFSET(M251,$D$5,0)</f>
        <v>0</v>
      </c>
      <c r="N251" s="97">
        <f t="shared" ref="N251:Q251" ca="1" si="197">OFFSET(N251,$D$5,0)</f>
        <v>0</v>
      </c>
      <c r="O251" s="97">
        <f t="shared" ca="1" si="197"/>
        <v>0</v>
      </c>
      <c r="P251" s="97">
        <f t="shared" ca="1" si="197"/>
        <v>0</v>
      </c>
      <c r="Q251" s="97">
        <f t="shared" ca="1" si="197"/>
        <v>0</v>
      </c>
      <c r="T251" s="57"/>
      <c r="X251" s="116"/>
      <c r="Y251" s="116"/>
      <c r="Z251" s="116"/>
      <c r="AA251" s="116"/>
      <c r="AB251" s="3"/>
    </row>
    <row r="252" spans="1:28" ht="20" x14ac:dyDescent="0.4">
      <c r="A252" s="57"/>
      <c r="B252" s="78" t="str">
        <f>$D$7</f>
        <v>Base</v>
      </c>
      <c r="D252" s="62"/>
      <c r="E252" s="62"/>
      <c r="F252" s="30"/>
      <c r="G252" s="30"/>
      <c r="H252" s="30"/>
      <c r="I252" s="30"/>
      <c r="J252" s="30"/>
      <c r="M252" s="97">
        <f ca="1">M251</f>
        <v>0</v>
      </c>
      <c r="N252" s="97">
        <f t="shared" ref="N252" ca="1" si="198">N251</f>
        <v>0</v>
      </c>
      <c r="O252" s="97">
        <f t="shared" ref="O252" ca="1" si="199">O251</f>
        <v>0</v>
      </c>
      <c r="P252" s="97">
        <f t="shared" ref="P252" ca="1" si="200">P251</f>
        <v>0</v>
      </c>
      <c r="Q252" s="97">
        <f t="shared" ref="Q252" ca="1" si="201">Q251</f>
        <v>0</v>
      </c>
      <c r="S252" s="160" t="s">
        <v>117</v>
      </c>
      <c r="T252" s="57"/>
      <c r="X252" s="116"/>
      <c r="Y252" s="116"/>
      <c r="Z252" s="116"/>
      <c r="AA252" s="116"/>
      <c r="AB252" s="3"/>
    </row>
    <row r="253" spans="1:28" ht="20" x14ac:dyDescent="0.4">
      <c r="A253" s="57"/>
      <c r="B253" s="78" t="str">
        <f>$D$8</f>
        <v>Upside</v>
      </c>
      <c r="D253" s="62"/>
      <c r="E253" s="62"/>
      <c r="F253" s="30"/>
      <c r="G253" s="30"/>
      <c r="H253" s="30"/>
      <c r="I253" s="30"/>
      <c r="J253" s="30"/>
      <c r="M253" s="121">
        <f ca="1">M252*S253</f>
        <v>0</v>
      </c>
      <c r="N253" s="121">
        <f t="shared" ref="N253" ca="1" si="202">N252*T253</f>
        <v>0</v>
      </c>
      <c r="O253" s="121">
        <f t="shared" ref="O253" ca="1" si="203">O252*U253</f>
        <v>0</v>
      </c>
      <c r="P253" s="121">
        <f t="shared" ref="P253" ca="1" si="204">P252*V253</f>
        <v>0</v>
      </c>
      <c r="Q253" s="121">
        <f t="shared" ref="Q253" ca="1" si="205">Q252*W253</f>
        <v>0</v>
      </c>
      <c r="S253" s="243">
        <v>0</v>
      </c>
      <c r="T253" s="57"/>
      <c r="X253" s="116"/>
      <c r="Y253" s="116"/>
      <c r="Z253" s="116"/>
      <c r="AA253" s="116"/>
      <c r="AB253" s="3"/>
    </row>
    <row r="254" spans="1:28" ht="20" x14ac:dyDescent="0.4">
      <c r="A254" s="57"/>
      <c r="B254" s="78"/>
      <c r="D254" s="67"/>
      <c r="E254" s="65"/>
      <c r="F254" s="65"/>
      <c r="G254" s="65"/>
      <c r="H254" s="65"/>
      <c r="I254" s="65"/>
      <c r="J254" s="65"/>
      <c r="K254" s="65"/>
      <c r="M254" s="119"/>
      <c r="T254" s="57"/>
      <c r="X254" s="116"/>
      <c r="Y254" s="116"/>
      <c r="Z254" s="116"/>
      <c r="AA254" s="116"/>
      <c r="AB254" s="3"/>
    </row>
    <row r="255" spans="1:28" ht="20" x14ac:dyDescent="0.4">
      <c r="A255" s="57"/>
      <c r="D255" s="62"/>
      <c r="E255" s="62"/>
      <c r="F255" s="30"/>
      <c r="G255" s="30"/>
      <c r="H255" s="30"/>
      <c r="I255" s="30"/>
      <c r="J255" s="30"/>
      <c r="M255" s="54"/>
      <c r="N255" s="63"/>
      <c r="O255" s="63"/>
      <c r="P255" s="63"/>
      <c r="Q255" s="63"/>
      <c r="T255" s="57"/>
      <c r="X255" s="116"/>
      <c r="Y255" s="116"/>
      <c r="Z255" s="116"/>
      <c r="AA255" s="116"/>
      <c r="AB255" s="3"/>
    </row>
    <row r="256" spans="1:28" ht="20" x14ac:dyDescent="0.4">
      <c r="A256" s="57"/>
      <c r="B256" s="3" t="s">
        <v>43</v>
      </c>
      <c r="D256" s="62">
        <f>D45</f>
        <v>228.05024911662613</v>
      </c>
      <c r="E256" s="62">
        <f>E45</f>
        <v>398.59396952447497</v>
      </c>
      <c r="F256" s="92">
        <f ca="1">E256+F63-F117</f>
        <v>588.32100112096475</v>
      </c>
      <c r="G256" s="92">
        <f t="shared" ref="G256:J256" ca="1" si="206">F256+G63-G117</f>
        <v>813.93718064302527</v>
      </c>
      <c r="H256" s="92">
        <f t="shared" ca="1" si="206"/>
        <v>1084.3447804435045</v>
      </c>
      <c r="I256" s="92">
        <f t="shared" ca="1" si="206"/>
        <v>1408.3481795862872</v>
      </c>
      <c r="J256" s="92">
        <f t="shared" ca="1" si="206"/>
        <v>1792.6971252408848</v>
      </c>
      <c r="L256" s="45"/>
      <c r="M256" s="45"/>
      <c r="N256" s="45"/>
      <c r="O256" s="45"/>
      <c r="P256" s="45"/>
      <c r="Q256" s="45"/>
      <c r="T256" s="57"/>
      <c r="X256" s="116"/>
      <c r="Y256" s="116"/>
      <c r="Z256" s="116"/>
      <c r="AA256" s="116"/>
      <c r="AB256" s="3"/>
    </row>
    <row r="257" spans="1:28" ht="20" x14ac:dyDescent="0.4">
      <c r="A257" s="57"/>
      <c r="B257" s="3" t="s">
        <v>44</v>
      </c>
      <c r="D257" s="62">
        <f>D46</f>
        <v>-351.94790319104351</v>
      </c>
      <c r="E257" s="62">
        <f>E46</f>
        <v>-351.94790319104351</v>
      </c>
      <c r="F257" s="90">
        <f>E257+L257</f>
        <v>-351.94790319104351</v>
      </c>
      <c r="G257" s="90">
        <f t="shared" ref="G257:J257" ca="1" si="207">F257+M257</f>
        <v>-351.94790319104351</v>
      </c>
      <c r="H257" s="90">
        <f t="shared" ca="1" si="207"/>
        <v>-351.94790319104351</v>
      </c>
      <c r="I257" s="90">
        <f t="shared" ca="1" si="207"/>
        <v>-351.94790319104351</v>
      </c>
      <c r="J257" s="90">
        <f t="shared" ca="1" si="207"/>
        <v>-351.94790319104351</v>
      </c>
      <c r="L257" s="99">
        <f>E257-D257</f>
        <v>0</v>
      </c>
      <c r="M257" s="97">
        <f ca="1">OFFSET(M257,$D$5,0)</f>
        <v>0</v>
      </c>
      <c r="N257" s="97">
        <f t="shared" ref="N257:Q257" ca="1" si="208">OFFSET(N257,$D$5,0)</f>
        <v>0</v>
      </c>
      <c r="O257" s="97">
        <f t="shared" ca="1" si="208"/>
        <v>0</v>
      </c>
      <c r="P257" s="97">
        <f t="shared" ca="1" si="208"/>
        <v>0</v>
      </c>
      <c r="Q257" s="97">
        <f t="shared" ca="1" si="208"/>
        <v>0</v>
      </c>
      <c r="T257" s="57"/>
      <c r="X257" s="116"/>
      <c r="Y257" s="116"/>
      <c r="Z257" s="116"/>
      <c r="AA257" s="116"/>
      <c r="AB257" s="3"/>
    </row>
    <row r="258" spans="1:28" ht="20" x14ac:dyDescent="0.4">
      <c r="A258" s="57"/>
      <c r="B258" s="78" t="str">
        <f>$D$7</f>
        <v>Base</v>
      </c>
      <c r="D258" s="62"/>
      <c r="E258" s="62"/>
      <c r="F258" s="30"/>
      <c r="G258" s="30"/>
      <c r="H258" s="30"/>
      <c r="I258" s="30"/>
      <c r="J258" s="30"/>
      <c r="M258" s="97">
        <f ca="1">M257</f>
        <v>0</v>
      </c>
      <c r="N258" s="97">
        <f t="shared" ref="N258" ca="1" si="209">N257</f>
        <v>0</v>
      </c>
      <c r="O258" s="97">
        <f t="shared" ref="O258" ca="1" si="210">O257</f>
        <v>0</v>
      </c>
      <c r="P258" s="97">
        <f t="shared" ref="P258" ca="1" si="211">P257</f>
        <v>0</v>
      </c>
      <c r="Q258" s="97">
        <f t="shared" ref="Q258" ca="1" si="212">Q257</f>
        <v>0</v>
      </c>
      <c r="S258" s="160" t="s">
        <v>117</v>
      </c>
      <c r="T258" s="57"/>
      <c r="X258" s="116"/>
      <c r="Y258" s="116"/>
      <c r="Z258" s="116"/>
      <c r="AA258" s="116"/>
      <c r="AB258" s="3"/>
    </row>
    <row r="259" spans="1:28" ht="20" x14ac:dyDescent="0.4">
      <c r="A259" s="57"/>
      <c r="B259" s="78" t="str">
        <f>$D$8</f>
        <v>Upside</v>
      </c>
      <c r="D259" s="62"/>
      <c r="E259" s="62"/>
      <c r="F259" s="30"/>
      <c r="G259" s="30"/>
      <c r="H259" s="30"/>
      <c r="I259" s="30"/>
      <c r="J259" s="30"/>
      <c r="M259" s="121">
        <f ca="1">M258*S259</f>
        <v>0</v>
      </c>
      <c r="N259" s="121">
        <f t="shared" ref="N259" ca="1" si="213">N258*T259</f>
        <v>0</v>
      </c>
      <c r="O259" s="121">
        <f t="shared" ref="O259" ca="1" si="214">O258*U259</f>
        <v>0</v>
      </c>
      <c r="P259" s="121">
        <f t="shared" ref="P259" ca="1" si="215">P258*V259</f>
        <v>0</v>
      </c>
      <c r="Q259" s="121">
        <f t="shared" ref="Q259" ca="1" si="216">Q258*W259</f>
        <v>0</v>
      </c>
      <c r="S259" s="243">
        <v>0</v>
      </c>
      <c r="T259" s="57"/>
      <c r="X259" s="116"/>
      <c r="Y259" s="116"/>
      <c r="Z259" s="116"/>
      <c r="AA259" s="116"/>
      <c r="AB259" s="3"/>
    </row>
    <row r="260" spans="1:28" ht="20" x14ac:dyDescent="0.4">
      <c r="A260" s="57"/>
      <c r="B260" s="78"/>
      <c r="D260" s="67"/>
      <c r="E260" s="65"/>
      <c r="F260" s="65"/>
      <c r="G260" s="65"/>
      <c r="H260" s="65"/>
      <c r="I260" s="65"/>
      <c r="J260" s="65"/>
      <c r="K260" s="65"/>
      <c r="M260" s="119"/>
      <c r="T260" s="57"/>
      <c r="X260" s="116"/>
      <c r="Y260" s="116"/>
      <c r="Z260" s="116"/>
      <c r="AA260" s="116"/>
      <c r="AB260" s="3"/>
    </row>
    <row r="261" spans="1:28" ht="20" x14ac:dyDescent="0.4">
      <c r="A261" s="57"/>
      <c r="S261" s="110" t="str">
        <f ca="1">IFERROR(_xlfn.FORMULATEXT(F261),"")</f>
        <v/>
      </c>
      <c r="T261" s="57"/>
      <c r="X261" s="116"/>
      <c r="Y261" s="116"/>
      <c r="Z261" s="116"/>
      <c r="AA261" s="116"/>
      <c r="AB261" s="3"/>
    </row>
    <row r="262" spans="1:28" ht="24" x14ac:dyDescent="0.8">
      <c r="A262" s="57"/>
      <c r="D262" s="8" t="str">
        <f>D$11</f>
        <v>Historical</v>
      </c>
      <c r="E262" s="8"/>
      <c r="F262" s="8" t="str">
        <f>F$11</f>
        <v>Forecast</v>
      </c>
      <c r="G262" s="8"/>
      <c r="H262" s="8"/>
      <c r="I262" s="8"/>
      <c r="J262" s="8"/>
      <c r="Q262" s="9"/>
      <c r="S262" s="110"/>
      <c r="T262" s="57"/>
      <c r="X262" s="116"/>
      <c r="Y262" s="116"/>
      <c r="Z262" s="116"/>
      <c r="AA262" s="116"/>
      <c r="AB262" s="3"/>
    </row>
    <row r="263" spans="1:28" ht="20.5" thickBot="1" x14ac:dyDescent="0.45">
      <c r="A263" s="57"/>
      <c r="B263" s="4" t="s">
        <v>13</v>
      </c>
      <c r="C263" s="4"/>
      <c r="D263" s="71">
        <f t="shared" ref="D263:J263" si="217">D$12</f>
        <v>2019</v>
      </c>
      <c r="E263" s="71">
        <f t="shared" si="217"/>
        <v>2020</v>
      </c>
      <c r="F263" s="71">
        <f t="shared" si="217"/>
        <v>2021</v>
      </c>
      <c r="G263" s="71">
        <f t="shared" si="217"/>
        <v>2022</v>
      </c>
      <c r="H263" s="71">
        <f t="shared" si="217"/>
        <v>2023</v>
      </c>
      <c r="I263" s="71">
        <f t="shared" si="217"/>
        <v>2024</v>
      </c>
      <c r="J263" s="71">
        <f t="shared" si="217"/>
        <v>2025</v>
      </c>
      <c r="Q263" s="161"/>
      <c r="R263" s="161"/>
      <c r="S263" s="110"/>
      <c r="T263" s="57"/>
      <c r="X263" s="116"/>
      <c r="Y263" s="116"/>
      <c r="Z263" s="116"/>
      <c r="AA263" s="116"/>
      <c r="AB263" s="3"/>
    </row>
    <row r="264" spans="1:28" ht="20" x14ac:dyDescent="0.4">
      <c r="A264" s="57"/>
      <c r="B264" s="3" t="s">
        <v>67</v>
      </c>
      <c r="D264" s="27"/>
      <c r="E264" s="108">
        <f>E52/D52-1</f>
        <v>0.15488002467147188</v>
      </c>
      <c r="F264" s="104">
        <f ca="1">OFFSET(F264,$D$5,0)</f>
        <v>0.15488002467147188</v>
      </c>
      <c r="G264" s="104">
        <f t="shared" ref="G264:J264" ca="1" si="218">OFFSET(G264,$D$5,0)</f>
        <v>0.15488002467147188</v>
      </c>
      <c r="H264" s="104">
        <f t="shared" ca="1" si="218"/>
        <v>0.15488002467147188</v>
      </c>
      <c r="I264" s="104">
        <f t="shared" ca="1" si="218"/>
        <v>0.15488002467147188</v>
      </c>
      <c r="J264" s="104">
        <f t="shared" ca="1" si="218"/>
        <v>0.15488002467147188</v>
      </c>
      <c r="Q264" s="161"/>
      <c r="R264" s="161"/>
      <c r="S264" s="110"/>
      <c r="T264" s="57"/>
      <c r="X264" s="116"/>
      <c r="Y264" s="116"/>
      <c r="Z264" s="116"/>
      <c r="AA264" s="116"/>
      <c r="AB264" s="3"/>
    </row>
    <row r="265" spans="1:28" ht="20" x14ac:dyDescent="0.4">
      <c r="A265" s="57"/>
      <c r="B265" s="78" t="str">
        <f>$D$7</f>
        <v>Base</v>
      </c>
      <c r="D265" s="27"/>
      <c r="E265" s="105">
        <f>E264</f>
        <v>0.15488002467147188</v>
      </c>
      <c r="F265" s="105">
        <f>E265</f>
        <v>0.15488002467147188</v>
      </c>
      <c r="G265" s="105">
        <f t="shared" ref="G265:J265" si="219">F265</f>
        <v>0.15488002467147188</v>
      </c>
      <c r="H265" s="105">
        <f t="shared" si="219"/>
        <v>0.15488002467147188</v>
      </c>
      <c r="I265" s="105">
        <f t="shared" si="219"/>
        <v>0.15488002467147188</v>
      </c>
      <c r="J265" s="105">
        <f t="shared" si="219"/>
        <v>0.15488002467147188</v>
      </c>
      <c r="M265" s="117" t="s">
        <v>117</v>
      </c>
      <c r="Q265" s="12"/>
      <c r="R265" s="12"/>
      <c r="S265" s="110"/>
      <c r="T265" s="57"/>
      <c r="X265" s="116"/>
      <c r="Y265" s="116"/>
      <c r="Z265" s="116"/>
      <c r="AA265" s="116"/>
      <c r="AB265" s="3"/>
    </row>
    <row r="266" spans="1:28" ht="20" x14ac:dyDescent="0.4">
      <c r="A266" s="57"/>
      <c r="B266" s="78" t="str">
        <f>$D$8</f>
        <v>Upside</v>
      </c>
      <c r="D266" s="27"/>
      <c r="E266" s="65"/>
      <c r="F266" s="120">
        <f>F265*$M$266</f>
        <v>0.21683203454006061</v>
      </c>
      <c r="G266" s="120">
        <f t="shared" ref="G266:J266" si="220">G265*$M$266</f>
        <v>0.21683203454006061</v>
      </c>
      <c r="H266" s="120">
        <f t="shared" si="220"/>
        <v>0.21683203454006061</v>
      </c>
      <c r="I266" s="120">
        <f t="shared" si="220"/>
        <v>0.21683203454006061</v>
      </c>
      <c r="J266" s="120">
        <f t="shared" si="220"/>
        <v>0.21683203454006061</v>
      </c>
      <c r="M266" s="119">
        <v>1.4</v>
      </c>
      <c r="S266" s="110"/>
      <c r="T266" s="57"/>
      <c r="X266" s="116"/>
      <c r="Y266" s="116"/>
      <c r="Z266" s="116"/>
      <c r="AA266" s="116"/>
      <c r="AB266" s="3"/>
    </row>
    <row r="267" spans="1:28" ht="20" x14ac:dyDescent="0.4">
      <c r="A267" s="57"/>
      <c r="B267" s="78"/>
      <c r="D267" s="67"/>
      <c r="E267" s="65"/>
      <c r="F267" s="65"/>
      <c r="G267" s="65"/>
      <c r="H267" s="65"/>
      <c r="I267" s="65"/>
      <c r="J267" s="65"/>
      <c r="K267" s="65"/>
      <c r="M267" s="119"/>
      <c r="S267" s="110"/>
      <c r="T267" s="57"/>
      <c r="X267" s="116"/>
      <c r="Y267" s="116"/>
      <c r="Z267" s="116"/>
      <c r="AA267" s="116"/>
      <c r="AB267" s="3"/>
    </row>
    <row r="268" spans="1:28" ht="20" x14ac:dyDescent="0.4">
      <c r="A268" s="57"/>
      <c r="D268" s="27"/>
      <c r="E268" s="67"/>
      <c r="F268" s="68"/>
      <c r="G268" s="68"/>
      <c r="H268" s="68"/>
      <c r="I268" s="68"/>
      <c r="J268" s="68"/>
      <c r="S268" s="110"/>
      <c r="T268" s="57"/>
      <c r="X268" s="116"/>
      <c r="Y268" s="116"/>
      <c r="Z268" s="116"/>
      <c r="AA268" s="116"/>
      <c r="AB268" s="3"/>
    </row>
    <row r="269" spans="1:28" ht="20" x14ac:dyDescent="0.4">
      <c r="A269" s="59"/>
      <c r="B269" s="12" t="s">
        <v>102</v>
      </c>
      <c r="C269" s="12"/>
      <c r="D269" s="81"/>
      <c r="E269" s="108">
        <f>E53/E$52</f>
        <v>-0.50368062328304197</v>
      </c>
      <c r="F269" s="104">
        <f ca="1">OFFSET(F269,$D$5,0)</f>
        <v>-0.50368062328304197</v>
      </c>
      <c r="G269" s="104">
        <f t="shared" ref="G269:J269" ca="1" si="221">OFFSET(G269,$D$5,0)</f>
        <v>-0.50368062328304197</v>
      </c>
      <c r="H269" s="104">
        <f t="shared" ca="1" si="221"/>
        <v>-0.50368062328304197</v>
      </c>
      <c r="I269" s="104">
        <f t="shared" ca="1" si="221"/>
        <v>-0.50368062328304197</v>
      </c>
      <c r="J269" s="104">
        <f t="shared" ca="1" si="221"/>
        <v>-0.50368062328304197</v>
      </c>
      <c r="S269" s="110"/>
      <c r="T269" s="57"/>
      <c r="X269" s="116"/>
      <c r="Y269" s="116"/>
      <c r="Z269" s="116"/>
      <c r="AA269" s="116"/>
      <c r="AB269" s="3"/>
    </row>
    <row r="270" spans="1:28" ht="20" x14ac:dyDescent="0.4">
      <c r="A270" s="59"/>
      <c r="B270" s="78" t="str">
        <f>$D$7</f>
        <v>Base</v>
      </c>
      <c r="C270" s="60"/>
      <c r="D270" s="61"/>
      <c r="E270" s="105">
        <f>E269</f>
        <v>-0.50368062328304197</v>
      </c>
      <c r="F270" s="105">
        <f>E270</f>
        <v>-0.50368062328304197</v>
      </c>
      <c r="G270" s="105">
        <f t="shared" ref="G270:J270" si="222">F270</f>
        <v>-0.50368062328304197</v>
      </c>
      <c r="H270" s="105">
        <f t="shared" si="222"/>
        <v>-0.50368062328304197</v>
      </c>
      <c r="I270" s="105">
        <f t="shared" si="222"/>
        <v>-0.50368062328304197</v>
      </c>
      <c r="J270" s="105">
        <f t="shared" si="222"/>
        <v>-0.50368062328304197</v>
      </c>
      <c r="M270" s="117" t="s">
        <v>117</v>
      </c>
      <c r="S270" s="110"/>
      <c r="T270" s="57"/>
      <c r="X270" s="116"/>
      <c r="Y270" s="116"/>
      <c r="Z270" s="116"/>
      <c r="AA270" s="116"/>
      <c r="AB270" s="3"/>
    </row>
    <row r="271" spans="1:28" ht="20" x14ac:dyDescent="0.4">
      <c r="A271" s="57"/>
      <c r="B271" s="78" t="str">
        <f>$D$8</f>
        <v>Upside</v>
      </c>
      <c r="C271" s="60"/>
      <c r="D271" s="61"/>
      <c r="E271" s="65"/>
      <c r="F271" s="120">
        <f>F270*$M$271</f>
        <v>-0.3525764362981294</v>
      </c>
      <c r="G271" s="120">
        <f t="shared" ref="G271:J271" si="223">G270*$M$271</f>
        <v>-0.3525764362981294</v>
      </c>
      <c r="H271" s="120">
        <f t="shared" si="223"/>
        <v>-0.3525764362981294</v>
      </c>
      <c r="I271" s="120">
        <f t="shared" si="223"/>
        <v>-0.3525764362981294</v>
      </c>
      <c r="J271" s="120">
        <f t="shared" si="223"/>
        <v>-0.3525764362981294</v>
      </c>
      <c r="M271" s="119">
        <v>0.70000000000000007</v>
      </c>
      <c r="S271" s="110"/>
      <c r="T271" s="57"/>
      <c r="X271" s="116"/>
      <c r="Y271" s="116"/>
      <c r="Z271" s="116"/>
      <c r="AA271" s="116"/>
      <c r="AB271" s="3"/>
    </row>
    <row r="272" spans="1:28" ht="20" x14ac:dyDescent="0.4">
      <c r="A272" s="57"/>
      <c r="B272" s="78"/>
      <c r="D272" s="67"/>
      <c r="E272" s="65"/>
      <c r="F272" s="65"/>
      <c r="G272" s="65"/>
      <c r="H272" s="65"/>
      <c r="I272" s="65"/>
      <c r="J272" s="65"/>
      <c r="K272" s="65"/>
      <c r="M272" s="119"/>
      <c r="S272" s="110"/>
      <c r="T272" s="57"/>
      <c r="X272" s="116"/>
      <c r="Y272" s="116"/>
      <c r="Z272" s="116"/>
      <c r="AA272" s="116"/>
      <c r="AB272" s="3"/>
    </row>
    <row r="273" spans="1:28" ht="20" x14ac:dyDescent="0.4">
      <c r="A273" s="57"/>
      <c r="B273" s="60"/>
      <c r="C273" s="60"/>
      <c r="D273" s="61"/>
      <c r="E273" s="17"/>
      <c r="F273" s="17"/>
      <c r="G273" s="17"/>
      <c r="H273" s="17"/>
      <c r="I273" s="17"/>
      <c r="J273" s="17"/>
      <c r="S273" s="110"/>
      <c r="T273" s="57"/>
      <c r="X273" s="116"/>
      <c r="Y273" s="116"/>
      <c r="Z273" s="116"/>
      <c r="AA273" s="116"/>
      <c r="AB273" s="3"/>
    </row>
    <row r="274" spans="1:28" ht="20" x14ac:dyDescent="0.4">
      <c r="A274" s="57"/>
      <c r="B274" s="3" t="s">
        <v>82</v>
      </c>
      <c r="D274" s="27"/>
      <c r="E274" s="108">
        <f>E55/E$52</f>
        <v>-0.15252626966786947</v>
      </c>
      <c r="F274" s="104">
        <f ca="1">OFFSET(F274,$D$5,0)</f>
        <v>-0.15252626966786947</v>
      </c>
      <c r="G274" s="104">
        <f t="shared" ref="G274:J274" ca="1" si="224">OFFSET(G274,$D$5,0)</f>
        <v>-0.15252626966786947</v>
      </c>
      <c r="H274" s="104">
        <f t="shared" ca="1" si="224"/>
        <v>-0.15252626966786947</v>
      </c>
      <c r="I274" s="104">
        <f t="shared" ca="1" si="224"/>
        <v>-0.15252626966786947</v>
      </c>
      <c r="J274" s="104">
        <f t="shared" ca="1" si="224"/>
        <v>-0.15252626966786947</v>
      </c>
      <c r="S274" s="110"/>
      <c r="T274" s="57"/>
      <c r="X274" s="116"/>
      <c r="Y274" s="116"/>
      <c r="Z274" s="116"/>
      <c r="AA274" s="116"/>
      <c r="AB274" s="3"/>
    </row>
    <row r="275" spans="1:28" ht="20" x14ac:dyDescent="0.4">
      <c r="A275" s="57"/>
      <c r="B275" s="78" t="str">
        <f>$D$7</f>
        <v>Base</v>
      </c>
      <c r="D275" s="27"/>
      <c r="E275" s="105">
        <f>E274</f>
        <v>-0.15252626966786947</v>
      </c>
      <c r="F275" s="105">
        <f>E275</f>
        <v>-0.15252626966786947</v>
      </c>
      <c r="G275" s="105">
        <f t="shared" ref="G275:J275" si="225">F275</f>
        <v>-0.15252626966786947</v>
      </c>
      <c r="H275" s="105">
        <f t="shared" si="225"/>
        <v>-0.15252626966786947</v>
      </c>
      <c r="I275" s="105">
        <f t="shared" si="225"/>
        <v>-0.15252626966786947</v>
      </c>
      <c r="J275" s="105">
        <f t="shared" si="225"/>
        <v>-0.15252626966786947</v>
      </c>
      <c r="M275" s="117" t="s">
        <v>117</v>
      </c>
      <c r="S275" s="110"/>
      <c r="T275" s="57"/>
      <c r="X275" s="116"/>
      <c r="Y275" s="116"/>
      <c r="Z275" s="116"/>
      <c r="AA275" s="116"/>
      <c r="AB275" s="3"/>
    </row>
    <row r="276" spans="1:28" ht="20" x14ac:dyDescent="0.4">
      <c r="A276" s="57"/>
      <c r="B276" s="78" t="str">
        <f>$D$8</f>
        <v>Upside</v>
      </c>
      <c r="D276" s="27"/>
      <c r="E276" s="65"/>
      <c r="F276" s="120">
        <f>F275*$M$276</f>
        <v>-0.10676838876750865</v>
      </c>
      <c r="G276" s="120">
        <f t="shared" ref="G276:J276" si="226">G275*$M$276</f>
        <v>-0.10676838876750865</v>
      </c>
      <c r="H276" s="120">
        <f t="shared" si="226"/>
        <v>-0.10676838876750865</v>
      </c>
      <c r="I276" s="120">
        <f t="shared" si="226"/>
        <v>-0.10676838876750865</v>
      </c>
      <c r="J276" s="120">
        <f t="shared" si="226"/>
        <v>-0.10676838876750865</v>
      </c>
      <c r="M276" s="119">
        <v>0.70000000000000007</v>
      </c>
      <c r="S276" s="110"/>
      <c r="T276" s="57"/>
      <c r="X276" s="116"/>
      <c r="Y276" s="116"/>
      <c r="Z276" s="116"/>
      <c r="AA276" s="116"/>
      <c r="AB276" s="3"/>
    </row>
    <row r="277" spans="1:28" ht="20" x14ac:dyDescent="0.4">
      <c r="A277" s="57"/>
      <c r="B277" s="78"/>
      <c r="D277" s="67"/>
      <c r="E277" s="65"/>
      <c r="F277" s="65"/>
      <c r="G277" s="65"/>
      <c r="H277" s="65"/>
      <c r="I277" s="65"/>
      <c r="J277" s="65"/>
      <c r="K277" s="65"/>
      <c r="M277" s="119"/>
      <c r="S277" s="110"/>
      <c r="T277" s="57"/>
      <c r="X277" s="116"/>
      <c r="Y277" s="116"/>
      <c r="Z277" s="116"/>
      <c r="AA277" s="116"/>
      <c r="AB277" s="3"/>
    </row>
    <row r="278" spans="1:28" ht="20" x14ac:dyDescent="0.4">
      <c r="A278" s="57"/>
      <c r="D278" s="27"/>
      <c r="E278" s="67"/>
      <c r="F278" s="68"/>
      <c r="G278" s="68"/>
      <c r="H278" s="68"/>
      <c r="I278" s="68"/>
      <c r="J278" s="68"/>
      <c r="S278" s="110"/>
      <c r="T278" s="57"/>
      <c r="X278" s="116"/>
      <c r="Y278" s="116"/>
      <c r="Z278" s="116"/>
      <c r="AA278" s="116"/>
      <c r="AB278" s="3"/>
    </row>
    <row r="279" spans="1:28" ht="20" x14ac:dyDescent="0.4">
      <c r="A279" s="57"/>
      <c r="B279" s="12" t="s">
        <v>83</v>
      </c>
      <c r="C279" s="12"/>
      <c r="D279" s="38"/>
      <c r="E279" s="108">
        <f>E56/E$52</f>
        <v>-0.11196308580032172</v>
      </c>
      <c r="F279" s="104">
        <f ca="1">OFFSET(F279,$D$5,0)</f>
        <v>-0.11196308580032172</v>
      </c>
      <c r="G279" s="104">
        <f t="shared" ref="G279:J279" ca="1" si="227">OFFSET(G279,$D$5,0)</f>
        <v>-0.11196308580032172</v>
      </c>
      <c r="H279" s="104">
        <f t="shared" ca="1" si="227"/>
        <v>-0.11196308580032172</v>
      </c>
      <c r="I279" s="104">
        <f t="shared" ca="1" si="227"/>
        <v>-0.11196308580032172</v>
      </c>
      <c r="J279" s="104">
        <f t="shared" ca="1" si="227"/>
        <v>-0.11196308580032172</v>
      </c>
      <c r="S279" s="110"/>
      <c r="T279" s="57"/>
      <c r="X279" s="116"/>
      <c r="Y279" s="116"/>
      <c r="Z279" s="116"/>
      <c r="AA279" s="116"/>
      <c r="AB279" s="3"/>
    </row>
    <row r="280" spans="1:28" ht="20" x14ac:dyDescent="0.4">
      <c r="A280" s="57"/>
      <c r="B280" s="78" t="str">
        <f>$D$7</f>
        <v>Base</v>
      </c>
      <c r="C280" s="12"/>
      <c r="D280" s="38"/>
      <c r="E280" s="105">
        <f>E279</f>
        <v>-0.11196308580032172</v>
      </c>
      <c r="F280" s="105">
        <f>E280</f>
        <v>-0.11196308580032172</v>
      </c>
      <c r="G280" s="105">
        <f t="shared" ref="G280:J280" si="228">F280</f>
        <v>-0.11196308580032172</v>
      </c>
      <c r="H280" s="105">
        <f t="shared" si="228"/>
        <v>-0.11196308580032172</v>
      </c>
      <c r="I280" s="105">
        <f t="shared" si="228"/>
        <v>-0.11196308580032172</v>
      </c>
      <c r="J280" s="105">
        <f t="shared" si="228"/>
        <v>-0.11196308580032172</v>
      </c>
      <c r="M280" s="117" t="s">
        <v>117</v>
      </c>
      <c r="S280" s="110"/>
      <c r="T280" s="57"/>
      <c r="X280" s="116"/>
      <c r="Y280" s="116"/>
      <c r="Z280" s="116"/>
      <c r="AA280" s="116"/>
      <c r="AB280" s="3"/>
    </row>
    <row r="281" spans="1:28" ht="20" x14ac:dyDescent="0.4">
      <c r="A281" s="57"/>
      <c r="B281" s="78" t="str">
        <f>$D$8</f>
        <v>Upside</v>
      </c>
      <c r="C281" s="12"/>
      <c r="D281" s="38"/>
      <c r="E281" s="65"/>
      <c r="F281" s="120">
        <f>F280*$M$281</f>
        <v>-0.10076677722028955</v>
      </c>
      <c r="G281" s="120">
        <f t="shared" ref="G281:J281" si="229">G280*$M$281</f>
        <v>-0.10076677722028955</v>
      </c>
      <c r="H281" s="120">
        <f t="shared" si="229"/>
        <v>-0.10076677722028955</v>
      </c>
      <c r="I281" s="120">
        <f t="shared" si="229"/>
        <v>-0.10076677722028955</v>
      </c>
      <c r="J281" s="120">
        <f t="shared" si="229"/>
        <v>-0.10076677722028955</v>
      </c>
      <c r="M281" s="119">
        <v>0.9</v>
      </c>
      <c r="S281" s="110"/>
      <c r="T281" s="57"/>
      <c r="X281" s="116"/>
      <c r="Y281" s="116"/>
      <c r="Z281" s="116"/>
      <c r="AA281" s="116"/>
      <c r="AB281" s="3"/>
    </row>
    <row r="282" spans="1:28" ht="20" x14ac:dyDescent="0.4">
      <c r="A282" s="57"/>
      <c r="B282" s="78"/>
      <c r="D282" s="67"/>
      <c r="E282" s="65"/>
      <c r="F282" s="65"/>
      <c r="G282" s="65"/>
      <c r="H282" s="65"/>
      <c r="I282" s="65"/>
      <c r="J282" s="65"/>
      <c r="K282" s="65"/>
      <c r="M282" s="119"/>
      <c r="S282" s="110"/>
      <c r="T282" s="57"/>
      <c r="X282" s="116"/>
      <c r="Y282" s="116"/>
      <c r="Z282" s="116"/>
      <c r="AA282" s="116"/>
      <c r="AB282" s="3"/>
    </row>
    <row r="283" spans="1:28" ht="20" x14ac:dyDescent="0.4">
      <c r="A283" s="57"/>
      <c r="B283" s="39"/>
      <c r="C283" s="39"/>
      <c r="D283" s="40"/>
      <c r="E283" s="41"/>
      <c r="F283" s="41"/>
      <c r="G283" s="41"/>
      <c r="H283" s="41"/>
      <c r="I283" s="41"/>
      <c r="J283" s="41"/>
      <c r="S283" s="110"/>
      <c r="T283" s="57"/>
      <c r="X283" s="116"/>
      <c r="Y283" s="116"/>
      <c r="Z283" s="116"/>
      <c r="AA283" s="116"/>
      <c r="AB283" s="3"/>
    </row>
    <row r="284" spans="1:28" ht="20" x14ac:dyDescent="0.4">
      <c r="A284" s="57"/>
      <c r="B284" s="12" t="s">
        <v>84</v>
      </c>
      <c r="C284" s="12"/>
      <c r="D284" s="38"/>
      <c r="E284" s="108">
        <f>E58/E$52</f>
        <v>1.1655607588921778E-2</v>
      </c>
      <c r="F284" s="104">
        <f ca="1">OFFSET(F284,$D$5,0)</f>
        <v>1.1655607588921778E-2</v>
      </c>
      <c r="G284" s="104">
        <f t="shared" ref="G284:J284" ca="1" si="230">OFFSET(G284,$D$5,0)</f>
        <v>1.1655607588921778E-2</v>
      </c>
      <c r="H284" s="104">
        <f t="shared" ca="1" si="230"/>
        <v>1.1655607588921778E-2</v>
      </c>
      <c r="I284" s="104">
        <f t="shared" ca="1" si="230"/>
        <v>1.1655607588921778E-2</v>
      </c>
      <c r="J284" s="104">
        <f t="shared" ca="1" si="230"/>
        <v>1.1655607588921778E-2</v>
      </c>
      <c r="S284" s="110"/>
      <c r="T284" s="57"/>
      <c r="X284" s="116"/>
      <c r="Y284" s="116"/>
      <c r="Z284" s="116"/>
      <c r="AA284" s="116"/>
      <c r="AB284" s="3"/>
    </row>
    <row r="285" spans="1:28" ht="20" x14ac:dyDescent="0.4">
      <c r="A285" s="57"/>
      <c r="B285" s="78" t="str">
        <f>$D$7</f>
        <v>Base</v>
      </c>
      <c r="C285" s="12"/>
      <c r="D285" s="38"/>
      <c r="E285" s="105">
        <f>E284</f>
        <v>1.1655607588921778E-2</v>
      </c>
      <c r="F285" s="105">
        <f>E285</f>
        <v>1.1655607588921778E-2</v>
      </c>
      <c r="G285" s="105">
        <f t="shared" ref="G285:J285" si="231">F285</f>
        <v>1.1655607588921778E-2</v>
      </c>
      <c r="H285" s="105">
        <f t="shared" si="231"/>
        <v>1.1655607588921778E-2</v>
      </c>
      <c r="I285" s="105">
        <f t="shared" si="231"/>
        <v>1.1655607588921778E-2</v>
      </c>
      <c r="J285" s="105">
        <f t="shared" si="231"/>
        <v>1.1655607588921778E-2</v>
      </c>
      <c r="M285" s="117" t="s">
        <v>117</v>
      </c>
      <c r="S285" s="110"/>
      <c r="T285" s="57"/>
      <c r="X285" s="116"/>
      <c r="Y285" s="116"/>
      <c r="Z285" s="116"/>
      <c r="AA285" s="116"/>
      <c r="AB285" s="3"/>
    </row>
    <row r="286" spans="1:28" ht="20" x14ac:dyDescent="0.4">
      <c r="A286" s="57"/>
      <c r="B286" s="78" t="str">
        <f>$D$8</f>
        <v>Upside</v>
      </c>
      <c r="C286" s="12"/>
      <c r="D286" s="38"/>
      <c r="E286" s="65"/>
      <c r="F286" s="120">
        <f>F285*$M$286</f>
        <v>1.1655607588921778E-2</v>
      </c>
      <c r="G286" s="120">
        <f t="shared" ref="G286:J286" si="232">G285*$M$286</f>
        <v>1.1655607588921778E-2</v>
      </c>
      <c r="H286" s="120">
        <f t="shared" si="232"/>
        <v>1.1655607588921778E-2</v>
      </c>
      <c r="I286" s="120">
        <f t="shared" si="232"/>
        <v>1.1655607588921778E-2</v>
      </c>
      <c r="J286" s="120">
        <f t="shared" si="232"/>
        <v>1.1655607588921778E-2</v>
      </c>
      <c r="M286" s="119">
        <v>1</v>
      </c>
      <c r="S286" s="110"/>
      <c r="T286" s="57"/>
      <c r="X286" s="116"/>
      <c r="Y286" s="116"/>
      <c r="Z286" s="116"/>
      <c r="AA286" s="116"/>
      <c r="AB286" s="3"/>
    </row>
    <row r="287" spans="1:28" ht="20" x14ac:dyDescent="0.4">
      <c r="A287" s="57"/>
      <c r="B287" s="78"/>
      <c r="D287" s="67"/>
      <c r="E287" s="65"/>
      <c r="F287" s="65"/>
      <c r="G287" s="65"/>
      <c r="H287" s="65"/>
      <c r="I287" s="65"/>
      <c r="J287" s="65"/>
      <c r="K287" s="65"/>
      <c r="M287" s="119"/>
      <c r="S287" s="110"/>
      <c r="T287" s="57"/>
      <c r="X287" s="116"/>
      <c r="Y287" s="116"/>
      <c r="Z287" s="116"/>
      <c r="AA287" s="116"/>
      <c r="AB287" s="3"/>
    </row>
    <row r="288" spans="1:28" ht="20" x14ac:dyDescent="0.4">
      <c r="A288" s="57"/>
      <c r="B288" s="39"/>
      <c r="C288" s="39"/>
      <c r="D288" s="40"/>
      <c r="E288" s="42"/>
      <c r="F288" s="42"/>
      <c r="G288" s="42"/>
      <c r="H288" s="42"/>
      <c r="I288" s="42"/>
      <c r="J288" s="42"/>
      <c r="S288" s="110"/>
      <c r="T288" s="57"/>
      <c r="X288" s="116"/>
      <c r="Y288" s="116"/>
      <c r="Z288" s="116"/>
      <c r="AA288" s="116"/>
      <c r="AB288" s="3"/>
    </row>
    <row r="289" spans="1:31" ht="20" x14ac:dyDescent="0.4">
      <c r="A289" s="57"/>
      <c r="B289" s="12" t="s">
        <v>69</v>
      </c>
      <c r="C289" s="12"/>
      <c r="D289" s="38"/>
      <c r="E289" s="108">
        <f>E62/E61</f>
        <v>-0.30626008726976262</v>
      </c>
      <c r="F289" s="104">
        <f ca="1">OFFSET(F289,$D$5,0)</f>
        <v>-0.30626008726976262</v>
      </c>
      <c r="G289" s="104">
        <f t="shared" ref="G289:J289" ca="1" si="233">OFFSET(G289,$D$5,0)</f>
        <v>-0.30626008726976262</v>
      </c>
      <c r="H289" s="104">
        <f t="shared" ca="1" si="233"/>
        <v>-0.30626008726976262</v>
      </c>
      <c r="I289" s="104">
        <f t="shared" ca="1" si="233"/>
        <v>-0.30626008726976262</v>
      </c>
      <c r="J289" s="104">
        <f t="shared" ca="1" si="233"/>
        <v>-0.30626008726976262</v>
      </c>
      <c r="S289" s="110"/>
      <c r="T289" s="57"/>
      <c r="X289" s="116"/>
      <c r="Y289" s="116"/>
      <c r="Z289" s="116"/>
      <c r="AA289" s="116"/>
      <c r="AB289" s="3"/>
    </row>
    <row r="290" spans="1:31" ht="20" x14ac:dyDescent="0.4">
      <c r="A290" s="57"/>
      <c r="B290" s="78" t="str">
        <f>$D$7</f>
        <v>Base</v>
      </c>
      <c r="C290" s="12"/>
      <c r="D290" s="38"/>
      <c r="E290" s="105">
        <f>E289</f>
        <v>-0.30626008726976262</v>
      </c>
      <c r="F290" s="105">
        <f>E290</f>
        <v>-0.30626008726976262</v>
      </c>
      <c r="G290" s="105">
        <f t="shared" ref="G290:J290" si="234">F290</f>
        <v>-0.30626008726976262</v>
      </c>
      <c r="H290" s="105">
        <f t="shared" si="234"/>
        <v>-0.30626008726976262</v>
      </c>
      <c r="I290" s="105">
        <f t="shared" si="234"/>
        <v>-0.30626008726976262</v>
      </c>
      <c r="J290" s="105">
        <f t="shared" si="234"/>
        <v>-0.30626008726976262</v>
      </c>
      <c r="M290" s="117" t="s">
        <v>117</v>
      </c>
      <c r="S290" s="110"/>
      <c r="T290" s="57"/>
      <c r="X290" s="116"/>
      <c r="Y290" s="116"/>
      <c r="Z290" s="116"/>
      <c r="AA290" s="116"/>
      <c r="AB290" s="3"/>
    </row>
    <row r="291" spans="1:31" ht="20" x14ac:dyDescent="0.4">
      <c r="A291" s="57"/>
      <c r="B291" s="78" t="str">
        <f>$D$8</f>
        <v>Upside</v>
      </c>
      <c r="C291" s="12"/>
      <c r="D291" s="38"/>
      <c r="E291" s="65"/>
      <c r="F291" s="120">
        <f>F290*$M$291</f>
        <v>-0.24500806981581011</v>
      </c>
      <c r="G291" s="120">
        <f t="shared" ref="G291:J291" si="235">G290*$M$291</f>
        <v>-0.24500806981581011</v>
      </c>
      <c r="H291" s="120">
        <f t="shared" si="235"/>
        <v>-0.24500806981581011</v>
      </c>
      <c r="I291" s="120">
        <f t="shared" si="235"/>
        <v>-0.24500806981581011</v>
      </c>
      <c r="J291" s="120">
        <f t="shared" si="235"/>
        <v>-0.24500806981581011</v>
      </c>
      <c r="M291" s="119">
        <v>0.8</v>
      </c>
      <c r="S291" s="110"/>
      <c r="T291" s="57"/>
      <c r="X291" s="116"/>
      <c r="Y291" s="116"/>
      <c r="Z291" s="116"/>
      <c r="AA291" s="116"/>
      <c r="AB291" s="3"/>
    </row>
    <row r="292" spans="1:31" ht="20" x14ac:dyDescent="0.4">
      <c r="A292" s="57"/>
      <c r="B292" s="78"/>
      <c r="D292" s="67"/>
      <c r="E292" s="65"/>
      <c r="F292" s="65"/>
      <c r="G292" s="65"/>
      <c r="H292" s="65"/>
      <c r="I292" s="65"/>
      <c r="J292" s="65"/>
      <c r="K292" s="65"/>
      <c r="M292" s="119"/>
      <c r="S292" s="110"/>
      <c r="T292" s="57"/>
      <c r="X292" s="116"/>
      <c r="Y292" s="116"/>
      <c r="Z292" s="116"/>
      <c r="AA292" s="116"/>
      <c r="AB292" s="3"/>
    </row>
    <row r="293" spans="1:31" s="12" customFormat="1" ht="20" x14ac:dyDescent="0.4">
      <c r="A293" s="59"/>
      <c r="B293" s="3"/>
      <c r="C293" s="3"/>
      <c r="D293" s="27"/>
      <c r="E293" s="45"/>
      <c r="F293" s="45"/>
      <c r="G293" s="45"/>
      <c r="H293" s="45"/>
      <c r="I293" s="45"/>
      <c r="J293" s="45"/>
      <c r="K293"/>
      <c r="L293" s="3"/>
      <c r="M293" s="3"/>
      <c r="N293" s="3"/>
      <c r="O293" s="3"/>
      <c r="P293" s="3"/>
      <c r="Q293" s="3"/>
      <c r="R293" s="3"/>
      <c r="S293" s="3"/>
      <c r="T293" s="57"/>
      <c r="U293" s="55"/>
      <c r="V293" s="55"/>
      <c r="W293" s="60"/>
      <c r="X293" s="116"/>
      <c r="Y293" s="116"/>
      <c r="Z293" s="116"/>
      <c r="AA293" s="116"/>
      <c r="AB293" s="3"/>
      <c r="AC293" s="3"/>
      <c r="AD293" s="3"/>
      <c r="AE293" s="3"/>
    </row>
    <row r="294" spans="1:31" ht="24" x14ac:dyDescent="0.8">
      <c r="A294" s="57"/>
      <c r="D294" s="58" t="str">
        <f>D$11</f>
        <v>Historical</v>
      </c>
      <c r="E294" s="58"/>
      <c r="F294" s="58" t="str">
        <f>F$11</f>
        <v>Forecast</v>
      </c>
      <c r="G294" s="58"/>
      <c r="H294" s="58"/>
      <c r="I294" s="58"/>
      <c r="J294" s="58"/>
      <c r="P294" s="161"/>
      <c r="T294" s="57"/>
      <c r="W294" s="60"/>
      <c r="X294" s="150"/>
      <c r="Y294" s="150"/>
      <c r="Z294" s="150"/>
      <c r="AA294" s="150"/>
    </row>
    <row r="295" spans="1:31" ht="20.5" thickBot="1" x14ac:dyDescent="0.45">
      <c r="A295" s="57" t="s">
        <v>66</v>
      </c>
      <c r="B295" s="4" t="s">
        <v>118</v>
      </c>
      <c r="C295" s="4"/>
      <c r="D295" s="74">
        <f t="shared" ref="D295:J295" si="236">D$12</f>
        <v>2019</v>
      </c>
      <c r="E295" s="74">
        <f t="shared" si="236"/>
        <v>2020</v>
      </c>
      <c r="F295" s="74">
        <f t="shared" si="236"/>
        <v>2021</v>
      </c>
      <c r="G295" s="74">
        <f t="shared" si="236"/>
        <v>2022</v>
      </c>
      <c r="H295" s="74">
        <f t="shared" si="236"/>
        <v>2023</v>
      </c>
      <c r="I295" s="74">
        <f t="shared" si="236"/>
        <v>2024</v>
      </c>
      <c r="J295" s="74">
        <f t="shared" si="236"/>
        <v>2025</v>
      </c>
      <c r="P295" s="161"/>
      <c r="T295" s="57"/>
      <c r="W295" s="60"/>
      <c r="X295" s="150"/>
      <c r="Y295" s="150"/>
      <c r="Z295" s="150"/>
      <c r="AA295" s="150"/>
    </row>
    <row r="296" spans="1:31" ht="20" x14ac:dyDescent="0.4">
      <c r="A296" s="57"/>
      <c r="B296" s="3" t="s">
        <v>183</v>
      </c>
      <c r="E296" s="171">
        <v>44196</v>
      </c>
      <c r="F296" s="188"/>
      <c r="G296" s="188"/>
      <c r="H296" s="188"/>
      <c r="I296" s="188"/>
      <c r="J296" s="188"/>
      <c r="P296" s="161"/>
      <c r="T296" s="57"/>
      <c r="W296" s="60"/>
      <c r="X296" s="150"/>
      <c r="Y296" s="150"/>
      <c r="Z296" s="150"/>
      <c r="AA296" s="150"/>
    </row>
    <row r="297" spans="1:31" ht="20" x14ac:dyDescent="0.4">
      <c r="A297" s="57"/>
      <c r="B297" s="123" t="s">
        <v>172</v>
      </c>
      <c r="C297" s="123"/>
      <c r="D297" s="124"/>
      <c r="E297" s="124"/>
      <c r="F297" s="142">
        <f ca="1">F124</f>
        <v>204.30699865062667</v>
      </c>
      <c r="G297" s="142">
        <f t="shared" ref="G297:J297" ca="1" si="237">G124</f>
        <v>232.6490916928945</v>
      </c>
      <c r="H297" s="142">
        <f t="shared" ca="1" si="237"/>
        <v>263.68380524501561</v>
      </c>
      <c r="I297" s="142">
        <f t="shared" ca="1" si="237"/>
        <v>298.57760622298497</v>
      </c>
      <c r="J297" s="142">
        <f t="shared" ca="1" si="237"/>
        <v>339.66300050811088</v>
      </c>
      <c r="P297" s="161"/>
      <c r="T297" s="57"/>
      <c r="W297" s="60"/>
      <c r="X297" s="150"/>
      <c r="Y297" s="150"/>
      <c r="Z297" s="150"/>
      <c r="AA297" s="150"/>
    </row>
    <row r="298" spans="1:31" ht="20" x14ac:dyDescent="0.4">
      <c r="A298" s="57"/>
      <c r="B298" s="123"/>
      <c r="C298" s="123"/>
      <c r="D298" s="124"/>
      <c r="E298" s="124"/>
      <c r="F298" s="124"/>
      <c r="G298" s="124"/>
      <c r="H298" s="124"/>
      <c r="I298" s="124"/>
      <c r="J298" s="124"/>
      <c r="M298" s="162" t="s">
        <v>182</v>
      </c>
      <c r="P298" s="161"/>
      <c r="T298" s="57"/>
      <c r="W298" s="60"/>
      <c r="X298" s="150"/>
      <c r="Y298" s="150"/>
      <c r="Z298" s="150"/>
      <c r="AA298" s="150"/>
    </row>
    <row r="299" spans="1:31" ht="20.5" x14ac:dyDescent="0.45">
      <c r="A299" s="57"/>
      <c r="B299" s="3" t="s">
        <v>119</v>
      </c>
      <c r="E299" s="186"/>
      <c r="F299" s="169">
        <f>M299</f>
        <v>0.5</v>
      </c>
      <c r="G299" s="170">
        <f>F299+1</f>
        <v>1.5</v>
      </c>
      <c r="H299" s="170">
        <f t="shared" ref="H299:J299" si="238">G299+1</f>
        <v>2.5</v>
      </c>
      <c r="I299" s="170">
        <f t="shared" si="238"/>
        <v>3.5</v>
      </c>
      <c r="J299" s="170">
        <f t="shared" si="238"/>
        <v>4.5</v>
      </c>
      <c r="M299" s="273">
        <v>0.5</v>
      </c>
      <c r="T299" s="57"/>
      <c r="W299" s="60"/>
      <c r="X299" s="150"/>
      <c r="Y299" s="150"/>
      <c r="Z299" s="150"/>
      <c r="AA299" s="150"/>
    </row>
    <row r="300" spans="1:31" ht="20" x14ac:dyDescent="0.4">
      <c r="A300" s="57"/>
      <c r="B300" s="3" t="s">
        <v>155</v>
      </c>
      <c r="D300" s="168"/>
      <c r="E300" s="157">
        <f>E334</f>
        <v>8.9710685416529476E-2</v>
      </c>
      <c r="F300" s="146">
        <f>E300</f>
        <v>8.9710685416529476E-2</v>
      </c>
      <c r="G300" s="146">
        <f t="shared" ref="G300:J300" si="239">F300</f>
        <v>8.9710685416529476E-2</v>
      </c>
      <c r="H300" s="146">
        <f t="shared" si="239"/>
        <v>8.9710685416529476E-2</v>
      </c>
      <c r="I300" s="146">
        <f t="shared" si="239"/>
        <v>8.9710685416529476E-2</v>
      </c>
      <c r="J300" s="146">
        <f t="shared" si="239"/>
        <v>8.9710685416529476E-2</v>
      </c>
      <c r="T300" s="57"/>
      <c r="W300" s="60"/>
      <c r="X300" s="150"/>
      <c r="Y300" s="150"/>
      <c r="Z300" s="150"/>
      <c r="AA300" s="150"/>
    </row>
    <row r="301" spans="1:31" ht="20" x14ac:dyDescent="0.4">
      <c r="A301" s="57"/>
      <c r="B301" s="151" t="s">
        <v>180</v>
      </c>
      <c r="C301" s="151"/>
      <c r="D301" s="151"/>
      <c r="E301" s="151"/>
      <c r="F301" s="154">
        <f>1/(1+F300)^F299</f>
        <v>0.95795342663847516</v>
      </c>
      <c r="G301" s="154">
        <f t="shared" ref="G301:J301" si="240">1/(1+G300)^G299</f>
        <v>0.87908968817012967</v>
      </c>
      <c r="H301" s="154">
        <f t="shared" si="240"/>
        <v>0.80671842529846127</v>
      </c>
      <c r="I301" s="154">
        <f t="shared" si="240"/>
        <v>0.74030514346117693</v>
      </c>
      <c r="J301" s="154">
        <f t="shared" si="240"/>
        <v>0.67935935048503604</v>
      </c>
      <c r="T301" s="57"/>
      <c r="W301" s="60"/>
      <c r="X301" s="150"/>
      <c r="Y301" s="150"/>
      <c r="Z301" s="150"/>
      <c r="AA301" s="150"/>
    </row>
    <row r="302" spans="1:31" ht="20" x14ac:dyDescent="0.4">
      <c r="A302" s="57"/>
      <c r="E302" s="126"/>
      <c r="F302" s="126"/>
      <c r="G302" s="126"/>
      <c r="H302" s="126"/>
      <c r="I302" s="126"/>
      <c r="J302" s="126"/>
      <c r="T302" s="57"/>
      <c r="W302" s="60"/>
      <c r="X302" s="150"/>
      <c r="Y302" s="150"/>
      <c r="Z302" s="150"/>
      <c r="AA302" s="150"/>
    </row>
    <row r="303" spans="1:31" ht="20" x14ac:dyDescent="0.4">
      <c r="A303" s="57"/>
      <c r="B303" s="3" t="s">
        <v>171</v>
      </c>
      <c r="F303" s="99">
        <f ca="1">F301*F297</f>
        <v>195.71658944359012</v>
      </c>
      <c r="G303" s="99">
        <f t="shared" ref="G303:J303" ca="1" si="241">G301*G297</f>
        <v>204.51941746937052</v>
      </c>
      <c r="H303" s="99">
        <f t="shared" ca="1" si="241"/>
        <v>212.71858414396513</v>
      </c>
      <c r="I303" s="99">
        <f t="shared" ca="1" si="241"/>
        <v>221.03853760920168</v>
      </c>
      <c r="J303" s="99">
        <f t="shared" ca="1" si="241"/>
        <v>230.75323540898867</v>
      </c>
      <c r="T303" s="57"/>
      <c r="W303" s="60"/>
      <c r="X303" s="150"/>
      <c r="Y303" s="150"/>
      <c r="Z303" s="150"/>
      <c r="AA303" s="150"/>
    </row>
    <row r="304" spans="1:31" ht="20" x14ac:dyDescent="0.4">
      <c r="A304" s="57"/>
      <c r="B304" s="134"/>
      <c r="F304" s="163"/>
      <c r="G304" s="163"/>
      <c r="H304" s="163"/>
      <c r="I304" s="163"/>
      <c r="J304" s="163"/>
      <c r="T304" s="57"/>
      <c r="W304" s="60"/>
      <c r="X304" s="150"/>
      <c r="Y304" s="150"/>
      <c r="Z304" s="150"/>
      <c r="AA304" s="150"/>
    </row>
    <row r="305" spans="1:27" ht="20" x14ac:dyDescent="0.4">
      <c r="A305" s="57"/>
      <c r="B305" s="3" t="s">
        <v>156</v>
      </c>
      <c r="E305" s="99">
        <f ca="1">SUM(F303:J303)</f>
        <v>1064.7463640751162</v>
      </c>
      <c r="T305" s="57"/>
      <c r="W305" s="60"/>
      <c r="X305" s="150"/>
      <c r="Y305" s="150"/>
      <c r="Z305" s="150"/>
      <c r="AA305" s="150"/>
    </row>
    <row r="306" spans="1:27" ht="20" x14ac:dyDescent="0.4">
      <c r="A306" s="57"/>
      <c r="B306" s="3" t="s">
        <v>157</v>
      </c>
      <c r="C306" s="12"/>
      <c r="D306" s="12"/>
      <c r="E306" s="97">
        <f ca="1">E348</f>
        <v>3376.3590002137466</v>
      </c>
      <c r="T306" s="57"/>
      <c r="W306" s="60"/>
      <c r="X306" s="150"/>
      <c r="Y306" s="150"/>
      <c r="Z306" s="150"/>
      <c r="AA306" s="150"/>
    </row>
    <row r="307" spans="1:27" ht="20" x14ac:dyDescent="0.4">
      <c r="A307" s="57"/>
      <c r="B307" s="151" t="s">
        <v>120</v>
      </c>
      <c r="C307" s="39"/>
      <c r="D307" s="39"/>
      <c r="E307" s="95">
        <f ca="1">SUM(E305:E306)</f>
        <v>4441.1053642888628</v>
      </c>
      <c r="T307" s="57"/>
      <c r="W307" s="60"/>
      <c r="X307" s="150"/>
      <c r="Y307" s="150"/>
      <c r="Z307" s="150"/>
      <c r="AA307" s="150"/>
    </row>
    <row r="308" spans="1:27" ht="20" x14ac:dyDescent="0.4">
      <c r="A308" s="57"/>
      <c r="B308" s="3" t="s">
        <v>158</v>
      </c>
      <c r="E308" s="99">
        <f>-J326</f>
        <v>-746.59094709243288</v>
      </c>
      <c r="T308" s="57"/>
      <c r="W308" s="60"/>
      <c r="X308" s="150"/>
      <c r="Y308" s="150"/>
      <c r="Z308" s="150"/>
      <c r="AA308" s="150"/>
    </row>
    <row r="309" spans="1:27" ht="20" x14ac:dyDescent="0.4">
      <c r="A309" s="57"/>
      <c r="B309" s="12" t="s">
        <v>159</v>
      </c>
      <c r="C309" s="12"/>
      <c r="D309" s="12"/>
      <c r="E309" s="97">
        <f>E15</f>
        <v>447.79051664437173</v>
      </c>
      <c r="T309" s="57"/>
      <c r="W309" s="60"/>
      <c r="X309" s="150"/>
      <c r="Y309" s="150"/>
      <c r="Z309" s="150"/>
      <c r="AA309" s="150"/>
    </row>
    <row r="310" spans="1:27" ht="20" x14ac:dyDescent="0.4">
      <c r="A310" s="57"/>
      <c r="B310" s="39" t="s">
        <v>121</v>
      </c>
      <c r="C310" s="39"/>
      <c r="D310" s="39"/>
      <c r="E310" s="95">
        <f ca="1">SUM(E307:E309)</f>
        <v>4142.3049338408018</v>
      </c>
      <c r="T310" s="57"/>
      <c r="W310" s="60"/>
      <c r="X310" s="150"/>
      <c r="Y310" s="150"/>
      <c r="Z310" s="150"/>
      <c r="AA310" s="150"/>
    </row>
    <row r="311" spans="1:27" ht="20" x14ac:dyDescent="0.4">
      <c r="A311" s="57"/>
      <c r="B311" s="3" t="s">
        <v>160</v>
      </c>
      <c r="C311" s="12"/>
      <c r="D311" s="12"/>
      <c r="E311" s="152" t="e">
        <f ca="1">E354</f>
        <v>#DIV/0!</v>
      </c>
      <c r="T311" s="57"/>
      <c r="W311" s="60"/>
      <c r="X311" s="150"/>
      <c r="Y311" s="150"/>
      <c r="Z311" s="150"/>
      <c r="AA311" s="150"/>
    </row>
    <row r="312" spans="1:27" ht="20" x14ac:dyDescent="0.4">
      <c r="A312" s="57"/>
      <c r="B312" s="151" t="s">
        <v>122</v>
      </c>
      <c r="C312" s="39"/>
      <c r="D312" s="39"/>
      <c r="E312" s="192" t="e">
        <f ca="1">E310/E311</f>
        <v>#DIV/0!</v>
      </c>
      <c r="T312" s="57"/>
      <c r="W312" s="60"/>
      <c r="X312" s="150"/>
      <c r="Y312" s="150"/>
      <c r="Z312" s="150"/>
      <c r="AA312" s="150"/>
    </row>
    <row r="313" spans="1:27" ht="20" x14ac:dyDescent="0.4">
      <c r="A313" s="57"/>
      <c r="B313" s="3" t="s">
        <v>123</v>
      </c>
      <c r="E313" s="128">
        <v>69.959999999999994</v>
      </c>
      <c r="G313" s="129"/>
      <c r="H313" s="50"/>
      <c r="T313" s="57"/>
      <c r="W313" s="60"/>
      <c r="X313" s="150"/>
      <c r="Y313" s="150"/>
      <c r="Z313" s="150"/>
      <c r="AA313" s="150"/>
    </row>
    <row r="314" spans="1:27" ht="20" x14ac:dyDescent="0.4">
      <c r="A314" s="57"/>
      <c r="B314" s="36" t="s">
        <v>161</v>
      </c>
      <c r="C314" s="36"/>
      <c r="D314" s="36"/>
      <c r="E314" s="143" t="e">
        <f ca="1">(E312/E313)-1</f>
        <v>#DIV/0!</v>
      </c>
      <c r="T314" s="57"/>
      <c r="W314" s="60"/>
      <c r="X314" s="150"/>
      <c r="Y314" s="150"/>
      <c r="Z314" s="150"/>
      <c r="AA314" s="150"/>
    </row>
    <row r="315" spans="1:27" ht="20" x14ac:dyDescent="0.4">
      <c r="A315" s="57"/>
      <c r="B315" s="3" t="s">
        <v>302</v>
      </c>
      <c r="E315" s="246">
        <v>0</v>
      </c>
      <c r="F315" s="3" t="s">
        <v>252</v>
      </c>
      <c r="T315" s="57"/>
      <c r="W315" s="60"/>
      <c r="X315" s="150"/>
      <c r="Y315" s="150"/>
      <c r="Z315" s="150"/>
      <c r="AA315" s="150"/>
    </row>
    <row r="316" spans="1:27" ht="20" x14ac:dyDescent="0.4">
      <c r="A316" s="57"/>
      <c r="C316" s="44"/>
      <c r="F316" s="109"/>
      <c r="T316" s="57"/>
      <c r="W316" s="60"/>
      <c r="X316" s="150"/>
      <c r="Y316" s="150"/>
      <c r="Z316" s="150"/>
      <c r="AA316" s="150"/>
    </row>
    <row r="317" spans="1:27" ht="20" x14ac:dyDescent="0.4">
      <c r="A317" s="57"/>
      <c r="B317" s="44" t="s">
        <v>124</v>
      </c>
      <c r="C317" s="44"/>
      <c r="F317" s="109"/>
      <c r="T317" s="57"/>
      <c r="W317" s="60"/>
      <c r="X317" s="150"/>
      <c r="Y317" s="150"/>
      <c r="Z317" s="150"/>
      <c r="AA317" s="150"/>
    </row>
    <row r="318" spans="1:27" ht="20" x14ac:dyDescent="0.4">
      <c r="A318" s="57"/>
      <c r="B318" s="44" t="s">
        <v>125</v>
      </c>
      <c r="C318" s="44"/>
      <c r="F318" s="109"/>
      <c r="T318" s="57"/>
      <c r="W318" s="60"/>
      <c r="X318" s="150"/>
      <c r="Y318" s="150"/>
      <c r="Z318" s="150"/>
      <c r="AA318" s="150"/>
    </row>
    <row r="319" spans="1:27" ht="20" x14ac:dyDescent="0.4">
      <c r="A319" s="57"/>
      <c r="B319" s="3" t="s">
        <v>126</v>
      </c>
      <c r="E319" s="130">
        <v>8.7851362933460922E-2</v>
      </c>
      <c r="F319" s="109"/>
      <c r="T319" s="57"/>
      <c r="W319" s="60"/>
      <c r="X319" s="150"/>
      <c r="Y319" s="150"/>
      <c r="Z319" s="150"/>
      <c r="AA319" s="150"/>
    </row>
    <row r="320" spans="1:27" ht="20" x14ac:dyDescent="0.4">
      <c r="A320" s="57"/>
      <c r="B320" s="3" t="s">
        <v>127</v>
      </c>
      <c r="E320" s="130">
        <v>1.2232038693366865E-2</v>
      </c>
      <c r="F320" s="109"/>
      <c r="T320" s="57"/>
      <c r="W320" s="60"/>
      <c r="X320" s="150"/>
      <c r="Y320" s="150"/>
      <c r="Z320" s="150"/>
      <c r="AA320" s="150"/>
    </row>
    <row r="321" spans="1:27" ht="20" x14ac:dyDescent="0.4">
      <c r="A321" s="57"/>
      <c r="B321" s="151" t="s">
        <v>162</v>
      </c>
      <c r="C321" s="151"/>
      <c r="D321" s="151"/>
      <c r="E321" s="154">
        <f>E319-E320</f>
        <v>7.5619324240094057E-2</v>
      </c>
      <c r="T321" s="57"/>
      <c r="W321" s="60"/>
      <c r="X321" s="150"/>
      <c r="Y321" s="150"/>
      <c r="Z321" s="150"/>
      <c r="AA321" s="150"/>
    </row>
    <row r="322" spans="1:27" ht="20" x14ac:dyDescent="0.4">
      <c r="A322" s="57"/>
      <c r="B322" s="3" t="s">
        <v>163</v>
      </c>
      <c r="E322" s="131">
        <v>1.1315634790187505</v>
      </c>
      <c r="T322" s="57"/>
      <c r="W322" s="60"/>
      <c r="X322" s="150"/>
      <c r="Y322" s="150"/>
      <c r="Z322" s="150"/>
      <c r="AA322" s="150"/>
    </row>
    <row r="323" spans="1:27" ht="20" x14ac:dyDescent="0.4">
      <c r="A323" s="57"/>
      <c r="B323" s="151" t="s">
        <v>164</v>
      </c>
      <c r="C323" s="151"/>
      <c r="D323" s="151"/>
      <c r="E323" s="154">
        <f>E322*E321</f>
        <v>8.5568065618167766E-2</v>
      </c>
      <c r="F323" s="45" t="e" cm="1">
        <f t="array" aca="1" ref="F323" ca="1">sum+J303</f>
        <v>#NAME?</v>
      </c>
      <c r="T323" s="57"/>
      <c r="W323" s="60"/>
      <c r="X323" s="150"/>
      <c r="Y323" s="150"/>
      <c r="Z323" s="150"/>
      <c r="AA323" s="150"/>
    </row>
    <row r="324" spans="1:27" ht="20" x14ac:dyDescent="0.4">
      <c r="A324" s="57"/>
      <c r="B324" s="12" t="str">
        <f>"(+) "&amp;B320</f>
        <v>(+) Risk Free Rate</v>
      </c>
      <c r="C324" s="12"/>
      <c r="D324" s="12"/>
      <c r="E324" s="105">
        <f>E320</f>
        <v>1.2232038693366865E-2</v>
      </c>
      <c r="T324" s="57"/>
      <c r="W324" s="60"/>
      <c r="X324" s="150"/>
      <c r="Y324" s="150"/>
      <c r="Z324" s="150"/>
      <c r="AA324" s="150"/>
    </row>
    <row r="325" spans="1:27" ht="20" x14ac:dyDescent="0.4">
      <c r="A325" s="57"/>
      <c r="B325" s="39" t="s">
        <v>128</v>
      </c>
      <c r="C325" s="39"/>
      <c r="D325" s="39"/>
      <c r="E325" s="153">
        <f>E323+E324</f>
        <v>9.780010431153463E-2</v>
      </c>
      <c r="G325" s="114" t="s">
        <v>186</v>
      </c>
      <c r="H325" s="114" t="s">
        <v>187</v>
      </c>
      <c r="J325" s="114" t="s">
        <v>190</v>
      </c>
      <c r="T325" s="57"/>
      <c r="W325" s="60"/>
      <c r="X325" s="150"/>
      <c r="Y325" s="150"/>
      <c r="Z325" s="150"/>
      <c r="AA325" s="150"/>
    </row>
    <row r="326" spans="1:27" ht="20" x14ac:dyDescent="0.4">
      <c r="A326" s="57"/>
      <c r="F326" s="189" t="s">
        <v>189</v>
      </c>
      <c r="G326" s="191">
        <f>E30</f>
        <v>211.14297554389427</v>
      </c>
      <c r="H326" s="191">
        <f>E35</f>
        <v>535.44797154853859</v>
      </c>
      <c r="I326" s="191"/>
      <c r="J326" s="45">
        <f>SUM(G326:I326)</f>
        <v>746.59094709243288</v>
      </c>
      <c r="T326" s="57"/>
      <c r="W326" s="60"/>
      <c r="X326" s="150"/>
      <c r="Y326" s="150"/>
      <c r="Z326" s="150"/>
      <c r="AA326" s="150"/>
    </row>
    <row r="327" spans="1:27" ht="20" x14ac:dyDescent="0.4">
      <c r="A327" s="57"/>
      <c r="B327" s="3" t="s">
        <v>129</v>
      </c>
      <c r="E327" s="147">
        <f>((E152*F154)+(E163*F165))/SUM(E152,E163)</f>
        <v>6.4420416348953333E-2</v>
      </c>
      <c r="F327" s="189" t="s">
        <v>188</v>
      </c>
      <c r="G327" s="190">
        <f>F154</f>
        <v>4.6847304559691522E-2</v>
      </c>
      <c r="H327" s="190">
        <f>F165</f>
        <v>7.1350014199552114E-2</v>
      </c>
      <c r="I327" s="190"/>
      <c r="J327" s="110"/>
      <c r="T327" s="57"/>
      <c r="W327" s="60"/>
      <c r="X327" s="150"/>
      <c r="Y327" s="150"/>
      <c r="Z327" s="150"/>
      <c r="AA327" s="150"/>
    </row>
    <row r="328" spans="1:27" ht="20" x14ac:dyDescent="0.4">
      <c r="A328" s="57"/>
      <c r="B328" s="44" t="s">
        <v>130</v>
      </c>
      <c r="C328" s="44"/>
      <c r="E328" s="164" t="s">
        <v>173</v>
      </c>
      <c r="F328" s="164" t="s">
        <v>174</v>
      </c>
      <c r="G328" s="164" t="s">
        <v>175</v>
      </c>
      <c r="T328" s="57"/>
      <c r="W328" s="60"/>
      <c r="X328" s="150"/>
      <c r="Y328" s="150"/>
      <c r="Z328" s="150"/>
      <c r="AA328" s="150"/>
    </row>
    <row r="329" spans="1:27" ht="20" x14ac:dyDescent="0.4">
      <c r="A329" s="57"/>
      <c r="B329" s="3" t="s">
        <v>131</v>
      </c>
      <c r="E329" s="146">
        <f>G329</f>
        <v>0.84768297009070581</v>
      </c>
      <c r="F329" s="96">
        <f>E313*E351</f>
        <v>4154.9683042731731</v>
      </c>
      <c r="G329" s="145">
        <f>F329/F331</f>
        <v>0.84768297009070581</v>
      </c>
      <c r="H329" s="3" t="s">
        <v>235</v>
      </c>
      <c r="T329" s="57"/>
      <c r="W329" s="60"/>
      <c r="X329" s="150"/>
      <c r="Y329" s="150"/>
      <c r="Z329" s="150"/>
      <c r="AA329" s="150"/>
    </row>
    <row r="330" spans="1:27" ht="20" x14ac:dyDescent="0.4">
      <c r="A330" s="57"/>
      <c r="B330" s="3" t="s">
        <v>132</v>
      </c>
      <c r="E330" s="245">
        <f>1-E329</f>
        <v>0.15231702990929419</v>
      </c>
      <c r="F330" s="93">
        <f>J326</f>
        <v>746.59094709243288</v>
      </c>
      <c r="G330" s="145">
        <f>F330/F331</f>
        <v>0.15231702990929424</v>
      </c>
      <c r="H330" s="3" t="s">
        <v>235</v>
      </c>
      <c r="T330" s="57"/>
      <c r="W330" s="60"/>
      <c r="X330" s="150"/>
      <c r="Y330" s="150"/>
      <c r="Z330" s="150"/>
      <c r="AA330" s="150"/>
    </row>
    <row r="331" spans="1:27" ht="20" x14ac:dyDescent="0.4">
      <c r="A331" s="57"/>
      <c r="E331" s="130"/>
      <c r="F331" s="95">
        <f>SUM(F329:F330)</f>
        <v>4901.5592513656056</v>
      </c>
      <c r="T331" s="57"/>
      <c r="W331" s="60"/>
      <c r="X331" s="150"/>
      <c r="Y331" s="150"/>
      <c r="Z331" s="150"/>
      <c r="AA331" s="150"/>
    </row>
    <row r="332" spans="1:27" ht="20" x14ac:dyDescent="0.4">
      <c r="A332" s="57"/>
      <c r="B332" s="3" t="s">
        <v>244</v>
      </c>
      <c r="E332" s="146">
        <f>-E289</f>
        <v>0.30626008726976262</v>
      </c>
      <c r="F332" s="109"/>
      <c r="T332" s="57"/>
      <c r="W332" s="60"/>
      <c r="X332" s="150"/>
      <c r="Y332" s="150"/>
      <c r="Z332" s="150"/>
      <c r="AA332" s="150"/>
    </row>
    <row r="333" spans="1:27" ht="20" x14ac:dyDescent="0.4">
      <c r="A333" s="57"/>
      <c r="E333" s="125"/>
      <c r="F333" s="109"/>
      <c r="T333" s="57"/>
      <c r="W333" s="60"/>
      <c r="X333" s="150"/>
      <c r="Y333" s="150"/>
      <c r="Z333" s="150"/>
      <c r="AA333" s="150"/>
    </row>
    <row r="334" spans="1:27" ht="20" x14ac:dyDescent="0.4">
      <c r="A334" s="57"/>
      <c r="B334" s="3" t="s">
        <v>133</v>
      </c>
      <c r="E334" s="147">
        <f>(E325*E329)+(E327*E330)*(1-E332)</f>
        <v>8.9710685416529476E-2</v>
      </c>
      <c r="F334" s="109"/>
      <c r="T334" s="57"/>
      <c r="W334" s="60"/>
      <c r="X334" s="150"/>
      <c r="Y334" s="150"/>
      <c r="Z334" s="150"/>
      <c r="AA334" s="150"/>
    </row>
    <row r="335" spans="1:27" ht="20" x14ac:dyDescent="0.4">
      <c r="A335" s="57"/>
      <c r="F335" s="109"/>
      <c r="T335" s="57"/>
      <c r="W335" s="60"/>
      <c r="X335" s="150"/>
      <c r="Y335" s="150"/>
      <c r="Z335" s="150"/>
      <c r="AA335" s="150"/>
    </row>
    <row r="336" spans="1:27" ht="20" x14ac:dyDescent="0.4">
      <c r="A336" s="57"/>
      <c r="B336" s="44" t="s">
        <v>134</v>
      </c>
      <c r="C336" s="44"/>
      <c r="F336" s="109"/>
      <c r="T336" s="57"/>
      <c r="W336" s="60"/>
      <c r="X336" s="150"/>
      <c r="Y336" s="150"/>
      <c r="Z336" s="150"/>
      <c r="AA336" s="150"/>
    </row>
    <row r="337" spans="1:27" ht="20" x14ac:dyDescent="0.4">
      <c r="A337" s="57"/>
      <c r="B337" s="3" t="s">
        <v>165</v>
      </c>
      <c r="E337" s="93">
        <f ca="1">J297</f>
        <v>339.66300050811088</v>
      </c>
      <c r="F337" s="109"/>
      <c r="T337" s="57"/>
      <c r="W337" s="60"/>
      <c r="X337" s="150"/>
      <c r="Y337" s="150"/>
      <c r="Z337" s="150"/>
      <c r="AA337" s="150"/>
    </row>
    <row r="338" spans="1:27" ht="20" x14ac:dyDescent="0.4">
      <c r="A338" s="57"/>
      <c r="B338" s="3" t="s">
        <v>135</v>
      </c>
      <c r="E338" s="244">
        <v>0.02</v>
      </c>
      <c r="F338" s="109"/>
      <c r="T338" s="57"/>
      <c r="W338" s="60"/>
      <c r="X338" s="150"/>
      <c r="Y338" s="150"/>
      <c r="Z338" s="150"/>
      <c r="AA338" s="150"/>
    </row>
    <row r="339" spans="1:27" ht="20" x14ac:dyDescent="0.4">
      <c r="A339" s="57"/>
      <c r="B339" s="12" t="str">
        <f>B334</f>
        <v>WACC</v>
      </c>
      <c r="C339" s="12"/>
      <c r="D339" s="12"/>
      <c r="E339" s="105">
        <f>E334</f>
        <v>8.9710685416529476E-2</v>
      </c>
      <c r="F339" s="109"/>
      <c r="T339" s="57"/>
      <c r="W339" s="60"/>
      <c r="X339" s="150"/>
      <c r="Y339" s="150"/>
      <c r="Z339" s="150"/>
      <c r="AA339" s="150"/>
    </row>
    <row r="340" spans="1:27" ht="20" x14ac:dyDescent="0.4">
      <c r="A340" s="57"/>
      <c r="B340" s="39" t="s">
        <v>136</v>
      </c>
      <c r="C340" s="39"/>
      <c r="D340" s="39"/>
      <c r="E340" s="155">
        <f ca="1">E337*(1+E338)/(E339-E338)</f>
        <v>4969.9161390847985</v>
      </c>
      <c r="F340" s="109"/>
      <c r="T340" s="57"/>
      <c r="W340" s="60"/>
      <c r="X340" s="150"/>
      <c r="Y340" s="150"/>
      <c r="Z340" s="150"/>
      <c r="AA340" s="150"/>
    </row>
    <row r="341" spans="1:27" ht="20.5" thickBot="1" x14ac:dyDescent="0.45">
      <c r="A341" s="57"/>
      <c r="E341" s="132">
        <f ca="1">J68+J69</f>
        <v>932.40377172145372</v>
      </c>
      <c r="F341" s="274"/>
      <c r="G341" s="274"/>
      <c r="H341" s="274"/>
      <c r="I341" s="274"/>
      <c r="J341" s="74">
        <f>J$12</f>
        <v>2025</v>
      </c>
      <c r="T341" s="57"/>
      <c r="W341" s="60"/>
      <c r="X341" s="150"/>
      <c r="Y341" s="150"/>
      <c r="Z341" s="150"/>
      <c r="AA341" s="150"/>
    </row>
    <row r="342" spans="1:27" ht="20" x14ac:dyDescent="0.4">
      <c r="A342" s="57"/>
      <c r="B342" s="123" t="s">
        <v>181</v>
      </c>
      <c r="C342" s="123"/>
      <c r="D342" s="124"/>
      <c r="E342" s="124"/>
      <c r="F342" s="275"/>
      <c r="G342" s="275"/>
      <c r="H342" s="275"/>
      <c r="I342" s="275"/>
      <c r="J342" s="142">
        <f ca="1">J68+J69</f>
        <v>932.40377172145372</v>
      </c>
      <c r="T342" s="57"/>
      <c r="W342" s="60"/>
      <c r="X342" s="150"/>
      <c r="Y342" s="150"/>
      <c r="Z342" s="150"/>
      <c r="AA342" s="150"/>
    </row>
    <row r="343" spans="1:27" ht="20" x14ac:dyDescent="0.4">
      <c r="A343" s="57"/>
      <c r="B343" s="3" t="s">
        <v>191</v>
      </c>
      <c r="E343" s="119">
        <v>8.289359234844861</v>
      </c>
      <c r="F343" s="109"/>
      <c r="G343" s="109"/>
      <c r="T343" s="57"/>
      <c r="W343" s="60"/>
      <c r="X343" s="150"/>
      <c r="Y343" s="150"/>
      <c r="Z343" s="150"/>
      <c r="AA343" s="150"/>
    </row>
    <row r="344" spans="1:27" ht="20" x14ac:dyDescent="0.4">
      <c r="A344" s="57"/>
      <c r="B344" s="151" t="s">
        <v>166</v>
      </c>
      <c r="C344" s="151"/>
      <c r="D344" s="151"/>
      <c r="E344" s="155">
        <f ca="1">E343*J342</f>
        <v>7729.029815723412</v>
      </c>
      <c r="F344" s="109"/>
      <c r="G344" s="109"/>
      <c r="T344" s="57"/>
      <c r="W344" s="60"/>
      <c r="X344" s="150"/>
      <c r="Y344" s="150"/>
      <c r="Z344" s="150"/>
      <c r="AA344" s="150"/>
    </row>
    <row r="345" spans="1:27" ht="20" x14ac:dyDescent="0.4">
      <c r="A345" s="57"/>
      <c r="E345" s="132"/>
      <c r="F345" s="109"/>
      <c r="G345" s="109"/>
      <c r="T345" s="57"/>
      <c r="W345" s="60"/>
      <c r="X345" s="150"/>
      <c r="Y345" s="150"/>
      <c r="Z345" s="150"/>
      <c r="AA345" s="150"/>
    </row>
    <row r="346" spans="1:27" ht="20" x14ac:dyDescent="0.4">
      <c r="A346" s="57"/>
      <c r="B346" s="78" t="str">
        <f>B340</f>
        <v>Terminal Value (Gordon Growth Method)</v>
      </c>
      <c r="E346" s="93">
        <f ca="1">E340</f>
        <v>4969.9161390847985</v>
      </c>
      <c r="F346" s="109"/>
      <c r="G346" s="109"/>
      <c r="T346" s="57"/>
      <c r="W346" s="60"/>
      <c r="X346" s="150"/>
      <c r="Y346" s="150"/>
      <c r="Z346" s="150"/>
      <c r="AA346" s="150"/>
    </row>
    <row r="347" spans="1:27" ht="20" x14ac:dyDescent="0.4">
      <c r="A347" s="57"/>
      <c r="B347" s="12" t="str">
        <f>"(x) "&amp;B301</f>
        <v>(x) Discount Factor - denominator of the PV formula</v>
      </c>
      <c r="C347" s="12"/>
      <c r="D347" s="12"/>
      <c r="E347" s="105">
        <f>J301</f>
        <v>0.67935935048503604</v>
      </c>
      <c r="F347" s="109"/>
      <c r="G347" s="109"/>
      <c r="T347" s="57"/>
      <c r="W347" s="60"/>
      <c r="X347" s="150"/>
      <c r="Y347" s="150"/>
      <c r="Z347" s="150"/>
      <c r="AA347" s="150"/>
    </row>
    <row r="348" spans="1:27" ht="20" x14ac:dyDescent="0.4">
      <c r="A348" s="57"/>
      <c r="B348" s="39" t="s">
        <v>137</v>
      </c>
      <c r="C348" s="39"/>
      <c r="D348" s="39"/>
      <c r="E348" s="155">
        <f ca="1">E346*E347</f>
        <v>3376.3590002137466</v>
      </c>
      <c r="F348" s="109"/>
      <c r="G348" s="109"/>
      <c r="T348" s="57"/>
      <c r="W348" s="60"/>
      <c r="X348" s="150"/>
      <c r="Y348" s="150"/>
      <c r="Z348" s="150"/>
      <c r="AA348" s="150"/>
    </row>
    <row r="349" spans="1:27" ht="20" x14ac:dyDescent="0.4">
      <c r="A349" s="57"/>
      <c r="E349" s="132"/>
      <c r="F349" s="109"/>
      <c r="G349" s="193" t="s">
        <v>213</v>
      </c>
      <c r="H349" s="114" t="s">
        <v>210</v>
      </c>
      <c r="I349" s="193" t="s">
        <v>214</v>
      </c>
      <c r="T349" s="57"/>
      <c r="W349" s="60"/>
      <c r="X349" s="150"/>
      <c r="Y349" s="150"/>
      <c r="Z349" s="150"/>
      <c r="AA349" s="150"/>
    </row>
    <row r="350" spans="1:27" ht="20" x14ac:dyDescent="0.4">
      <c r="A350" s="57"/>
      <c r="B350" s="44" t="s">
        <v>138</v>
      </c>
      <c r="C350" s="44"/>
      <c r="E350" s="114" t="s">
        <v>177</v>
      </c>
      <c r="F350" s="114" t="s">
        <v>178</v>
      </c>
      <c r="G350" s="114" t="s">
        <v>179</v>
      </c>
      <c r="H350" s="114" t="s">
        <v>209</v>
      </c>
      <c r="I350" s="193" t="s">
        <v>215</v>
      </c>
      <c r="T350" s="57"/>
      <c r="W350" s="60"/>
      <c r="X350" s="150"/>
      <c r="Y350" s="150"/>
      <c r="Z350" s="150"/>
      <c r="AA350" s="150"/>
    </row>
    <row r="351" spans="1:27" ht="20" x14ac:dyDescent="0.4">
      <c r="A351" s="57"/>
      <c r="B351" s="3" t="s">
        <v>139</v>
      </c>
      <c r="E351" s="133">
        <v>59.390627562509628</v>
      </c>
      <c r="F351" s="165"/>
      <c r="G351" s="166"/>
      <c r="H351" s="166"/>
      <c r="I351" s="166"/>
      <c r="T351" s="57"/>
      <c r="W351" s="60"/>
      <c r="X351" s="150"/>
      <c r="Y351" s="150"/>
      <c r="Z351" s="150"/>
      <c r="AA351" s="150"/>
    </row>
    <row r="352" spans="1:27" ht="20" x14ac:dyDescent="0.4">
      <c r="A352" s="57"/>
      <c r="B352" s="3" t="s">
        <v>140</v>
      </c>
      <c r="E352" s="167" t="e">
        <f ca="1">IF($D$4=0,0,MAX(F352-I352,0))</f>
        <v>#DIV/0!</v>
      </c>
      <c r="F352" s="133">
        <v>1.650926579139369</v>
      </c>
      <c r="G352" s="218">
        <v>0</v>
      </c>
      <c r="H352" s="96">
        <f>G352*F352</f>
        <v>0</v>
      </c>
      <c r="I352" s="276" t="e">
        <f ca="1">H352/$E$312</f>
        <v>#DIV/0!</v>
      </c>
      <c r="T352" s="57"/>
      <c r="W352" s="60"/>
      <c r="X352" s="150"/>
      <c r="Y352" s="150"/>
      <c r="Z352" s="150"/>
      <c r="AA352" s="150"/>
    </row>
    <row r="353" spans="1:27" ht="20" x14ac:dyDescent="0.4">
      <c r="A353" s="57"/>
      <c r="B353" s="12" t="s">
        <v>176</v>
      </c>
      <c r="C353" s="12"/>
      <c r="E353" s="167" t="e">
        <f ca="1">IF($D$4=0,0,MAX(F353-I353,0))</f>
        <v>#DIV/0!</v>
      </c>
      <c r="F353" s="133">
        <v>3.1246300495718033</v>
      </c>
      <c r="G353" s="218">
        <v>54.73</v>
      </c>
      <c r="H353" s="96">
        <f>G353*F353</f>
        <v>171.01100261306479</v>
      </c>
      <c r="I353" s="276" t="e">
        <f ca="1">H353/$E$312</f>
        <v>#DIV/0!</v>
      </c>
      <c r="T353" s="57"/>
      <c r="W353" s="60"/>
      <c r="X353" s="150"/>
      <c r="Y353" s="150"/>
      <c r="Z353" s="150"/>
      <c r="AA353" s="150"/>
    </row>
    <row r="354" spans="1:27" ht="20" x14ac:dyDescent="0.4">
      <c r="A354" s="57"/>
      <c r="B354" s="39" t="s">
        <v>138</v>
      </c>
      <c r="C354" s="39"/>
      <c r="D354" s="39"/>
      <c r="E354" s="156" t="e">
        <f ca="1">SUM(E351:E353)</f>
        <v>#DIV/0!</v>
      </c>
      <c r="F354" s="109"/>
      <c r="T354" s="57"/>
      <c r="W354" s="60"/>
      <c r="X354" s="150"/>
      <c r="Y354" s="150"/>
      <c r="Z354" s="150"/>
      <c r="AA354" s="150"/>
    </row>
    <row r="355" spans="1:27" ht="20" x14ac:dyDescent="0.4">
      <c r="A355" s="57"/>
      <c r="T355" s="57"/>
      <c r="W355" s="60"/>
      <c r="X355" s="150"/>
      <c r="Y355" s="150"/>
      <c r="Z355" s="150"/>
      <c r="AA355" s="150"/>
    </row>
    <row r="356" spans="1:27" ht="20" x14ac:dyDescent="0.4">
      <c r="A356" s="57"/>
      <c r="E356" s="160" t="str">
        <f>$B$312</f>
        <v>Implied Equity Value per Share</v>
      </c>
      <c r="F356" s="114"/>
      <c r="G356" s="114"/>
      <c r="H356" s="114"/>
      <c r="L356" s="160" t="str">
        <f>$B$312</f>
        <v>Implied Equity Value per Share</v>
      </c>
      <c r="M356" s="114"/>
      <c r="N356" s="114"/>
      <c r="O356" s="114"/>
      <c r="T356" s="57"/>
      <c r="W356" s="60"/>
      <c r="X356" s="150"/>
      <c r="Y356" s="150"/>
      <c r="Z356" s="150"/>
      <c r="AA356" s="150"/>
    </row>
    <row r="357" spans="1:27" ht="20" x14ac:dyDescent="0.4">
      <c r="A357" s="57"/>
      <c r="F357" s="114" t="str">
        <f>B338</f>
        <v>Perpetual Growth Rate</v>
      </c>
      <c r="G357" s="114"/>
      <c r="H357" s="114"/>
      <c r="M357" s="114" t="s">
        <v>246</v>
      </c>
      <c r="N357" s="114"/>
      <c r="O357" s="114"/>
      <c r="T357" s="57"/>
      <c r="W357" s="60"/>
      <c r="X357" s="150"/>
      <c r="Y357" s="150"/>
      <c r="Z357" s="150"/>
      <c r="AA357" s="150"/>
    </row>
    <row r="358" spans="1:27" ht="20" x14ac:dyDescent="0.4">
      <c r="A358" s="57"/>
      <c r="E358" s="219" t="e">
        <f ca="1">$E$312</f>
        <v>#DIV/0!</v>
      </c>
      <c r="F358" s="290">
        <v>1.4999999999999999E-2</v>
      </c>
      <c r="G358" s="290">
        <v>0.02</v>
      </c>
      <c r="H358" s="290">
        <v>2.5000000000000001E-2</v>
      </c>
      <c r="L358" s="219" t="e">
        <f ca="1">$E$312</f>
        <v>#DIV/0!</v>
      </c>
      <c r="M358" s="291">
        <v>1</v>
      </c>
      <c r="N358" s="291">
        <v>1.05</v>
      </c>
      <c r="O358" s="291">
        <v>1.1000000000000001</v>
      </c>
      <c r="T358" s="57"/>
      <c r="W358" s="60"/>
      <c r="X358" s="150"/>
      <c r="Y358" s="150"/>
      <c r="Z358" s="150"/>
      <c r="AA358" s="150"/>
    </row>
    <row r="359" spans="1:27" ht="20" x14ac:dyDescent="0.4">
      <c r="A359" s="57"/>
      <c r="D359" s="172"/>
      <c r="E359" s="290">
        <v>7.4999999999999997E-2</v>
      </c>
      <c r="F359" s="175" t="e">
        <f t="dataTable" ref="F359:H361" dt2D="1" dtr="1" r1="E338" r2="E334" ca="1"/>
        <v>#DIV/0!</v>
      </c>
      <c r="G359" s="176" t="e">
        <v>#DIV/0!</v>
      </c>
      <c r="H359" s="177" t="e">
        <v>#DIV/0!</v>
      </c>
      <c r="J359" s="184" t="s">
        <v>236</v>
      </c>
      <c r="L359" s="290">
        <v>0.83</v>
      </c>
      <c r="M359" s="175" t="e">
        <f t="dataTable" ref="M359:O361" dt2D="1" dtr="1" r1="E322" r2="E325" ca="1"/>
        <v>#DIV/0!</v>
      </c>
      <c r="N359" s="176" t="e">
        <v>#DIV/0!</v>
      </c>
      <c r="O359" s="177" t="e">
        <v>#DIV/0!</v>
      </c>
      <c r="T359" s="57"/>
      <c r="W359" s="60"/>
      <c r="X359" s="150"/>
      <c r="Y359" s="150"/>
      <c r="Z359" s="150"/>
      <c r="AA359" s="150"/>
    </row>
    <row r="360" spans="1:27" ht="20" x14ac:dyDescent="0.4">
      <c r="A360" s="57"/>
      <c r="D360" s="174" t="str">
        <f>B334</f>
        <v>WACC</v>
      </c>
      <c r="E360" s="290">
        <v>0.08</v>
      </c>
      <c r="F360" s="178" t="e">
        <v>#DIV/0!</v>
      </c>
      <c r="G360" s="179" t="e">
        <v>#DIV/0!</v>
      </c>
      <c r="H360" s="180" t="e">
        <v>#DIV/0!</v>
      </c>
      <c r="J360" s="174" t="s">
        <v>185</v>
      </c>
      <c r="L360" s="290">
        <v>0.84</v>
      </c>
      <c r="M360" s="178" t="e">
        <v>#DIV/0!</v>
      </c>
      <c r="N360" s="179" t="e">
        <v>#DIV/0!</v>
      </c>
      <c r="O360" s="180" t="e">
        <v>#DIV/0!</v>
      </c>
      <c r="T360" s="57"/>
      <c r="W360" s="60"/>
      <c r="X360" s="150"/>
      <c r="Y360" s="150"/>
      <c r="Z360" s="150"/>
      <c r="AA360" s="150"/>
    </row>
    <row r="361" spans="1:27" ht="20" x14ac:dyDescent="0.4">
      <c r="A361" s="57"/>
      <c r="D361" s="173"/>
      <c r="E361" s="290">
        <v>8.5000000000000006E-2</v>
      </c>
      <c r="F361" s="181" t="e">
        <v>#DIV/0!</v>
      </c>
      <c r="G361" s="182" t="e">
        <v>#DIV/0!</v>
      </c>
      <c r="H361" s="183" t="e">
        <v>#DIV/0!</v>
      </c>
      <c r="J361" s="185" t="s">
        <v>184</v>
      </c>
      <c r="L361" s="290">
        <v>0.85</v>
      </c>
      <c r="M361" s="181" t="e">
        <v>#DIV/0!</v>
      </c>
      <c r="N361" s="182" t="e">
        <v>#DIV/0!</v>
      </c>
      <c r="O361" s="183" t="e">
        <v>#DIV/0!</v>
      </c>
      <c r="T361" s="57"/>
      <c r="W361" s="60"/>
      <c r="X361" s="150"/>
      <c r="Y361" s="150"/>
      <c r="Z361" s="150"/>
      <c r="AA361" s="150"/>
    </row>
    <row r="362" spans="1:27" ht="20" x14ac:dyDescent="0.4">
      <c r="A362" s="57"/>
      <c r="T362" s="57"/>
      <c r="W362" s="60"/>
      <c r="X362" s="150"/>
      <c r="Y362" s="150"/>
      <c r="Z362" s="150"/>
      <c r="AA362" s="150"/>
    </row>
    <row r="363" spans="1:27" ht="22" x14ac:dyDescent="0.8">
      <c r="A363" s="57"/>
      <c r="D363" s="58" t="str">
        <f>D$11</f>
        <v>Historical</v>
      </c>
      <c r="E363" s="58"/>
      <c r="F363" s="58" t="str">
        <f>F$11</f>
        <v>Forecast</v>
      </c>
      <c r="G363" s="58"/>
      <c r="H363" s="58"/>
      <c r="I363" s="58"/>
      <c r="J363" s="58"/>
      <c r="T363" s="57"/>
      <c r="W363" s="60"/>
    </row>
    <row r="364" spans="1:27" ht="18.5" thickBot="1" x14ac:dyDescent="0.45">
      <c r="A364" s="57" t="s">
        <v>66</v>
      </c>
      <c r="B364" s="4" t="s">
        <v>141</v>
      </c>
      <c r="C364" s="4"/>
      <c r="D364" s="74">
        <f t="shared" ref="D364:J364" si="242">D$12</f>
        <v>2019</v>
      </c>
      <c r="E364" s="74">
        <f t="shared" si="242"/>
        <v>2020</v>
      </c>
      <c r="F364" s="74">
        <f t="shared" si="242"/>
        <v>2021</v>
      </c>
      <c r="G364" s="74">
        <f t="shared" si="242"/>
        <v>2022</v>
      </c>
      <c r="H364" s="74">
        <f t="shared" si="242"/>
        <v>2023</v>
      </c>
      <c r="I364" s="74">
        <f t="shared" si="242"/>
        <v>2024</v>
      </c>
      <c r="J364" s="74">
        <f t="shared" si="242"/>
        <v>2025</v>
      </c>
      <c r="T364" s="57"/>
      <c r="W364" s="60"/>
    </row>
    <row r="365" spans="1:27" x14ac:dyDescent="0.4">
      <c r="A365" s="57"/>
      <c r="T365" s="57"/>
      <c r="W365" s="60"/>
    </row>
    <row r="366" spans="1:27" x14ac:dyDescent="0.4">
      <c r="A366" s="57"/>
      <c r="B366" s="44" t="s">
        <v>142</v>
      </c>
      <c r="C366" s="44"/>
      <c r="T366" s="57"/>
      <c r="W366" s="60"/>
    </row>
    <row r="367" spans="1:27" x14ac:dyDescent="0.4">
      <c r="A367" s="57"/>
      <c r="B367" s="44"/>
      <c r="C367" s="44"/>
      <c r="T367" s="57"/>
      <c r="W367" s="60"/>
    </row>
    <row r="368" spans="1:27" x14ac:dyDescent="0.4">
      <c r="A368" s="57"/>
      <c r="B368" s="3" t="s">
        <v>154</v>
      </c>
      <c r="C368" s="44"/>
      <c r="E368" s="277">
        <f>SUM(E68:E69)</f>
        <v>453.85766385779459</v>
      </c>
      <c r="F368" s="277">
        <f ca="1">SUM(F68:F69)</f>
        <v>524.15115003342646</v>
      </c>
      <c r="G368" s="277">
        <f t="shared" ref="G368:J368" ca="1" si="243">SUM(G68:G69)</f>
        <v>605.33169308218373</v>
      </c>
      <c r="H368" s="277">
        <f t="shared" ca="1" si="243"/>
        <v>699.08548064117622</v>
      </c>
      <c r="I368" s="277">
        <f t="shared" ca="1" si="243"/>
        <v>807.35985713034938</v>
      </c>
      <c r="J368" s="277">
        <f t="shared" ca="1" si="243"/>
        <v>932.40377172145372</v>
      </c>
      <c r="T368" s="57"/>
      <c r="W368" s="60"/>
    </row>
    <row r="369" spans="1:23" x14ac:dyDescent="0.4">
      <c r="A369" s="57"/>
      <c r="B369" s="3" t="s">
        <v>211</v>
      </c>
      <c r="C369" s="44"/>
      <c r="F369" s="99">
        <f ca="1">-SUM(F155,F166,F177)</f>
        <v>47.935576108312958</v>
      </c>
      <c r="G369" s="99">
        <f t="shared" ref="G369:J369" ca="1" si="244">-SUM(G155,G166,G177)</f>
        <v>44.071920760800445</v>
      </c>
      <c r="H369" s="99">
        <f t="shared" ca="1" si="244"/>
        <v>34.068808775548717</v>
      </c>
      <c r="I369" s="99">
        <f t="shared" ca="1" si="244"/>
        <v>19.422411082564928</v>
      </c>
      <c r="J369" s="99">
        <f t="shared" ca="1" si="244"/>
        <v>5.537796786530655</v>
      </c>
      <c r="T369" s="57"/>
      <c r="W369" s="60"/>
    </row>
    <row r="370" spans="1:23" x14ac:dyDescent="0.4">
      <c r="A370" s="57"/>
      <c r="B370" s="3" t="s">
        <v>143</v>
      </c>
      <c r="D370" s="118"/>
      <c r="F370" s="220">
        <f ca="1">IFERROR(F368/F369,"NA")</f>
        <v>10.934491511045561</v>
      </c>
      <c r="G370" s="220">
        <f t="shared" ref="G370:J370" ca="1" si="245">IFERROR(G368/G369,"NA")</f>
        <v>13.735087616616724</v>
      </c>
      <c r="H370" s="220">
        <f t="shared" ca="1" si="245"/>
        <v>20.519809930745566</v>
      </c>
      <c r="I370" s="220">
        <f t="shared" ca="1" si="245"/>
        <v>41.568467153653167</v>
      </c>
      <c r="J370" s="220">
        <f t="shared" ca="1" si="245"/>
        <v>168.37088966306951</v>
      </c>
      <c r="L370" s="115" t="s">
        <v>237</v>
      </c>
      <c r="T370" s="57"/>
      <c r="W370" s="60"/>
    </row>
    <row r="371" spans="1:23" x14ac:dyDescent="0.4">
      <c r="A371" s="57"/>
      <c r="B371" s="3" t="s">
        <v>249</v>
      </c>
      <c r="L371" s="246">
        <v>1</v>
      </c>
      <c r="M371" s="3" t="s">
        <v>253</v>
      </c>
      <c r="T371" s="57"/>
      <c r="W371" s="60"/>
    </row>
    <row r="372" spans="1:23" x14ac:dyDescent="0.4">
      <c r="A372" s="57"/>
      <c r="B372" s="3" t="s">
        <v>212</v>
      </c>
      <c r="D372" s="45"/>
      <c r="E372" s="99">
        <f>SUM(E163,E152,E174)</f>
        <v>746.59094709243288</v>
      </c>
      <c r="F372" s="99">
        <f t="shared" ref="F372:J372" ca="1" si="246">SUM(F163,F152,F174)</f>
        <v>739.7549701991652</v>
      </c>
      <c r="G372" s="99">
        <f t="shared" ca="1" si="246"/>
        <v>581.64419577658907</v>
      </c>
      <c r="H372" s="99">
        <f t="shared" ca="1" si="246"/>
        <v>389.19723988285989</v>
      </c>
      <c r="I372" s="99">
        <f t="shared" ca="1" si="246"/>
        <v>155.22903109850867</v>
      </c>
      <c r="J372" s="99">
        <f t="shared" ca="1" si="246"/>
        <v>0</v>
      </c>
      <c r="L372" s="109"/>
      <c r="T372" s="57"/>
      <c r="W372" s="60"/>
    </row>
    <row r="373" spans="1:23" x14ac:dyDescent="0.4">
      <c r="A373" s="57"/>
      <c r="B373" s="3" t="s">
        <v>154</v>
      </c>
      <c r="D373" s="127"/>
      <c r="E373" s="127">
        <f>E368</f>
        <v>453.85766385779459</v>
      </c>
      <c r="F373" s="127">
        <f t="shared" ref="F373:J373" ca="1" si="247">F368</f>
        <v>524.15115003342646</v>
      </c>
      <c r="G373" s="127">
        <f t="shared" ca="1" si="247"/>
        <v>605.33169308218373</v>
      </c>
      <c r="H373" s="127">
        <f t="shared" ca="1" si="247"/>
        <v>699.08548064117622</v>
      </c>
      <c r="I373" s="127">
        <f t="shared" ca="1" si="247"/>
        <v>807.35985713034938</v>
      </c>
      <c r="J373" s="127">
        <f t="shared" ca="1" si="247"/>
        <v>932.40377172145372</v>
      </c>
      <c r="L373" s="109"/>
      <c r="T373" s="57"/>
      <c r="W373" s="60"/>
    </row>
    <row r="374" spans="1:23" x14ac:dyDescent="0.4">
      <c r="A374" s="57"/>
      <c r="B374" s="3" t="s">
        <v>144</v>
      </c>
      <c r="D374" s="118"/>
      <c r="E374" s="148">
        <f>E372/E373</f>
        <v>1.6449891817324456</v>
      </c>
      <c r="F374" s="148">
        <f t="shared" ref="F374:J374" ca="1" si="248">F372/F373</f>
        <v>1.4113390195785875</v>
      </c>
      <c r="G374" s="148">
        <f t="shared" ca="1" si="248"/>
        <v>0.96086856581887459</v>
      </c>
      <c r="H374" s="148">
        <f t="shared" ca="1" si="248"/>
        <v>0.55672339171727914</v>
      </c>
      <c r="I374" s="148">
        <f t="shared" ca="1" si="248"/>
        <v>0.19226746255411944</v>
      </c>
      <c r="J374" s="148">
        <f t="shared" ca="1" si="248"/>
        <v>0</v>
      </c>
      <c r="L374" s="109"/>
      <c r="T374" s="57"/>
      <c r="W374" s="60"/>
    </row>
    <row r="375" spans="1:23" x14ac:dyDescent="0.4">
      <c r="A375" s="57"/>
      <c r="B375" s="3" t="s">
        <v>250</v>
      </c>
      <c r="L375" s="246">
        <v>1</v>
      </c>
      <c r="M375" s="3" t="str">
        <f>M371</f>
        <v>Hardcode. Assume perspective of credit rating agency</v>
      </c>
      <c r="T375" s="57"/>
      <c r="W375" s="60"/>
    </row>
    <row r="376" spans="1:23" ht="22" x14ac:dyDescent="0.8">
      <c r="A376" s="57"/>
      <c r="B376" s="44" t="s">
        <v>145</v>
      </c>
      <c r="C376" s="44"/>
      <c r="D376" s="58" t="str">
        <f>D$11</f>
        <v>Historical</v>
      </c>
      <c r="E376" s="58"/>
      <c r="F376" s="58" t="str">
        <f>F$11</f>
        <v>Forecast</v>
      </c>
      <c r="G376" s="58"/>
      <c r="H376" s="58"/>
      <c r="I376" s="58"/>
      <c r="J376" s="58"/>
      <c r="T376" s="57"/>
      <c r="W376" s="60"/>
    </row>
    <row r="377" spans="1:23" ht="18.5" thickBot="1" x14ac:dyDescent="0.45">
      <c r="A377" s="57"/>
      <c r="B377" s="44" t="s">
        <v>146</v>
      </c>
      <c r="C377" s="44"/>
      <c r="D377" s="74">
        <f t="shared" ref="D377:J377" si="249">D$12</f>
        <v>2019</v>
      </c>
      <c r="E377" s="74">
        <f t="shared" si="249"/>
        <v>2020</v>
      </c>
      <c r="F377" s="74">
        <f t="shared" si="249"/>
        <v>2021</v>
      </c>
      <c r="G377" s="74">
        <f t="shared" si="249"/>
        <v>2022</v>
      </c>
      <c r="H377" s="74">
        <f t="shared" si="249"/>
        <v>2023</v>
      </c>
      <c r="I377" s="74">
        <f t="shared" si="249"/>
        <v>2024</v>
      </c>
      <c r="J377" s="74">
        <f t="shared" si="249"/>
        <v>2025</v>
      </c>
      <c r="T377" s="57"/>
      <c r="W377" s="60"/>
    </row>
    <row r="378" spans="1:23" x14ac:dyDescent="0.4">
      <c r="A378" s="57"/>
      <c r="D378" s="127"/>
      <c r="E378" s="127"/>
      <c r="F378" s="127"/>
      <c r="G378" s="127"/>
      <c r="H378" s="127"/>
      <c r="I378" s="127"/>
      <c r="J378" s="127"/>
      <c r="T378" s="57"/>
      <c r="W378" s="60"/>
    </row>
    <row r="379" spans="1:23" x14ac:dyDescent="0.4">
      <c r="A379" s="57"/>
      <c r="B379" s="3" t="s">
        <v>12</v>
      </c>
      <c r="C379" s="134"/>
      <c r="D379" s="135"/>
      <c r="E379" s="99">
        <f>E52</f>
        <v>1276.8583628724161</v>
      </c>
      <c r="F379" s="315">
        <f t="shared" ref="F379:J379" ca="1" si="250">F52</f>
        <v>1474.6182176160712</v>
      </c>
      <c r="G379" s="315">
        <f t="shared" ca="1" si="250"/>
        <v>1703.0071235414503</v>
      </c>
      <c r="H379" s="315">
        <f t="shared" ca="1" si="250"/>
        <v>1966.7689088512425</v>
      </c>
      <c r="I379" s="315">
        <f t="shared" ca="1" si="250"/>
        <v>2271.3821259772067</v>
      </c>
      <c r="J379" s="315">
        <f t="shared" ca="1" si="250"/>
        <v>2623.1738456868966</v>
      </c>
      <c r="T379" s="57"/>
      <c r="W379" s="60"/>
    </row>
    <row r="380" spans="1:23" x14ac:dyDescent="0.4">
      <c r="A380" s="57"/>
      <c r="B380" s="3" t="s">
        <v>216</v>
      </c>
      <c r="D380" s="127"/>
      <c r="E380" s="99">
        <f>E68</f>
        <v>310.89666142065198</v>
      </c>
      <c r="F380" s="315">
        <f t="shared" ref="F380:J380" ca="1" si="251">F68</f>
        <v>359.04834401176078</v>
      </c>
      <c r="G380" s="315">
        <f t="shared" ca="1" si="251"/>
        <v>414.65776039055328</v>
      </c>
      <c r="H380" s="315">
        <f t="shared" ca="1" si="251"/>
        <v>478.87996455005941</v>
      </c>
      <c r="I380" s="315">
        <f t="shared" ca="1" si="251"/>
        <v>553.04890527424629</v>
      </c>
      <c r="J380" s="315">
        <f t="shared" ca="1" si="251"/>
        <v>638.70513336765191</v>
      </c>
      <c r="T380" s="57"/>
      <c r="W380" s="60"/>
    </row>
    <row r="381" spans="1:23" x14ac:dyDescent="0.4">
      <c r="A381" s="57"/>
      <c r="B381" s="3" t="s">
        <v>154</v>
      </c>
      <c r="D381" s="127"/>
      <c r="E381" s="93">
        <f>E68+E69</f>
        <v>453.85766385779459</v>
      </c>
      <c r="F381" s="316">
        <f t="shared" ref="F381:J381" ca="1" si="252">F68+F69</f>
        <v>524.15115003342646</v>
      </c>
      <c r="G381" s="316">
        <f t="shared" ca="1" si="252"/>
        <v>605.33169308218373</v>
      </c>
      <c r="H381" s="316">
        <f t="shared" ca="1" si="252"/>
        <v>699.08548064117622</v>
      </c>
      <c r="I381" s="316">
        <f t="shared" ca="1" si="252"/>
        <v>807.35985713034938</v>
      </c>
      <c r="J381" s="316">
        <f t="shared" ca="1" si="252"/>
        <v>932.40377172145372</v>
      </c>
      <c r="T381" s="57"/>
      <c r="W381" s="60"/>
    </row>
    <row r="382" spans="1:23" x14ac:dyDescent="0.4">
      <c r="A382" s="57"/>
      <c r="B382" s="47" t="s">
        <v>147</v>
      </c>
      <c r="C382" s="47"/>
      <c r="D382" s="136"/>
      <c r="E382" s="145">
        <f>E380/E$379</f>
        <v>0.24348562883768873</v>
      </c>
      <c r="F382" s="317">
        <f t="shared" ref="F382:J382" ca="1" si="253">F380/F$379</f>
        <v>0.24348562883768871</v>
      </c>
      <c r="G382" s="317">
        <f t="shared" ca="1" si="253"/>
        <v>0.24348562883768862</v>
      </c>
      <c r="H382" s="317">
        <f t="shared" ca="1" si="253"/>
        <v>0.24348562883768859</v>
      </c>
      <c r="I382" s="317">
        <f t="shared" ca="1" si="253"/>
        <v>0.24348562883768865</v>
      </c>
      <c r="J382" s="317">
        <f t="shared" ca="1" si="253"/>
        <v>0.24348562883768859</v>
      </c>
      <c r="T382" s="57"/>
      <c r="W382" s="60"/>
    </row>
    <row r="383" spans="1:23" x14ac:dyDescent="0.4">
      <c r="A383" s="57"/>
      <c r="B383" s="47" t="s">
        <v>148</v>
      </c>
      <c r="C383" s="47"/>
      <c r="D383" s="136"/>
      <c r="E383" s="145">
        <f>E381/E$379</f>
        <v>0.35544871463801042</v>
      </c>
      <c r="F383" s="317">
        <f t="shared" ref="F383:J383" ca="1" si="254">F381/F$379</f>
        <v>0.35544871463801042</v>
      </c>
      <c r="G383" s="317">
        <f t="shared" ca="1" si="254"/>
        <v>0.35544871463801031</v>
      </c>
      <c r="H383" s="317">
        <f t="shared" ca="1" si="254"/>
        <v>0.35544871463801031</v>
      </c>
      <c r="I383" s="317">
        <f t="shared" ca="1" si="254"/>
        <v>0.35544871463801037</v>
      </c>
      <c r="J383" s="317">
        <f t="shared" ca="1" si="254"/>
        <v>0.35544871463801025</v>
      </c>
      <c r="T383" s="57"/>
      <c r="W383" s="60"/>
    </row>
    <row r="384" spans="1:23" ht="22" x14ac:dyDescent="0.8">
      <c r="A384" s="57"/>
      <c r="D384" s="58"/>
      <c r="E384" s="58"/>
      <c r="F384" s="58"/>
      <c r="G384" s="58"/>
      <c r="H384" s="58"/>
      <c r="I384" s="58"/>
      <c r="J384" s="58">
        <f ca="1">IF(AND(J381&lt;0,F381&lt;0),-((J381/F381)^(1/$A$460)-1),IF(AND(J381&gt;0,F381&gt;0),((J381/F381)^(1/$A$460)-1),"NM"))</f>
        <v>0.15488002467147166</v>
      </c>
      <c r="T384" s="57"/>
      <c r="W384" s="60"/>
    </row>
    <row r="385" spans="1:23" ht="22" x14ac:dyDescent="0.8">
      <c r="A385" s="57"/>
      <c r="D385" s="58"/>
      <c r="E385" s="58"/>
      <c r="F385" s="58"/>
      <c r="G385" s="58"/>
      <c r="H385" s="58"/>
      <c r="I385" s="58"/>
      <c r="J385" s="58"/>
      <c r="T385" s="57"/>
      <c r="W385" s="60"/>
    </row>
    <row r="386" spans="1:23" ht="22" x14ac:dyDescent="0.8">
      <c r="A386" s="57"/>
      <c r="D386" s="58"/>
      <c r="E386" s="58"/>
      <c r="F386" s="58"/>
      <c r="G386" s="58"/>
      <c r="H386" s="58"/>
      <c r="I386" s="58"/>
      <c r="J386" s="58"/>
      <c r="T386" s="57"/>
      <c r="W386" s="60"/>
    </row>
    <row r="387" spans="1:23" x14ac:dyDescent="0.4">
      <c r="A387" s="57"/>
      <c r="T387" s="57"/>
      <c r="W387" s="60"/>
    </row>
    <row r="388" spans="1:23" ht="22" x14ac:dyDescent="0.8">
      <c r="A388" s="57"/>
      <c r="B388" s="44" t="s">
        <v>149</v>
      </c>
      <c r="C388" s="44"/>
      <c r="D388" s="58" t="str">
        <f>D$11</f>
        <v>Historical</v>
      </c>
      <c r="E388" s="58"/>
      <c r="F388" s="58" t="str">
        <f>F$11</f>
        <v>Forecast</v>
      </c>
      <c r="G388" s="58"/>
      <c r="H388" s="58"/>
      <c r="I388" s="58"/>
      <c r="J388" s="58"/>
      <c r="T388" s="57"/>
      <c r="W388" s="60"/>
    </row>
    <row r="389" spans="1:23" ht="18.5" thickBot="1" x14ac:dyDescent="0.45">
      <c r="A389" s="57"/>
      <c r="D389" s="74">
        <f t="shared" ref="D389:J389" si="255">D$12</f>
        <v>2019</v>
      </c>
      <c r="E389" s="74">
        <f t="shared" si="255"/>
        <v>2020</v>
      </c>
      <c r="F389" s="74">
        <f t="shared" si="255"/>
        <v>2021</v>
      </c>
      <c r="G389" s="74">
        <f t="shared" si="255"/>
        <v>2022</v>
      </c>
      <c r="H389" s="74">
        <f t="shared" si="255"/>
        <v>2023</v>
      </c>
      <c r="I389" s="74">
        <f t="shared" si="255"/>
        <v>2024</v>
      </c>
      <c r="J389" s="74">
        <f t="shared" si="255"/>
        <v>2025</v>
      </c>
      <c r="T389" s="57"/>
      <c r="W389" s="60"/>
    </row>
    <row r="390" spans="1:23" x14ac:dyDescent="0.4">
      <c r="A390" s="57"/>
      <c r="B390" s="3" t="s">
        <v>168</v>
      </c>
      <c r="E390" s="93">
        <f>-E53</f>
        <v>643.12881605574307</v>
      </c>
      <c r="T390" s="57"/>
      <c r="W390" s="60"/>
    </row>
    <row r="391" spans="1:23" ht="18.5" thickBot="1" x14ac:dyDescent="0.45">
      <c r="A391" s="57"/>
      <c r="B391" s="12" t="s">
        <v>24</v>
      </c>
      <c r="C391" s="12"/>
      <c r="D391" s="12"/>
      <c r="E391" s="97">
        <f>E17</f>
        <v>34.722106685282142</v>
      </c>
      <c r="L391" s="137" t="s">
        <v>150</v>
      </c>
      <c r="T391" s="57"/>
      <c r="W391" s="60"/>
    </row>
    <row r="392" spans="1:23" x14ac:dyDescent="0.4">
      <c r="A392" s="57"/>
      <c r="B392" s="39" t="s">
        <v>167</v>
      </c>
      <c r="C392" s="39"/>
      <c r="D392" s="158"/>
      <c r="E392" s="159">
        <f>E390/E391</f>
        <v>18.522171534262053</v>
      </c>
      <c r="L392" s="216"/>
      <c r="T392" s="57"/>
      <c r="W392" s="60"/>
    </row>
    <row r="393" spans="1:23" x14ac:dyDescent="0.4">
      <c r="A393" s="57"/>
      <c r="B393" s="3" t="s">
        <v>151</v>
      </c>
      <c r="D393" s="138"/>
      <c r="E393" s="149">
        <f>$L393/E392</f>
        <v>19.706112716040238</v>
      </c>
      <c r="L393" s="217">
        <v>365</v>
      </c>
      <c r="T393" s="57"/>
      <c r="W393" s="60"/>
    </row>
    <row r="394" spans="1:23" x14ac:dyDescent="0.4">
      <c r="A394" s="57"/>
      <c r="T394" s="57"/>
      <c r="W394" s="60"/>
    </row>
    <row r="395" spans="1:23" x14ac:dyDescent="0.4">
      <c r="A395" s="57"/>
      <c r="B395" s="3" t="s">
        <v>12</v>
      </c>
      <c r="E395" s="93">
        <f>E379</f>
        <v>1276.8583628724161</v>
      </c>
      <c r="T395" s="57"/>
      <c r="W395" s="60"/>
    </row>
    <row r="396" spans="1:23" x14ac:dyDescent="0.4">
      <c r="A396" s="57"/>
      <c r="B396" s="12" t="s">
        <v>29</v>
      </c>
      <c r="C396" s="12"/>
      <c r="D396" s="12"/>
      <c r="E396" s="97">
        <f>E16</f>
        <v>142.25727156002836</v>
      </c>
      <c r="T396" s="57"/>
      <c r="W396" s="60"/>
    </row>
    <row r="397" spans="1:23" x14ac:dyDescent="0.4">
      <c r="A397" s="57"/>
      <c r="B397" s="39" t="s">
        <v>169</v>
      </c>
      <c r="C397" s="39"/>
      <c r="D397" s="158"/>
      <c r="E397" s="159">
        <f>E395/E396</f>
        <v>8.9756983869441065</v>
      </c>
      <c r="T397" s="57"/>
      <c r="W397" s="60"/>
    </row>
    <row r="398" spans="1:23" x14ac:dyDescent="0.4">
      <c r="A398" s="57"/>
      <c r="B398" s="3" t="s">
        <v>152</v>
      </c>
      <c r="D398" s="140"/>
      <c r="E398" s="149">
        <f>$L398/E397</f>
        <v>40.665359314092214</v>
      </c>
      <c r="L398" s="139">
        <v>365</v>
      </c>
      <c r="T398" s="57"/>
      <c r="W398" s="60"/>
    </row>
    <row r="399" spans="1:23" x14ac:dyDescent="0.4">
      <c r="A399" s="57"/>
      <c r="T399" s="57"/>
      <c r="W399" s="60"/>
    </row>
    <row r="400" spans="1:23" x14ac:dyDescent="0.4">
      <c r="A400" s="57"/>
      <c r="B400" s="3" t="s">
        <v>168</v>
      </c>
      <c r="E400" s="93">
        <f>E390</f>
        <v>643.12881605574307</v>
      </c>
      <c r="T400" s="57"/>
      <c r="W400" s="60"/>
    </row>
    <row r="401" spans="1:23" x14ac:dyDescent="0.4">
      <c r="A401" s="57"/>
      <c r="B401" s="12" t="s">
        <v>39</v>
      </c>
      <c r="C401" s="12"/>
      <c r="D401" s="12"/>
      <c r="E401" s="97">
        <f>E31</f>
        <v>141.28442457322268</v>
      </c>
      <c r="T401" s="57"/>
      <c r="W401" s="60"/>
    </row>
    <row r="402" spans="1:23" x14ac:dyDescent="0.4">
      <c r="A402" s="57"/>
      <c r="B402" s="39" t="s">
        <v>170</v>
      </c>
      <c r="C402" s="39"/>
      <c r="D402" s="158"/>
      <c r="E402" s="159">
        <f>E400/E401</f>
        <v>4.5520149726230601</v>
      </c>
      <c r="T402" s="57"/>
      <c r="W402" s="60"/>
    </row>
    <row r="403" spans="1:23" x14ac:dyDescent="0.4">
      <c r="A403" s="57"/>
      <c r="B403" s="3" t="s">
        <v>153</v>
      </c>
      <c r="D403" s="138"/>
      <c r="E403" s="149">
        <f>L403/E402</f>
        <v>80.184270525294835</v>
      </c>
      <c r="L403" s="139">
        <v>365</v>
      </c>
      <c r="T403" s="57"/>
      <c r="W403" s="60"/>
    </row>
    <row r="404" spans="1:23" x14ac:dyDescent="0.4">
      <c r="A404" s="57"/>
      <c r="T404" s="57"/>
      <c r="W404" s="60"/>
    </row>
    <row r="405" spans="1:23" x14ac:dyDescent="0.4">
      <c r="A405" s="57"/>
      <c r="B405" s="3" t="s">
        <v>208</v>
      </c>
      <c r="D405" s="138"/>
      <c r="E405" s="149">
        <f>E393+E398-E403</f>
        <v>-19.812798495162383</v>
      </c>
      <c r="L405" s="139">
        <v>365</v>
      </c>
      <c r="T405" s="57"/>
      <c r="W405" s="60"/>
    </row>
    <row r="406" spans="1:23" x14ac:dyDescent="0.4">
      <c r="A406" s="57"/>
      <c r="T406" s="57"/>
      <c r="W406" s="60"/>
    </row>
    <row r="407" spans="1:23" ht="18.5" thickBot="1" x14ac:dyDescent="0.45">
      <c r="A407" s="57" t="s">
        <v>66</v>
      </c>
      <c r="B407" s="194" t="s">
        <v>192</v>
      </c>
      <c r="C407" s="195"/>
      <c r="D407" s="195"/>
      <c r="E407" s="195"/>
      <c r="F407" s="195"/>
      <c r="G407" s="195"/>
      <c r="H407" s="195"/>
      <c r="I407" s="195"/>
      <c r="J407" s="195"/>
      <c r="L407" s="195"/>
      <c r="M407" s="195"/>
      <c r="N407" s="195"/>
      <c r="O407" s="195"/>
      <c r="P407" s="195"/>
      <c r="Q407" s="195"/>
      <c r="T407" s="57"/>
      <c r="W407" s="60"/>
    </row>
    <row r="408" spans="1:23" x14ac:dyDescent="0.4">
      <c r="A408" s="57"/>
      <c r="B408" s="196"/>
      <c r="C408" s="60"/>
      <c r="D408" s="60"/>
      <c r="E408" s="60"/>
      <c r="F408" s="60"/>
      <c r="G408" s="60"/>
      <c r="H408" s="60"/>
      <c r="I408" s="60"/>
      <c r="J408" s="60"/>
      <c r="L408" s="60"/>
      <c r="M408" s="60"/>
      <c r="N408" s="60"/>
      <c r="O408" s="60"/>
      <c r="P408" s="60"/>
      <c r="Q408" s="60"/>
      <c r="T408" s="57"/>
      <c r="W408" s="60"/>
    </row>
    <row r="409" spans="1:23" x14ac:dyDescent="0.4">
      <c r="A409" s="57"/>
      <c r="B409" s="213" t="s">
        <v>301</v>
      </c>
      <c r="C409" s="60"/>
      <c r="D409" s="60"/>
      <c r="E409" s="60"/>
      <c r="F409" s="60"/>
      <c r="G409" s="60"/>
      <c r="H409" s="60"/>
      <c r="I409" s="60"/>
      <c r="J409" s="60"/>
      <c r="L409" s="60"/>
      <c r="T409" s="57"/>
      <c r="W409" s="60"/>
    </row>
    <row r="410" spans="1:23" x14ac:dyDescent="0.4">
      <c r="A410" s="57"/>
      <c r="B410" s="214" t="s">
        <v>203</v>
      </c>
      <c r="C410" s="60"/>
      <c r="D410" s="60"/>
      <c r="E410" s="60"/>
      <c r="F410" s="60"/>
      <c r="G410" s="60"/>
      <c r="H410" s="60"/>
      <c r="I410" s="60"/>
      <c r="J410" s="60"/>
      <c r="L410" s="60"/>
      <c r="T410" s="57"/>
      <c r="W410" s="60"/>
    </row>
    <row r="411" spans="1:23" x14ac:dyDescent="0.4">
      <c r="A411" s="57"/>
      <c r="B411" s="214" t="s">
        <v>207</v>
      </c>
      <c r="C411" s="60"/>
      <c r="D411" s="60"/>
      <c r="E411" s="60"/>
      <c r="F411" s="60"/>
      <c r="G411" s="60"/>
      <c r="H411" s="60"/>
      <c r="I411" s="60"/>
      <c r="J411" s="60"/>
      <c r="L411" s="60"/>
      <c r="T411" s="57"/>
      <c r="W411" s="60"/>
    </row>
    <row r="412" spans="1:23" x14ac:dyDescent="0.4">
      <c r="A412" s="57"/>
      <c r="B412" s="214" t="s">
        <v>204</v>
      </c>
      <c r="C412" s="60"/>
      <c r="D412" s="60"/>
      <c r="E412" s="60"/>
      <c r="F412" s="60"/>
      <c r="G412" s="60"/>
      <c r="H412" s="60"/>
      <c r="I412" s="60"/>
      <c r="J412" s="60"/>
      <c r="L412" s="60"/>
      <c r="T412" s="57"/>
      <c r="W412" s="60"/>
    </row>
    <row r="413" spans="1:23" x14ac:dyDescent="0.4">
      <c r="A413" s="57"/>
      <c r="B413" s="215" t="s">
        <v>238</v>
      </c>
      <c r="C413" s="60"/>
      <c r="D413" s="60"/>
      <c r="E413" s="60"/>
      <c r="F413" s="60"/>
      <c r="G413" s="60"/>
      <c r="H413" s="60"/>
      <c r="I413" s="60"/>
      <c r="J413" s="60"/>
      <c r="L413" s="60"/>
      <c r="T413" s="57"/>
      <c r="W413" s="60"/>
    </row>
    <row r="414" spans="1:23" x14ac:dyDescent="0.4">
      <c r="A414" s="57"/>
      <c r="B414" s="215" t="s">
        <v>205</v>
      </c>
      <c r="C414" s="60"/>
      <c r="D414" s="60"/>
      <c r="E414" s="60"/>
      <c r="F414" s="60"/>
      <c r="G414" s="60"/>
      <c r="H414" s="60"/>
      <c r="I414" s="60"/>
      <c r="J414" s="60"/>
      <c r="L414" s="60"/>
      <c r="T414" s="57"/>
      <c r="W414" s="60"/>
    </row>
    <row r="415" spans="1:23" x14ac:dyDescent="0.4">
      <c r="A415" s="57"/>
      <c r="B415" s="214" t="s">
        <v>206</v>
      </c>
      <c r="C415" s="60"/>
      <c r="D415" s="60"/>
      <c r="E415" s="60"/>
      <c r="F415" s="60"/>
      <c r="G415" s="60"/>
      <c r="H415" s="60"/>
      <c r="I415" s="60"/>
      <c r="J415" s="60"/>
      <c r="L415" s="60"/>
      <c r="T415" s="57"/>
      <c r="W415" s="60"/>
    </row>
    <row r="416" spans="1:23" x14ac:dyDescent="0.4">
      <c r="A416" s="57"/>
      <c r="B416" s="214" t="s">
        <v>256</v>
      </c>
      <c r="C416" s="60"/>
      <c r="D416" s="60"/>
      <c r="E416" s="60"/>
      <c r="F416" s="60"/>
      <c r="G416" s="60"/>
      <c r="H416" s="60"/>
      <c r="I416" s="60"/>
      <c r="J416" s="60"/>
      <c r="L416" s="60"/>
      <c r="T416" s="57"/>
      <c r="W416" s="60"/>
    </row>
    <row r="417" spans="1:28" x14ac:dyDescent="0.4">
      <c r="A417" s="57"/>
      <c r="B417" s="196"/>
      <c r="C417" s="60"/>
      <c r="D417" s="60"/>
      <c r="E417" s="60"/>
      <c r="F417" s="60"/>
      <c r="G417" s="60"/>
      <c r="H417" s="60"/>
      <c r="I417" s="60"/>
      <c r="J417" s="60"/>
      <c r="L417" s="60"/>
      <c r="T417" s="57"/>
      <c r="W417" s="60"/>
    </row>
    <row r="418" spans="1:28" ht="22" x14ac:dyDescent="0.8">
      <c r="A418" s="57"/>
      <c r="B418" s="12"/>
      <c r="C418" s="12"/>
      <c r="D418" s="8" t="s">
        <v>70</v>
      </c>
      <c r="E418" s="8"/>
      <c r="F418" s="8" t="s">
        <v>59</v>
      </c>
      <c r="G418" s="8"/>
      <c r="H418" s="8"/>
      <c r="I418" s="8"/>
      <c r="J418" s="8"/>
      <c r="L418" s="12"/>
      <c r="T418" s="57"/>
      <c r="W418" s="60"/>
    </row>
    <row r="419" spans="1:28" ht="18.5" thickBot="1" x14ac:dyDescent="0.45">
      <c r="A419" s="57"/>
      <c r="D419" s="74">
        <f t="shared" ref="D419:J419" si="256">D$12</f>
        <v>2019</v>
      </c>
      <c r="E419" s="74">
        <f t="shared" si="256"/>
        <v>2020</v>
      </c>
      <c r="F419" s="74">
        <f t="shared" si="256"/>
        <v>2021</v>
      </c>
      <c r="G419" s="74">
        <f t="shared" si="256"/>
        <v>2022</v>
      </c>
      <c r="H419" s="74">
        <f t="shared" si="256"/>
        <v>2023</v>
      </c>
      <c r="I419" s="74">
        <f t="shared" si="256"/>
        <v>2024</v>
      </c>
      <c r="J419" s="74">
        <f t="shared" si="256"/>
        <v>2025</v>
      </c>
      <c r="L419" s="12"/>
      <c r="T419" s="57"/>
      <c r="W419" s="60"/>
    </row>
    <row r="420" spans="1:28" s="12" customFormat="1" x14ac:dyDescent="0.4">
      <c r="A420" s="59"/>
      <c r="D420" s="200"/>
      <c r="E420" s="200"/>
      <c r="F420" s="200"/>
      <c r="G420" s="200"/>
      <c r="H420" s="200"/>
      <c r="I420" s="200"/>
      <c r="J420" s="200"/>
      <c r="K420"/>
      <c r="T420" s="57"/>
      <c r="U420" s="55"/>
      <c r="V420" s="55"/>
      <c r="W420" s="60"/>
      <c r="X420" s="60"/>
      <c r="Y420" s="60"/>
      <c r="Z420" s="60"/>
      <c r="AA420" s="60"/>
      <c r="AB420" s="60"/>
    </row>
    <row r="421" spans="1:28" x14ac:dyDescent="0.4">
      <c r="A421" s="57"/>
      <c r="D421" s="7"/>
      <c r="E421" s="193" t="s">
        <v>193</v>
      </c>
      <c r="J421" s="114" t="s">
        <v>194</v>
      </c>
      <c r="L421" s="12"/>
      <c r="T421" s="57"/>
      <c r="W421" s="60"/>
    </row>
    <row r="422" spans="1:28" x14ac:dyDescent="0.4">
      <c r="A422" s="57"/>
      <c r="B422" s="3" t="s">
        <v>154</v>
      </c>
      <c r="D422" s="7"/>
      <c r="E422" s="279">
        <f>SUM(E68:E69)</f>
        <v>453.85766385779459</v>
      </c>
      <c r="J422" s="96">
        <f ca="1">J381</f>
        <v>932.40377172145372</v>
      </c>
      <c r="L422" s="12"/>
      <c r="T422" s="57"/>
      <c r="W422" s="60"/>
    </row>
    <row r="423" spans="1:28" x14ac:dyDescent="0.4">
      <c r="A423" s="57"/>
      <c r="B423" s="12" t="s">
        <v>117</v>
      </c>
      <c r="C423" s="12"/>
      <c r="D423" s="10"/>
      <c r="E423" s="199">
        <f>E343</f>
        <v>8.289359234844861</v>
      </c>
      <c r="F423" s="12"/>
      <c r="G423" s="12"/>
      <c r="H423" s="12"/>
      <c r="I423" s="12"/>
      <c r="J423" s="199">
        <f>E343</f>
        <v>8.289359234844861</v>
      </c>
      <c r="L423" s="12"/>
      <c r="T423" s="57"/>
      <c r="W423" s="60"/>
    </row>
    <row r="424" spans="1:28" x14ac:dyDescent="0.4">
      <c r="A424" s="57"/>
      <c r="B424" s="39" t="s">
        <v>195</v>
      </c>
      <c r="C424" s="39"/>
      <c r="D424" s="201"/>
      <c r="E424" s="95">
        <f>E422*E423</f>
        <v>3762.1892172047242</v>
      </c>
      <c r="F424" s="221" t="s">
        <v>220</v>
      </c>
      <c r="G424" s="231" t="s">
        <v>218</v>
      </c>
      <c r="H424" s="232"/>
      <c r="I424" s="233"/>
      <c r="J424" s="95">
        <f ca="1">J422*J423</f>
        <v>7729.029815723412</v>
      </c>
      <c r="L424" s="12"/>
      <c r="T424" s="57"/>
      <c r="W424" s="60"/>
    </row>
    <row r="425" spans="1:28" x14ac:dyDescent="0.4">
      <c r="A425" s="57"/>
      <c r="D425" s="7"/>
      <c r="E425" s="45"/>
      <c r="F425" s="222" t="s">
        <v>196</v>
      </c>
      <c r="G425" s="234" t="s">
        <v>232</v>
      </c>
      <c r="H425" s="193" t="s">
        <v>196</v>
      </c>
      <c r="I425" s="235" t="s">
        <v>219</v>
      </c>
      <c r="J425" s="12"/>
      <c r="L425" s="12"/>
      <c r="T425" s="57"/>
      <c r="W425" s="60"/>
    </row>
    <row r="426" spans="1:28" x14ac:dyDescent="0.4">
      <c r="A426" s="57"/>
      <c r="B426" s="3" t="str">
        <f>B148</f>
        <v>Short-term Debt:</v>
      </c>
      <c r="D426" s="7"/>
      <c r="E426" s="99">
        <f>E422*$F$426</f>
        <v>211.14297554389427</v>
      </c>
      <c r="F426" s="237">
        <f>$F$429*I426</f>
        <v>0.46521848667085824</v>
      </c>
      <c r="G426" s="278">
        <f>E30</f>
        <v>211.14297554389427</v>
      </c>
      <c r="H426" s="283">
        <f>G426/$E$422</f>
        <v>0.46521848667085824</v>
      </c>
      <c r="I426" s="281">
        <f>G426/$G$429</f>
        <v>0.28280945056483975</v>
      </c>
      <c r="J426" s="99">
        <f ca="1">J30</f>
        <v>0</v>
      </c>
      <c r="L426" s="12"/>
      <c r="T426" s="57"/>
      <c r="W426" s="60"/>
    </row>
    <row r="427" spans="1:28" x14ac:dyDescent="0.4">
      <c r="A427" s="57"/>
      <c r="B427" s="3" t="str">
        <f>B159</f>
        <v>Long-term Debt:</v>
      </c>
      <c r="D427" s="7"/>
      <c r="E427" s="99">
        <f>E422*$F$427</f>
        <v>535.44797154853859</v>
      </c>
      <c r="F427" s="237">
        <f>$F$429*I427</f>
        <v>1.1797706950615874</v>
      </c>
      <c r="G427" s="278">
        <f>E35</f>
        <v>535.44797154853859</v>
      </c>
      <c r="H427" s="283">
        <f>G427/$E$422</f>
        <v>1.1797706950615874</v>
      </c>
      <c r="I427" s="281">
        <f>G427/$G$429</f>
        <v>0.71719054943516025</v>
      </c>
      <c r="J427" s="99">
        <f ca="1">J35</f>
        <v>0</v>
      </c>
      <c r="L427" s="12"/>
      <c r="T427" s="57"/>
      <c r="W427" s="60"/>
    </row>
    <row r="428" spans="1:28" x14ac:dyDescent="0.4">
      <c r="A428" s="57"/>
      <c r="B428" s="12"/>
      <c r="C428" s="12"/>
      <c r="D428" s="10"/>
      <c r="E428" s="277"/>
      <c r="F428" s="283"/>
      <c r="G428" s="278"/>
      <c r="H428" s="283"/>
      <c r="I428" s="281"/>
      <c r="J428" s="285"/>
      <c r="L428" s="12"/>
      <c r="T428" s="57"/>
      <c r="W428" s="60"/>
    </row>
    <row r="429" spans="1:28" x14ac:dyDescent="0.4">
      <c r="A429" s="57"/>
      <c r="B429" s="39" t="s">
        <v>217</v>
      </c>
      <c r="C429" s="39"/>
      <c r="D429" s="201"/>
      <c r="E429" s="95">
        <f>SUM(E426:E427)</f>
        <v>746.59094709243288</v>
      </c>
      <c r="F429" s="292">
        <v>1.6449891817324456</v>
      </c>
      <c r="G429" s="280">
        <f>SUM(G426:G428)</f>
        <v>746.59094709243288</v>
      </c>
      <c r="H429" s="284">
        <f t="shared" ref="H429:I429" si="257">SUM(H426:H428)</f>
        <v>1.6449891817324456</v>
      </c>
      <c r="I429" s="282">
        <f t="shared" si="257"/>
        <v>1</v>
      </c>
      <c r="J429" s="95">
        <f ca="1">SUM(J426:J427)</f>
        <v>0</v>
      </c>
      <c r="L429" s="12"/>
      <c r="T429" s="57"/>
      <c r="W429" s="60"/>
    </row>
    <row r="430" spans="1:28" x14ac:dyDescent="0.4">
      <c r="A430" s="57"/>
      <c r="D430" s="7"/>
      <c r="E430" s="318">
        <f>E422*$F$426</f>
        <v>211.14297554389427</v>
      </c>
      <c r="F430" s="189" t="s">
        <v>233</v>
      </c>
      <c r="G430" s="236">
        <f>G429-E429</f>
        <v>0</v>
      </c>
      <c r="H430" s="287"/>
      <c r="I430" s="7"/>
      <c r="J430" s="7"/>
      <c r="L430" s="7"/>
      <c r="T430" s="57"/>
      <c r="W430" s="60"/>
    </row>
    <row r="431" spans="1:28" x14ac:dyDescent="0.4">
      <c r="A431" s="57"/>
      <c r="B431" s="3" t="str">
        <f>B424</f>
        <v>Enterprise Value</v>
      </c>
      <c r="D431" s="7"/>
      <c r="E431" s="93">
        <f>E424</f>
        <v>3762.1892172047242</v>
      </c>
      <c r="F431" s="7"/>
      <c r="J431" s="93">
        <f ca="1">J424</f>
        <v>7729.029815723412</v>
      </c>
      <c r="L431" s="12"/>
      <c r="T431" s="57"/>
      <c r="W431" s="60"/>
    </row>
    <row r="432" spans="1:28" x14ac:dyDescent="0.4">
      <c r="A432" s="57"/>
      <c r="B432" s="3" t="s">
        <v>158</v>
      </c>
      <c r="D432" s="7"/>
      <c r="E432" s="93">
        <f>-E429</f>
        <v>-746.59094709243288</v>
      </c>
      <c r="F432" s="7"/>
      <c r="J432" s="93">
        <f ca="1">-J429</f>
        <v>0</v>
      </c>
      <c r="L432" s="12"/>
      <c r="T432" s="57"/>
      <c r="W432" s="60"/>
    </row>
    <row r="433" spans="1:23" x14ac:dyDescent="0.4">
      <c r="A433" s="57"/>
      <c r="B433" s="12" t="s">
        <v>159</v>
      </c>
      <c r="C433" s="12"/>
      <c r="D433" s="10"/>
      <c r="E433" s="97">
        <f>E15</f>
        <v>447.79051664437173</v>
      </c>
      <c r="F433" s="10"/>
      <c r="G433" s="12"/>
      <c r="H433" s="12"/>
      <c r="I433" s="12"/>
      <c r="J433" s="97">
        <f ca="1">J15</f>
        <v>572.93058833801467</v>
      </c>
      <c r="L433" s="12"/>
      <c r="T433" s="57"/>
      <c r="W433" s="60"/>
    </row>
    <row r="434" spans="1:23" x14ac:dyDescent="0.4">
      <c r="A434" s="57"/>
      <c r="B434" s="39" t="s">
        <v>197</v>
      </c>
      <c r="C434" s="39"/>
      <c r="D434" s="201"/>
      <c r="E434" s="95">
        <f>SUM(E431:E433)</f>
        <v>3463.3887867566627</v>
      </c>
      <c r="F434" s="201"/>
      <c r="G434" s="39"/>
      <c r="H434" s="39"/>
      <c r="I434" s="39"/>
      <c r="J434" s="95">
        <f ca="1">SUM(J431:J433)</f>
        <v>8301.9604040614267</v>
      </c>
      <c r="L434" s="12"/>
      <c r="T434" s="57"/>
      <c r="W434" s="60"/>
    </row>
    <row r="435" spans="1:23" x14ac:dyDescent="0.4">
      <c r="A435" s="57"/>
      <c r="D435" s="7"/>
      <c r="E435" s="45"/>
      <c r="J435" s="197"/>
      <c r="L435" s="12"/>
      <c r="T435" s="57"/>
      <c r="W435" s="60"/>
    </row>
    <row r="436" spans="1:23" x14ac:dyDescent="0.4">
      <c r="A436" s="57"/>
      <c r="B436" s="12" t="s">
        <v>198</v>
      </c>
      <c r="C436" s="12"/>
      <c r="D436" s="10"/>
      <c r="E436" s="197"/>
      <c r="F436" s="12"/>
      <c r="G436" s="12"/>
      <c r="H436" s="12"/>
      <c r="I436" s="12"/>
      <c r="J436" s="198">
        <f ca="1">(J434/E434)^(1/(J419-E419))-1</f>
        <v>0.19106615007642636</v>
      </c>
      <c r="L436" s="12"/>
      <c r="T436" s="57"/>
      <c r="W436" s="60"/>
    </row>
    <row r="437" spans="1:23" x14ac:dyDescent="0.4">
      <c r="A437" s="57"/>
      <c r="B437" s="12" t="s">
        <v>202</v>
      </c>
      <c r="C437" s="12"/>
      <c r="D437" s="10"/>
      <c r="E437" s="197"/>
      <c r="F437" s="12"/>
      <c r="G437" s="12"/>
      <c r="H437" s="12"/>
      <c r="I437" s="12"/>
      <c r="J437" s="122">
        <v>0.2</v>
      </c>
      <c r="L437" s="12"/>
      <c r="T437" s="57"/>
      <c r="W437" s="60"/>
    </row>
    <row r="438" spans="1:23" x14ac:dyDescent="0.4">
      <c r="A438" s="57"/>
      <c r="L438" s="12"/>
      <c r="T438" s="57"/>
      <c r="W438" s="60"/>
    </row>
    <row r="439" spans="1:23" x14ac:dyDescent="0.4">
      <c r="A439" s="57"/>
      <c r="D439" s="212" t="s">
        <v>201</v>
      </c>
      <c r="E439" s="193"/>
      <c r="F439" s="193"/>
      <c r="G439" s="193"/>
      <c r="H439" s="193"/>
      <c r="I439" s="193"/>
      <c r="J439" s="193"/>
      <c r="L439" s="193"/>
      <c r="M439" s="193"/>
      <c r="N439" s="202"/>
      <c r="O439" s="202"/>
      <c r="P439" s="202"/>
      <c r="Q439" s="202"/>
      <c r="T439" s="57"/>
      <c r="W439" s="60"/>
    </row>
    <row r="440" spans="1:23" x14ac:dyDescent="0.4">
      <c r="A440" s="57"/>
      <c r="D440" s="7"/>
      <c r="E440" s="45"/>
      <c r="F440" s="193" t="s">
        <v>199</v>
      </c>
      <c r="G440" s="193"/>
      <c r="H440" s="193"/>
      <c r="I440" s="193"/>
      <c r="J440" s="202"/>
      <c r="M440" s="193" t="s">
        <v>67</v>
      </c>
      <c r="N440" s="193"/>
      <c r="O440" s="193"/>
      <c r="P440" s="193"/>
      <c r="Q440" s="202"/>
      <c r="S440" s="114" t="s">
        <v>222</v>
      </c>
      <c r="T440" s="57"/>
      <c r="W440" s="60"/>
    </row>
    <row r="441" spans="1:23" x14ac:dyDescent="0.4">
      <c r="A441" s="57"/>
      <c r="E441" s="157">
        <f ca="1">$J$436</f>
        <v>0.19106615007642636</v>
      </c>
      <c r="F441" s="286">
        <f>G441-$S$441</f>
        <v>6</v>
      </c>
      <c r="G441" s="286">
        <f>H441-$S$441</f>
        <v>7</v>
      </c>
      <c r="H441" s="119">
        <v>8</v>
      </c>
      <c r="I441" s="286">
        <f>H441+$S$441</f>
        <v>9</v>
      </c>
      <c r="J441" s="286">
        <f>I441+$S$441</f>
        <v>10</v>
      </c>
      <c r="L441" s="157">
        <f ca="1">$J$436</f>
        <v>0.19106615007642636</v>
      </c>
      <c r="M441" s="241">
        <v>2.5000000000000001E-2</v>
      </c>
      <c r="N441" s="241">
        <v>0.05</v>
      </c>
      <c r="O441" s="241">
        <v>7.4999999999999997E-2</v>
      </c>
      <c r="P441" s="241">
        <v>0.1</v>
      </c>
      <c r="Q441" s="241">
        <v>0.125</v>
      </c>
      <c r="S441" s="226">
        <v>1</v>
      </c>
      <c r="T441" s="57"/>
      <c r="W441" s="60"/>
    </row>
    <row r="442" spans="1:23" x14ac:dyDescent="0.4">
      <c r="A442" s="57"/>
      <c r="D442" s="172"/>
      <c r="E442" s="238">
        <f>F441</f>
        <v>6</v>
      </c>
      <c r="F442" s="205">
        <f t="dataTable" ref="F442:J446" dt2D="1" dtr="1" r1="E423" r2="J423" ca="1"/>
        <v>0.2053158290955206</v>
      </c>
      <c r="G442" s="154">
        <v>0.16465011417955067</v>
      </c>
      <c r="H442" s="154">
        <v>0.13103795444878807</v>
      </c>
      <c r="I442" s="154">
        <v>0.10251754989112638</v>
      </c>
      <c r="J442" s="206">
        <v>7.7832259174750451E-2</v>
      </c>
      <c r="L442" s="238">
        <f>E442</f>
        <v>6</v>
      </c>
      <c r="M442" s="205">
        <f t="dataTable" ref="M442:Q446" dt2D="1" dtr="1" r1="E264" r2="J423" ca="1"/>
        <v>1.2393285490475137E-3</v>
      </c>
      <c r="N442" s="154">
        <v>2.4726865370880091E-2</v>
      </c>
      <c r="O442" s="154">
        <v>4.8096937931347838E-2</v>
      </c>
      <c r="P442" s="154">
        <v>7.1385716562330614E-2</v>
      </c>
      <c r="Q442" s="206">
        <v>9.4617884449795353E-2</v>
      </c>
      <c r="T442" s="57"/>
      <c r="W442" s="60"/>
    </row>
    <row r="443" spans="1:23" x14ac:dyDescent="0.4">
      <c r="A443" s="57"/>
      <c r="D443" s="174" t="s">
        <v>194</v>
      </c>
      <c r="E443" s="238">
        <f>G441</f>
        <v>7</v>
      </c>
      <c r="F443" s="207">
        <v>0.23973765513412926</v>
      </c>
      <c r="G443" s="147">
        <v>0.19791059467412131</v>
      </c>
      <c r="H443" s="147">
        <v>0.1633385272685508</v>
      </c>
      <c r="I443" s="147">
        <v>0.13400362714012526</v>
      </c>
      <c r="J443" s="208">
        <v>0.10861336535958199</v>
      </c>
      <c r="L443" s="238">
        <f>E443</f>
        <v>7</v>
      </c>
      <c r="M443" s="207">
        <v>2.9146107983152758E-2</v>
      </c>
      <c r="N443" s="147">
        <v>5.3411642542749771E-2</v>
      </c>
      <c r="O443" s="147">
        <v>7.7572418669981547E-2</v>
      </c>
      <c r="P443" s="147">
        <v>0.10166092034141871</v>
      </c>
      <c r="Q443" s="208">
        <v>0.12569929772603938</v>
      </c>
      <c r="T443" s="57"/>
      <c r="W443" s="60"/>
    </row>
    <row r="444" spans="1:23" x14ac:dyDescent="0.4">
      <c r="A444" s="57"/>
      <c r="D444" s="174" t="s">
        <v>117</v>
      </c>
      <c r="E444" s="238">
        <f>H441</f>
        <v>8</v>
      </c>
      <c r="F444" s="207">
        <v>0.27071329578980197</v>
      </c>
      <c r="G444" s="147">
        <v>0.2278411593904397</v>
      </c>
      <c r="H444" s="147">
        <v>0.19240528670135304</v>
      </c>
      <c r="I444" s="147">
        <v>0.16233743527368705</v>
      </c>
      <c r="J444" s="208">
        <v>0.13631278151367088</v>
      </c>
      <c r="L444" s="238">
        <f>E444</f>
        <v>8</v>
      </c>
      <c r="M444" s="207">
        <v>5.4318055757657246E-2</v>
      </c>
      <c r="N444" s="147">
        <v>7.9274663876122364E-2</v>
      </c>
      <c r="O444" s="147">
        <v>0.10413649683279047</v>
      </c>
      <c r="P444" s="147">
        <v>0.12893310139795178</v>
      </c>
      <c r="Q444" s="208">
        <v>0.15368461222247376</v>
      </c>
      <c r="T444" s="57"/>
      <c r="W444" s="60"/>
    </row>
    <row r="445" spans="1:23" x14ac:dyDescent="0.4">
      <c r="A445" s="57"/>
      <c r="D445" s="203"/>
      <c r="E445" s="238">
        <f>I441</f>
        <v>9</v>
      </c>
      <c r="F445" s="207">
        <v>0.29893355281339851</v>
      </c>
      <c r="G445" s="147">
        <v>0.25510930336670357</v>
      </c>
      <c r="H445" s="147">
        <v>0.21888646367376574</v>
      </c>
      <c r="I445" s="147">
        <v>0.18815085934050924</v>
      </c>
      <c r="J445" s="208">
        <v>0.16154824482373442</v>
      </c>
      <c r="L445" s="238">
        <f>E445</f>
        <v>9</v>
      </c>
      <c r="M445" s="207">
        <v>7.7293026184803715E-2</v>
      </c>
      <c r="N445" s="147">
        <v>0.10287276084024422</v>
      </c>
      <c r="O445" s="147">
        <v>0.12836579182786179</v>
      </c>
      <c r="P445" s="147">
        <v>0.15379926506535679</v>
      </c>
      <c r="Q445" s="208">
        <v>0.17919166970084421</v>
      </c>
      <c r="T445" s="57"/>
      <c r="W445" s="60"/>
    </row>
    <row r="446" spans="1:23" x14ac:dyDescent="0.4">
      <c r="A446" s="57"/>
      <c r="D446" s="204"/>
      <c r="E446" s="239">
        <f>J441</f>
        <v>10</v>
      </c>
      <c r="F446" s="209">
        <v>0.32489521479554329</v>
      </c>
      <c r="G446" s="210">
        <v>0.28019505422291568</v>
      </c>
      <c r="H446" s="210">
        <v>0.24324823206135626</v>
      </c>
      <c r="I446" s="210">
        <v>0.21189831811327098</v>
      </c>
      <c r="J446" s="211">
        <v>0.18476399965796153</v>
      </c>
      <c r="L446" s="239">
        <f>E446</f>
        <v>10</v>
      </c>
      <c r="M446" s="209">
        <v>9.8460392706461786E-2</v>
      </c>
      <c r="N446" s="210">
        <v>0.12460857471933284</v>
      </c>
      <c r="O446" s="210">
        <v>0.15067672730786752</v>
      </c>
      <c r="P446" s="210">
        <v>0.17668999368858018</v>
      </c>
      <c r="Q446" s="211">
        <v>0.20266549174591075</v>
      </c>
      <c r="T446" s="57"/>
      <c r="W446" s="60"/>
    </row>
    <row r="447" spans="1:23" x14ac:dyDescent="0.4">
      <c r="A447" s="57"/>
      <c r="D447" s="7"/>
      <c r="E447" s="119"/>
      <c r="F447" s="193" t="s">
        <v>199</v>
      </c>
      <c r="G447" s="193"/>
      <c r="H447" s="193"/>
      <c r="I447" s="193"/>
      <c r="J447" s="202"/>
      <c r="L447" s="12"/>
      <c r="M447" s="193" t="s">
        <v>67</v>
      </c>
      <c r="N447" s="193"/>
      <c r="O447" s="193"/>
      <c r="P447" s="193"/>
      <c r="Q447" s="202"/>
      <c r="T447" s="57"/>
      <c r="W447" s="60"/>
    </row>
    <row r="448" spans="1:23" x14ac:dyDescent="0.4">
      <c r="A448" s="57"/>
      <c r="E448" s="157">
        <f ca="1">$J$436</f>
        <v>0.19106615007642636</v>
      </c>
      <c r="F448" s="238">
        <f>F441</f>
        <v>6</v>
      </c>
      <c r="G448" s="238">
        <f t="shared" ref="G448:J448" si="258">G441</f>
        <v>7</v>
      </c>
      <c r="H448" s="238">
        <f t="shared" si="258"/>
        <v>8</v>
      </c>
      <c r="I448" s="238">
        <f t="shared" si="258"/>
        <v>9</v>
      </c>
      <c r="J448" s="238">
        <f t="shared" si="258"/>
        <v>10</v>
      </c>
      <c r="L448" s="157">
        <f ca="1">$J$436</f>
        <v>0.19106615007642636</v>
      </c>
      <c r="M448" s="240">
        <f>M441</f>
        <v>2.5000000000000001E-2</v>
      </c>
      <c r="N448" s="240">
        <f t="shared" ref="N448:Q448" si="259">N441</f>
        <v>0.05</v>
      </c>
      <c r="O448" s="240">
        <f t="shared" si="259"/>
        <v>7.4999999999999997E-2</v>
      </c>
      <c r="P448" s="240">
        <f t="shared" si="259"/>
        <v>0.1</v>
      </c>
      <c r="Q448" s="240">
        <f t="shared" si="259"/>
        <v>0.125</v>
      </c>
      <c r="T448" s="57"/>
      <c r="W448" s="60"/>
    </row>
    <row r="449" spans="1:23" x14ac:dyDescent="0.4">
      <c r="A449" s="57"/>
      <c r="D449" s="172"/>
      <c r="E449" s="286">
        <f>E450-$E$455</f>
        <v>0</v>
      </c>
      <c r="F449" s="205">
        <f t="dataTable" ref="F449:J453" dt2D="1" dtr="1" r1="E423" r2="F429" ca="1"/>
        <v>0.23405077386374606</v>
      </c>
      <c r="G449" s="154">
        <v>0.20147259016963415</v>
      </c>
      <c r="H449" s="154">
        <v>0.17345708306944574</v>
      </c>
      <c r="I449" s="154">
        <v>0.14895440096870827</v>
      </c>
      <c r="J449" s="206">
        <v>0.12723298038704978</v>
      </c>
      <c r="L449" s="238">
        <f>E449</f>
        <v>0</v>
      </c>
      <c r="M449" s="205">
        <f t="dataTable" ref="M449:Q453" dt2D="1" dtr="1" r1="E264" r2="F429" ca="1"/>
        <v>5.3534407628695657E-2</v>
      </c>
      <c r="N449" s="154">
        <v>7.4738041065521399E-2</v>
      </c>
      <c r="O449" s="154">
        <v>9.6179266199402313E-2</v>
      </c>
      <c r="P449" s="154">
        <v>0.11783652661101773</v>
      </c>
      <c r="Q449" s="206">
        <v>0.13969025308437999</v>
      </c>
      <c r="T449" s="57"/>
      <c r="W449" s="60"/>
    </row>
    <row r="450" spans="1:23" x14ac:dyDescent="0.4">
      <c r="A450" s="57"/>
      <c r="D450" s="174" t="s">
        <v>193</v>
      </c>
      <c r="E450" s="286">
        <f>E451-$E$455</f>
        <v>1</v>
      </c>
      <c r="F450" s="207">
        <v>0.25810372283949445</v>
      </c>
      <c r="G450" s="147">
        <v>0.21983021403462621</v>
      </c>
      <c r="H450" s="147">
        <v>0.18762744513848206</v>
      </c>
      <c r="I450" s="147">
        <v>0.15993477416079172</v>
      </c>
      <c r="J450" s="208">
        <v>0.13571444822057233</v>
      </c>
      <c r="L450" s="238">
        <f t="shared" ref="L450:L453" si="260">E450</f>
        <v>1</v>
      </c>
      <c r="M450" s="207">
        <v>5.696800181849615E-2</v>
      </c>
      <c r="N450" s="147">
        <v>8.0321385468572704E-2</v>
      </c>
      <c r="O450" s="147">
        <v>0.10376558313378959</v>
      </c>
      <c r="P450" s="147">
        <v>0.12729344812039556</v>
      </c>
      <c r="Q450" s="208">
        <v>0.15089844465906732</v>
      </c>
      <c r="T450" s="57"/>
      <c r="W450" s="60"/>
    </row>
    <row r="451" spans="1:23" x14ac:dyDescent="0.4">
      <c r="A451" s="57"/>
      <c r="D451" s="174" t="s">
        <v>200</v>
      </c>
      <c r="E451" s="225">
        <v>2</v>
      </c>
      <c r="F451" s="207">
        <v>0.29251060615525981</v>
      </c>
      <c r="G451" s="147">
        <v>0.246117705730172</v>
      </c>
      <c r="H451" s="147">
        <v>0.20820883103295085</v>
      </c>
      <c r="I451" s="147">
        <v>0.17631285952386078</v>
      </c>
      <c r="J451" s="208">
        <v>0.14888401799664264</v>
      </c>
      <c r="L451" s="238">
        <f t="shared" si="260"/>
        <v>2</v>
      </c>
      <c r="M451" s="207">
        <v>6.4791126143087352E-2</v>
      </c>
      <c r="N451" s="147">
        <v>9.0767992644274376E-2</v>
      </c>
      <c r="O451" s="147">
        <v>0.11660134153289148</v>
      </c>
      <c r="P451" s="147">
        <v>0.14231589229551944</v>
      </c>
      <c r="Q451" s="208">
        <v>0.16793195903300462</v>
      </c>
      <c r="T451" s="57"/>
      <c r="W451" s="60"/>
    </row>
    <row r="452" spans="1:23" x14ac:dyDescent="0.4">
      <c r="A452" s="57"/>
      <c r="D452" s="203"/>
      <c r="E452" s="286">
        <f>E451+$E$455</f>
        <v>3</v>
      </c>
      <c r="F452" s="207">
        <v>0.33831141284733013</v>
      </c>
      <c r="G452" s="147">
        <v>0.27972586366611307</v>
      </c>
      <c r="H452" s="147">
        <v>0.23379185474190822</v>
      </c>
      <c r="I452" s="147">
        <v>0.19625795194740392</v>
      </c>
      <c r="J452" s="208">
        <v>0.16467747631055762</v>
      </c>
      <c r="L452" s="238">
        <f t="shared" si="260"/>
        <v>3</v>
      </c>
      <c r="M452" s="207">
        <v>7.6825779251114446E-2</v>
      </c>
      <c r="N452" s="147">
        <v>0.10549013439611188</v>
      </c>
      <c r="O452" s="147">
        <v>0.13376848038468792</v>
      </c>
      <c r="P452" s="147">
        <v>0.16172416715473981</v>
      </c>
      <c r="Q452" s="208">
        <v>0.18940852083421933</v>
      </c>
      <c r="T452" s="57"/>
      <c r="W452" s="60"/>
    </row>
    <row r="453" spans="1:23" x14ac:dyDescent="0.4">
      <c r="A453" s="57"/>
      <c r="D453" s="204"/>
      <c r="E453" s="286">
        <f>E452+$E$455</f>
        <v>4</v>
      </c>
      <c r="F453" s="209">
        <v>0.40313367695513391</v>
      </c>
      <c r="G453" s="210">
        <v>0.32438472027038334</v>
      </c>
      <c r="H453" s="210">
        <v>0.26640882288670897</v>
      </c>
      <c r="I453" s="210">
        <v>0.22095281090828722</v>
      </c>
      <c r="J453" s="211">
        <v>0.18380949216697973</v>
      </c>
      <c r="L453" s="239">
        <f t="shared" si="260"/>
        <v>4</v>
      </c>
      <c r="M453" s="209">
        <v>9.2587415355934288E-2</v>
      </c>
      <c r="N453" s="210">
        <v>0.12458811911626855</v>
      </c>
      <c r="O453" s="210">
        <v>0.1558592963474621</v>
      </c>
      <c r="P453" s="210">
        <v>0.18652811743254039</v>
      </c>
      <c r="Q453" s="211">
        <v>0.21669486610391808</v>
      </c>
      <c r="T453" s="57"/>
      <c r="W453" s="60"/>
    </row>
    <row r="454" spans="1:23" x14ac:dyDescent="0.4">
      <c r="A454" s="57"/>
      <c r="L454" s="12"/>
      <c r="O454" s="50"/>
      <c r="T454" s="57"/>
      <c r="W454" s="60"/>
    </row>
    <row r="455" spans="1:23" x14ac:dyDescent="0.4">
      <c r="A455" s="57"/>
      <c r="C455" s="3" t="s">
        <v>221</v>
      </c>
      <c r="E455" s="225">
        <v>1</v>
      </c>
      <c r="L455" s="12"/>
      <c r="T455" s="57"/>
      <c r="W455" s="60"/>
    </row>
    <row r="456" spans="1:23" x14ac:dyDescent="0.4">
      <c r="A456" s="57"/>
      <c r="B456" s="79"/>
      <c r="C456" s="79"/>
      <c r="D456" s="79"/>
      <c r="E456" s="79"/>
      <c r="F456" s="79"/>
      <c r="G456" s="79"/>
      <c r="H456" s="79"/>
      <c r="I456" s="79"/>
      <c r="J456" s="79"/>
      <c r="L456" s="79"/>
      <c r="M456" s="79"/>
      <c r="N456" s="79"/>
      <c r="O456" s="79"/>
      <c r="P456" s="79"/>
      <c r="Q456" s="79"/>
      <c r="R456" s="79"/>
      <c r="S456" s="79"/>
      <c r="T456" s="57"/>
      <c r="W456" s="60"/>
    </row>
    <row r="457" spans="1:23" ht="18.5" thickBot="1" x14ac:dyDescent="0.45">
      <c r="A457" s="57" t="s">
        <v>66</v>
      </c>
      <c r="B457" s="4" t="s">
        <v>239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T457" s="57"/>
      <c r="W457" s="60"/>
    </row>
    <row r="458" spans="1:23" ht="22" x14ac:dyDescent="0.8">
      <c r="A458" s="57"/>
      <c r="B458" s="7"/>
      <c r="D458" s="58"/>
      <c r="F458" s="223" t="s">
        <v>173</v>
      </c>
      <c r="G458" s="58" t="s">
        <v>245</v>
      </c>
      <c r="H458" s="58"/>
      <c r="I458" s="79"/>
      <c r="J458" s="79"/>
      <c r="L458" s="58" t="s">
        <v>240</v>
      </c>
      <c r="M458" s="58"/>
      <c r="N458" s="79"/>
      <c r="T458" s="57"/>
      <c r="W458" s="60"/>
    </row>
    <row r="459" spans="1:23" ht="18.5" thickBot="1" x14ac:dyDescent="0.45">
      <c r="A459" s="57"/>
      <c r="B459" s="7"/>
      <c r="D459" s="247"/>
      <c r="F459" s="248" t="str">
        <f ca="1">$D$6</f>
        <v>Base</v>
      </c>
      <c r="G459" s="249" t="str">
        <f>$D$7</f>
        <v>Base</v>
      </c>
      <c r="H459" s="249" t="str">
        <f>$D$8</f>
        <v>Upside</v>
      </c>
      <c r="I459" s="79"/>
      <c r="J459" s="79"/>
      <c r="L459" s="249" t="str">
        <f>$D$7</f>
        <v>Base</v>
      </c>
      <c r="M459" s="249" t="str">
        <f>$D$8</f>
        <v>Upside</v>
      </c>
      <c r="N459" s="79"/>
      <c r="T459" s="57"/>
      <c r="W459" s="60"/>
    </row>
    <row r="460" spans="1:23" x14ac:dyDescent="0.4">
      <c r="A460" s="250">
        <v>4</v>
      </c>
      <c r="B460" s="13" t="s">
        <v>241</v>
      </c>
      <c r="E460" s="12"/>
      <c r="F460" s="272"/>
      <c r="G460" s="271">
        <v>1</v>
      </c>
      <c r="H460" s="252">
        <f>G460+1</f>
        <v>2</v>
      </c>
      <c r="I460" s="79"/>
      <c r="J460" s="253"/>
      <c r="L460" s="251">
        <v>1</v>
      </c>
      <c r="M460" s="252">
        <f>L460+1</f>
        <v>2</v>
      </c>
      <c r="N460" s="79"/>
      <c r="T460" s="57"/>
      <c r="W460" s="60"/>
    </row>
    <row r="461" spans="1:23" x14ac:dyDescent="0.4">
      <c r="A461" s="57"/>
      <c r="B461" s="78" t="str">
        <f>B52</f>
        <v>Revenue</v>
      </c>
      <c r="E461" s="168"/>
      <c r="F461" s="254">
        <f ca="1">IF(AND(J52&lt;0,F52&lt;0),-((J52/F52)^(1/$A$460)-1),IF(AND(J52&gt;0,F52&gt;0),((J52/F52)^(1/$A$460)-1),"NM"))</f>
        <v>0.15488002467147188</v>
      </c>
      <c r="G461" s="145">
        <f t="dataTable" ref="G461:H487" dt2D="0" dtr="1" r1="D5" ca="1"/>
        <v>0.15488002467147188</v>
      </c>
      <c r="H461" s="145">
        <v>0.21683203454006073</v>
      </c>
      <c r="I461" s="79"/>
      <c r="J461" s="255"/>
      <c r="L461" s="145">
        <f ca="1">G461-F461</f>
        <v>0</v>
      </c>
      <c r="M461" s="145">
        <f ca="1">H461-F461</f>
        <v>6.1952009868588842E-2</v>
      </c>
      <c r="N461" s="79"/>
      <c r="O461" s="109"/>
      <c r="T461" s="57"/>
      <c r="W461" s="60"/>
    </row>
    <row r="462" spans="1:23" x14ac:dyDescent="0.4">
      <c r="A462" s="57"/>
      <c r="B462" s="78" t="str">
        <f>B381</f>
        <v>EBITDA</v>
      </c>
      <c r="E462" s="168"/>
      <c r="F462" s="254">
        <f ca="1">IF(AND(J381&lt;0,F381&lt;0),-((J381/F381)^(1/$A$460)-1),IF(AND(J381&gt;0,F381&gt;0),((J381/F381)^(1/$A$460)-1),"NM"))</f>
        <v>0.15488002467147166</v>
      </c>
      <c r="G462" s="145">
        <v>0.15488002467147166</v>
      </c>
      <c r="H462" s="145">
        <v>0.21683203454006073</v>
      </c>
      <c r="I462" s="79"/>
      <c r="J462" s="256"/>
      <c r="L462" s="145">
        <f t="shared" ref="L462:L463" ca="1" si="261">G462-F462</f>
        <v>0</v>
      </c>
      <c r="M462" s="145">
        <f t="shared" ref="M462:M463" ca="1" si="262">H462-F462</f>
        <v>6.1952009868589064E-2</v>
      </c>
      <c r="N462" s="79"/>
      <c r="O462" s="109"/>
      <c r="T462" s="57"/>
      <c r="W462" s="60"/>
    </row>
    <row r="463" spans="1:23" x14ac:dyDescent="0.4">
      <c r="A463" s="57"/>
      <c r="B463" s="78" t="str">
        <f>B63</f>
        <v>Net Income</v>
      </c>
      <c r="E463" s="168"/>
      <c r="F463" s="254">
        <f ca="1">IF(AND(J63&lt;0,F63&lt;0),-((J63/F63)^(1/$A$460)-1),IF(AND(J63&gt;0,F63&gt;0),((J63/F63)^(1/$A$460)-1),"NM"))</f>
        <v>0.19302383542164225</v>
      </c>
      <c r="G463" s="145">
        <v>0.19302383542164225</v>
      </c>
      <c r="H463" s="145">
        <v>0.23955079266114954</v>
      </c>
      <c r="I463" s="79"/>
      <c r="J463" s="256"/>
      <c r="L463" s="145">
        <f t="shared" ca="1" si="261"/>
        <v>0</v>
      </c>
      <c r="M463" s="145">
        <f t="shared" ca="1" si="262"/>
        <v>4.6526957239507283E-2</v>
      </c>
      <c r="N463" s="79"/>
      <c r="O463" s="109"/>
      <c r="T463" s="57"/>
      <c r="W463" s="60"/>
    </row>
    <row r="464" spans="1:23" x14ac:dyDescent="0.4">
      <c r="A464" s="57"/>
      <c r="E464" s="168"/>
      <c r="F464" s="257"/>
      <c r="G464" s="258">
        <v>0</v>
      </c>
      <c r="H464" s="258">
        <v>0</v>
      </c>
      <c r="I464" s="79"/>
      <c r="J464" s="256"/>
      <c r="L464" s="259"/>
      <c r="M464" s="259"/>
      <c r="N464" s="79"/>
      <c r="O464" s="109"/>
      <c r="T464" s="57"/>
      <c r="W464" s="60"/>
    </row>
    <row r="465" spans="1:23" x14ac:dyDescent="0.4">
      <c r="A465" s="57"/>
      <c r="B465" s="13" t="s">
        <v>242</v>
      </c>
      <c r="E465" s="168"/>
      <c r="F465" s="257"/>
      <c r="G465" s="258">
        <v>0</v>
      </c>
      <c r="H465" s="258">
        <v>0</v>
      </c>
      <c r="I465" s="79"/>
      <c r="J465" s="256"/>
      <c r="L465" s="259"/>
      <c r="M465" s="259"/>
      <c r="N465" s="79"/>
      <c r="O465" s="109"/>
      <c r="T465" s="57"/>
      <c r="W465" s="60"/>
    </row>
    <row r="466" spans="1:23" x14ac:dyDescent="0.4">
      <c r="A466" s="57"/>
      <c r="B466" s="78" t="str">
        <f>B71</f>
        <v>Operating Cash Flow</v>
      </c>
      <c r="E466" s="168"/>
      <c r="F466" s="260">
        <f ca="1">SUM(F71:J71)</f>
        <v>2920.5398582446974</v>
      </c>
      <c r="G466" s="99">
        <v>2920.5398582446974</v>
      </c>
      <c r="H466" s="99">
        <v>5390.3237094743654</v>
      </c>
      <c r="I466" s="79"/>
      <c r="J466" s="256"/>
      <c r="L466" s="99">
        <f t="shared" ref="L466:L468" ca="1" si="263">G466-F466</f>
        <v>0</v>
      </c>
      <c r="M466" s="99">
        <f t="shared" ref="M466:M468" ca="1" si="264">H466-F466</f>
        <v>2469.783851229668</v>
      </c>
      <c r="N466" s="79"/>
      <c r="O466" s="109"/>
      <c r="T466" s="57"/>
      <c r="W466" s="60"/>
    </row>
    <row r="467" spans="1:23" x14ac:dyDescent="0.4">
      <c r="A467" s="57"/>
      <c r="B467" s="78" t="str">
        <f>B93</f>
        <v>Investing Cash Flow</v>
      </c>
      <c r="E467" s="168"/>
      <c r="F467" s="260">
        <f ca="1">SUM(F93:J93)</f>
        <v>-1540.5868939341922</v>
      </c>
      <c r="G467" s="99">
        <v>-1540.5868939341922</v>
      </c>
      <c r="H467" s="99">
        <v>-1717.2756971665276</v>
      </c>
      <c r="I467" s="79"/>
      <c r="J467" s="256"/>
      <c r="L467" s="99">
        <f t="shared" ca="1" si="263"/>
        <v>0</v>
      </c>
      <c r="M467" s="99">
        <f t="shared" ca="1" si="264"/>
        <v>-176.68880323233543</v>
      </c>
      <c r="N467" s="79"/>
      <c r="O467" s="109"/>
      <c r="T467" s="57"/>
      <c r="W467" s="60"/>
    </row>
    <row r="468" spans="1:23" x14ac:dyDescent="0.4">
      <c r="A468" s="57"/>
      <c r="B468" s="78" t="str">
        <f>B124</f>
        <v>Free Cash Flow</v>
      </c>
      <c r="E468" s="168"/>
      <c r="F468" s="260">
        <f ca="1">SUM(F124:J124)</f>
        <v>1338.8805023196326</v>
      </c>
      <c r="G468" s="99">
        <v>1338.8805023196326</v>
      </c>
      <c r="H468" s="99">
        <v>3764.8829410420367</v>
      </c>
      <c r="I468" s="79"/>
      <c r="J468" s="256"/>
      <c r="L468" s="99">
        <f t="shared" ca="1" si="263"/>
        <v>0</v>
      </c>
      <c r="M468" s="99">
        <f t="shared" ca="1" si="264"/>
        <v>2426.0024387224039</v>
      </c>
      <c r="N468" s="79"/>
      <c r="O468" s="109"/>
      <c r="T468" s="57"/>
      <c r="W468" s="60"/>
    </row>
    <row r="469" spans="1:23" x14ac:dyDescent="0.4">
      <c r="A469" s="57"/>
      <c r="B469" s="78"/>
      <c r="E469" s="168"/>
      <c r="F469" s="261"/>
      <c r="G469" s="258">
        <v>0</v>
      </c>
      <c r="H469" s="258">
        <v>0</v>
      </c>
      <c r="I469" s="79"/>
      <c r="J469" s="256"/>
      <c r="L469" s="263"/>
      <c r="M469" s="263"/>
      <c r="N469" s="79"/>
      <c r="O469" s="109"/>
      <c r="T469" s="57"/>
      <c r="W469" s="60"/>
    </row>
    <row r="470" spans="1:23" x14ac:dyDescent="0.4">
      <c r="A470" s="57"/>
      <c r="B470" s="264" t="str">
        <f>B102</f>
        <v>Net Interest Income / (Expense)</v>
      </c>
      <c r="C470" s="151"/>
      <c r="D470" s="151"/>
      <c r="E470" s="265"/>
      <c r="F470" s="266">
        <f ca="1">SUM(F102:J102)</f>
        <v>-134.12652588044122</v>
      </c>
      <c r="G470" s="95">
        <v>-134.12652588044122</v>
      </c>
      <c r="H470" s="95">
        <v>-71.273725233329756</v>
      </c>
      <c r="I470" s="79"/>
      <c r="J470" s="256"/>
      <c r="L470" s="95">
        <f t="shared" ref="L470:L473" ca="1" si="265">G470-F470</f>
        <v>0</v>
      </c>
      <c r="M470" s="95">
        <f t="shared" ref="M470:M473" ca="1" si="266">H470-F470</f>
        <v>62.852800647111465</v>
      </c>
      <c r="N470" s="79"/>
      <c r="O470" s="109"/>
      <c r="T470" s="57"/>
      <c r="W470" s="60"/>
    </row>
    <row r="471" spans="1:23" x14ac:dyDescent="0.4">
      <c r="A471" s="57"/>
      <c r="B471" s="78" t="str">
        <f>B103</f>
        <v>Issued / (Retired) Short-term Debt</v>
      </c>
      <c r="E471" s="168"/>
      <c r="F471" s="260">
        <f ca="1">SUM(F103:J103)</f>
        <v>-211.14297554389427</v>
      </c>
      <c r="G471" s="99">
        <v>-211.14297554389427</v>
      </c>
      <c r="H471" s="99">
        <v>-211.14297554389429</v>
      </c>
      <c r="I471" s="79"/>
      <c r="J471" s="256"/>
      <c r="L471" s="99">
        <f t="shared" ca="1" si="265"/>
        <v>0</v>
      </c>
      <c r="M471" s="99">
        <f t="shared" ca="1" si="266"/>
        <v>0</v>
      </c>
      <c r="N471" s="79"/>
      <c r="O471" s="109"/>
      <c r="T471" s="57"/>
      <c r="W471" s="60"/>
    </row>
    <row r="472" spans="1:23" x14ac:dyDescent="0.4">
      <c r="A472" s="57"/>
      <c r="B472" s="78" t="str">
        <f>B104</f>
        <v>Issued / (Retired) Long-term Debt</v>
      </c>
      <c r="E472" s="168"/>
      <c r="F472" s="260">
        <f ca="1">SUM(F104:J104)</f>
        <v>-535.44797154853859</v>
      </c>
      <c r="G472" s="99">
        <v>-535.44797154853859</v>
      </c>
      <c r="H472" s="99">
        <v>-535.44797154853859</v>
      </c>
      <c r="I472" s="79"/>
      <c r="J472" s="256"/>
      <c r="L472" s="99">
        <f t="shared" ca="1" si="265"/>
        <v>0</v>
      </c>
      <c r="M472" s="99">
        <f t="shared" ca="1" si="266"/>
        <v>0</v>
      </c>
      <c r="N472" s="79"/>
      <c r="O472" s="109"/>
      <c r="T472" s="57"/>
      <c r="W472" s="60"/>
    </row>
    <row r="473" spans="1:23" x14ac:dyDescent="0.4">
      <c r="A473" s="57"/>
      <c r="B473" s="78"/>
      <c r="E473" s="168"/>
      <c r="F473" s="261"/>
      <c r="G473" s="258">
        <v>0</v>
      </c>
      <c r="H473" s="258">
        <v>0</v>
      </c>
      <c r="I473" s="79"/>
      <c r="J473" s="256"/>
      <c r="L473" s="99">
        <f t="shared" si="265"/>
        <v>0</v>
      </c>
      <c r="M473" s="99">
        <f t="shared" si="266"/>
        <v>0</v>
      </c>
      <c r="N473" s="79"/>
      <c r="O473" s="109"/>
      <c r="T473" s="57"/>
      <c r="W473" s="60"/>
    </row>
    <row r="474" spans="1:23" x14ac:dyDescent="0.4">
      <c r="A474" s="57"/>
      <c r="B474" s="264" t="str">
        <f>B106</f>
        <v>Cash Flow from / (to) Creditors (CF(B))</v>
      </c>
      <c r="C474" s="151"/>
      <c r="D474" s="151"/>
      <c r="E474" s="265"/>
      <c r="F474" s="266">
        <f ca="1">SUM(F106:J106)</f>
        <v>-880.71747297287402</v>
      </c>
      <c r="G474" s="95">
        <v>-880.71747297287402</v>
      </c>
      <c r="H474" s="95">
        <v>-817.86467232576251</v>
      </c>
      <c r="I474" s="79"/>
      <c r="J474" s="256"/>
      <c r="L474" s="95">
        <f ca="1">G474-F474</f>
        <v>0</v>
      </c>
      <c r="M474" s="95">
        <f ca="1">H474-F474</f>
        <v>62.852800647111508</v>
      </c>
      <c r="N474" s="79"/>
      <c r="O474" s="109"/>
      <c r="T474" s="57"/>
      <c r="W474" s="60"/>
    </row>
    <row r="475" spans="1:23" x14ac:dyDescent="0.4">
      <c r="A475" s="57"/>
      <c r="B475" s="78"/>
      <c r="E475" s="168"/>
      <c r="F475" s="261"/>
      <c r="G475" s="258">
        <v>0</v>
      </c>
      <c r="H475" s="258">
        <v>0</v>
      </c>
      <c r="I475" s="79"/>
      <c r="J475" s="256"/>
      <c r="L475" s="263"/>
      <c r="M475" s="263"/>
      <c r="N475" s="79"/>
      <c r="O475" s="109"/>
      <c r="P475" s="262"/>
      <c r="Q475" s="262"/>
      <c r="R475" s="262"/>
      <c r="S475" s="262"/>
      <c r="T475" s="57"/>
      <c r="W475" s="60"/>
    </row>
    <row r="476" spans="1:23" x14ac:dyDescent="0.4">
      <c r="A476" s="57"/>
      <c r="B476" s="264" t="str">
        <f t="shared" ref="B476:B479" si="267">B109</f>
        <v>Dividends Paid</v>
      </c>
      <c r="C476" s="151"/>
      <c r="D476" s="151"/>
      <c r="E476" s="265"/>
      <c r="F476" s="266">
        <f ca="1">SUM(F109:J109)</f>
        <v>-208.58421284995205</v>
      </c>
      <c r="G476" s="95">
        <v>-208.58421284995205</v>
      </c>
      <c r="H476" s="95">
        <v>-732.52494291464552</v>
      </c>
      <c r="I476" s="79"/>
      <c r="J476" s="256"/>
      <c r="L476" s="95">
        <f t="shared" ref="L476:L478" ca="1" si="268">G476-F476</f>
        <v>0</v>
      </c>
      <c r="M476" s="95">
        <f t="shared" ref="M476:M478" ca="1" si="269">H476-F476</f>
        <v>-523.94073006469353</v>
      </c>
      <c r="N476" s="79"/>
      <c r="O476" s="109"/>
      <c r="T476" s="57"/>
      <c r="W476" s="60"/>
    </row>
    <row r="477" spans="1:23" x14ac:dyDescent="0.4">
      <c r="A477" s="57"/>
      <c r="B477" s="78" t="str">
        <f t="shared" si="267"/>
        <v>Issued Equity (Change Comm Stock + Add PIC)</v>
      </c>
      <c r="E477" s="168"/>
      <c r="F477" s="260">
        <f ca="1">SUM(F110:J110)</f>
        <v>0</v>
      </c>
      <c r="G477" s="99">
        <v>0</v>
      </c>
      <c r="H477" s="99">
        <v>0</v>
      </c>
      <c r="I477" s="79"/>
      <c r="J477" s="256"/>
      <c r="L477" s="99">
        <f t="shared" ca="1" si="268"/>
        <v>0</v>
      </c>
      <c r="M477" s="99">
        <f t="shared" ca="1" si="269"/>
        <v>0</v>
      </c>
      <c r="N477" s="79"/>
      <c r="O477" s="109"/>
      <c r="T477" s="57"/>
      <c r="W477" s="60"/>
    </row>
    <row r="478" spans="1:23" x14ac:dyDescent="0.4">
      <c r="A478" s="57"/>
      <c r="B478" s="78" t="str">
        <f t="shared" si="267"/>
        <v>Repurchased Shares (Change in Treasury Stock)</v>
      </c>
      <c r="E478" s="168"/>
      <c r="F478" s="260">
        <f ca="1">SUM(F111:J111)</f>
        <v>0</v>
      </c>
      <c r="G478" s="99">
        <v>0</v>
      </c>
      <c r="H478" s="99">
        <v>0</v>
      </c>
      <c r="I478" s="79"/>
      <c r="J478" s="256"/>
      <c r="L478" s="99">
        <f t="shared" ca="1" si="268"/>
        <v>0</v>
      </c>
      <c r="M478" s="99">
        <f t="shared" ca="1" si="269"/>
        <v>0</v>
      </c>
      <c r="N478" s="79"/>
      <c r="O478" s="109"/>
      <c r="T478" s="57"/>
      <c r="W478" s="60"/>
    </row>
    <row r="479" spans="1:23" x14ac:dyDescent="0.4">
      <c r="A479" s="57"/>
      <c r="B479" s="264" t="str">
        <f t="shared" si="267"/>
        <v>Cash Flow from / (to) Shareholders (CF(S))</v>
      </c>
      <c r="C479" s="151"/>
      <c r="D479" s="151"/>
      <c r="E479" s="265"/>
      <c r="F479" s="266">
        <f ca="1">SUM(F112:J112)</f>
        <v>-208.58421284995205</v>
      </c>
      <c r="G479" s="95">
        <v>-208.58421284995205</v>
      </c>
      <c r="H479" s="95">
        <v>-732.52494291464552</v>
      </c>
      <c r="I479" s="79"/>
      <c r="J479" s="256"/>
      <c r="L479" s="95">
        <f ca="1">G479-F479</f>
        <v>0</v>
      </c>
      <c r="M479" s="95">
        <f ca="1">H479-F479</f>
        <v>-523.94073006469353</v>
      </c>
      <c r="N479" s="79"/>
      <c r="O479" s="109"/>
      <c r="T479" s="57"/>
      <c r="W479" s="60"/>
    </row>
    <row r="480" spans="1:23" x14ac:dyDescent="0.4">
      <c r="A480" s="57"/>
      <c r="E480" s="168"/>
      <c r="F480" s="257"/>
      <c r="G480" s="258">
        <v>0</v>
      </c>
      <c r="H480" s="258">
        <v>0</v>
      </c>
      <c r="I480" s="79"/>
      <c r="J480" s="256"/>
      <c r="L480" s="259"/>
      <c r="M480" s="259"/>
      <c r="N480" s="79"/>
      <c r="O480" s="109"/>
      <c r="T480" s="57"/>
      <c r="W480" s="60"/>
    </row>
    <row r="481" spans="1:23" x14ac:dyDescent="0.4">
      <c r="A481" s="57"/>
      <c r="B481" s="13" t="s">
        <v>243</v>
      </c>
      <c r="E481" s="168"/>
      <c r="F481" s="257"/>
      <c r="G481" s="258">
        <v>0</v>
      </c>
      <c r="H481" s="258">
        <v>0</v>
      </c>
      <c r="I481" s="79"/>
      <c r="J481" s="256"/>
      <c r="L481" s="259"/>
      <c r="M481" s="259"/>
      <c r="N481" s="79"/>
      <c r="O481" s="109"/>
      <c r="T481" s="57"/>
      <c r="W481" s="60"/>
    </row>
    <row r="482" spans="1:23" x14ac:dyDescent="0.4">
      <c r="A482" s="57"/>
      <c r="B482" s="78" t="str">
        <f>B307</f>
        <v>Implied Enterprise Value</v>
      </c>
      <c r="E482" s="168"/>
      <c r="F482" s="260">
        <f ca="1">E307</f>
        <v>4441.1053642888628</v>
      </c>
      <c r="G482" s="99">
        <v>4441.1053642888628</v>
      </c>
      <c r="H482" s="99">
        <v>13248.524842636609</v>
      </c>
      <c r="I482" s="79"/>
      <c r="J482" s="256"/>
      <c r="L482" s="99">
        <f t="shared" ref="L482:L483" ca="1" si="270">G482-F482</f>
        <v>0</v>
      </c>
      <c r="M482" s="99">
        <f ca="1">H482-F482</f>
        <v>8807.4194783477469</v>
      </c>
      <c r="N482" s="79"/>
      <c r="O482" s="109"/>
      <c r="T482" s="57"/>
      <c r="W482" s="60"/>
    </row>
    <row r="483" spans="1:23" x14ac:dyDescent="0.4">
      <c r="A483" s="57"/>
      <c r="B483" s="78" t="str">
        <f>B312</f>
        <v>Implied Equity Value per Share</v>
      </c>
      <c r="E483" s="168"/>
      <c r="F483" s="267" t="e">
        <f ca="1">E312</f>
        <v>#DIV/0!</v>
      </c>
      <c r="G483" s="268" t="e">
        <v>#DIV/0!</v>
      </c>
      <c r="H483" s="268" t="e">
        <v>#DIV/0!</v>
      </c>
      <c r="I483" s="79"/>
      <c r="J483" s="256"/>
      <c r="L483" s="268" t="e">
        <f t="shared" ca="1" si="270"/>
        <v>#DIV/0!</v>
      </c>
      <c r="M483" s="268" t="e">
        <f ca="1">H483-F483</f>
        <v>#DIV/0!</v>
      </c>
      <c r="N483" s="79"/>
      <c r="O483" s="109"/>
      <c r="T483" s="57"/>
      <c r="W483" s="60"/>
    </row>
    <row r="484" spans="1:23" x14ac:dyDescent="0.4">
      <c r="A484" s="57"/>
      <c r="E484" s="168"/>
      <c r="F484" s="257"/>
      <c r="G484" s="258">
        <v>0</v>
      </c>
      <c r="H484" s="258">
        <v>0</v>
      </c>
      <c r="I484" s="79"/>
      <c r="J484" s="256"/>
      <c r="L484" s="259"/>
      <c r="M484" s="259"/>
      <c r="N484" s="79"/>
      <c r="O484" s="109"/>
      <c r="T484" s="57"/>
      <c r="W484" s="60"/>
    </row>
    <row r="485" spans="1:23" x14ac:dyDescent="0.4">
      <c r="A485" s="57"/>
      <c r="B485" s="13" t="s">
        <v>220</v>
      </c>
      <c r="E485" s="168"/>
      <c r="F485" s="257"/>
      <c r="G485" s="258">
        <v>0</v>
      </c>
      <c r="H485" s="258">
        <v>0</v>
      </c>
      <c r="I485" s="79"/>
      <c r="J485" s="256"/>
      <c r="L485" s="259"/>
      <c r="M485" s="259"/>
      <c r="N485" s="79"/>
      <c r="O485" s="109"/>
      <c r="T485" s="57"/>
      <c r="W485" s="60"/>
    </row>
    <row r="486" spans="1:23" x14ac:dyDescent="0.4">
      <c r="A486" s="57"/>
      <c r="B486" s="78" t="str">
        <f>B434&amp;" Multiple of Money (MoM)"</f>
        <v>Private Equity Firm's Equity Multiple of Money (MoM)</v>
      </c>
      <c r="E486" s="168"/>
      <c r="F486" s="269">
        <f ca="1">J434/E434</f>
        <v>2.3970627946266205</v>
      </c>
      <c r="G486" s="148">
        <v>2.3970627946266205</v>
      </c>
      <c r="H486" s="148">
        <v>5.0993115829723221</v>
      </c>
      <c r="I486" s="79"/>
      <c r="J486" s="256"/>
      <c r="L486" s="148">
        <f t="shared" ref="L486:L487" ca="1" si="271">G486-F486</f>
        <v>0</v>
      </c>
      <c r="M486" s="148">
        <f t="shared" ref="M486:M487" ca="1" si="272">H486-F486</f>
        <v>2.7022487883457016</v>
      </c>
      <c r="N486" s="79"/>
      <c r="O486" s="109"/>
      <c r="T486" s="57"/>
      <c r="W486" s="60"/>
    </row>
    <row r="487" spans="1:23" x14ac:dyDescent="0.4">
      <c r="A487" s="57"/>
      <c r="B487" s="78" t="str">
        <f>B436</f>
        <v>IRR of Private Equity Firm's Equity</v>
      </c>
      <c r="E487" s="168"/>
      <c r="F487" s="270">
        <f ca="1">J436</f>
        <v>0.19106615007642636</v>
      </c>
      <c r="G487" s="145">
        <v>0.19106615007642636</v>
      </c>
      <c r="H487" s="145">
        <v>0.38516755322183971</v>
      </c>
      <c r="I487" s="79"/>
      <c r="J487" s="256"/>
      <c r="L487" s="145">
        <f t="shared" ca="1" si="271"/>
        <v>0</v>
      </c>
      <c r="M487" s="145">
        <f t="shared" ca="1" si="272"/>
        <v>0.19410140314541335</v>
      </c>
      <c r="N487" s="79"/>
      <c r="O487" s="109"/>
      <c r="T487" s="57"/>
      <c r="W487" s="60"/>
    </row>
    <row r="488" spans="1:23" x14ac:dyDescent="0.4">
      <c r="A488" s="57"/>
      <c r="B488" s="7"/>
      <c r="I488" s="79"/>
      <c r="J488" s="262"/>
      <c r="N488" s="79"/>
      <c r="T488" s="57"/>
      <c r="W488" s="60"/>
    </row>
    <row r="489" spans="1:23" x14ac:dyDescent="0.4">
      <c r="A489" s="57"/>
      <c r="B489" s="7"/>
      <c r="J489" s="262"/>
      <c r="T489" s="57"/>
      <c r="W489" s="60"/>
    </row>
    <row r="490" spans="1:23" x14ac:dyDescent="0.4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W490" s="60"/>
    </row>
    <row r="491" spans="1:23" x14ac:dyDescent="0.4">
      <c r="W491" s="60"/>
    </row>
    <row r="492" spans="1:23" x14ac:dyDescent="0.4">
      <c r="W492" s="60"/>
    </row>
    <row r="493" spans="1:23" x14ac:dyDescent="0.4">
      <c r="W493" s="60"/>
    </row>
    <row r="494" spans="1:23" x14ac:dyDescent="0.4">
      <c r="W494" s="60"/>
    </row>
    <row r="495" spans="1:23" x14ac:dyDescent="0.4">
      <c r="W495" s="60"/>
    </row>
    <row r="496" spans="1:23" x14ac:dyDescent="0.4">
      <c r="W496" s="60"/>
    </row>
    <row r="497" spans="23:23" x14ac:dyDescent="0.4">
      <c r="W497" s="60"/>
    </row>
    <row r="498" spans="23:23" x14ac:dyDescent="0.4">
      <c r="W498" s="60"/>
    </row>
    <row r="499" spans="23:23" x14ac:dyDescent="0.4">
      <c r="W499" s="60"/>
    </row>
    <row r="500" spans="23:23" x14ac:dyDescent="0.4">
      <c r="W500" s="60"/>
    </row>
    <row r="1000" spans="648:648" x14ac:dyDescent="0.4">
      <c r="XX1000" s="314">
        <v>38159</v>
      </c>
    </row>
  </sheetData>
  <sheetProtection formatCells="0" formatColumns="0" formatRows="0"/>
  <protectedRanges>
    <protectedRange sqref="B2:S4 B15:C63 N120:S239 N265:S291 B139:C140 E139:L140 B154:C186 B314:S314 B313:D313 F313:S313 B321:S321 B319:D320 F319:S320 B323:S337 B322:D322 F322:S322 B339:S342 B338:D338 F338:S338 B344:S350 B343:D343 F343:S343 B354:S357 B351:D351 F351:S351 B358:E358 I358:L358 P358:S358 B359:D361 M359:S361 F359:K361 B441:G441 I441:S441 B430:S440 B429:E429 G429:S429 B5:E5 G5:S5 B6:S14 C416:S416 B410:S415 C409:S409 B316:S318 C315:S315 B64:S119 B141:L153 F15:S49 K50:S50 E154:L186 B352:E353 B417:S428 B120:L138 B292:S312 B362:S408 B442:S489 B265:L291 B187:L239 H352:S353 B240:S264 F51:S63" name="Range1"/>
    <protectedRange sqref="E15:E18 E20:E22 D19:E19 E26 D25:E25 E34:E37 D33:E33 E39 D38:E38 D40:E40 D47:E47 E45 E30:E32 E41 E28 D27:E27 E24" name="Range1_9_1"/>
    <protectedRange sqref="E313" name="Range1_3"/>
    <protectedRange sqref="E319:E320" name="Range1_11_1"/>
    <protectedRange sqref="E322" name="Range1_11_1_1"/>
    <protectedRange sqref="E338" name="Range1_8_1"/>
    <protectedRange sqref="E343" name="Range1_3_1"/>
    <protectedRange sqref="E351" name="Range1_12_1"/>
    <protectedRange sqref="F352:G353" name="Range1_12_1_1"/>
    <protectedRange sqref="F358:H358" name="Range1_8_1_1"/>
    <protectedRange sqref="M358:O358" name="Range1_8_1_2"/>
    <protectedRange sqref="L359:L361" name="Range1_8_1_3"/>
    <protectedRange sqref="E359:E361" name="Range1_8_1_4"/>
    <protectedRange sqref="H441" name="Range1_10_1"/>
    <protectedRange sqref="F429" name="Range1_10"/>
    <protectedRange sqref="B315" name="Range1_2"/>
  </protectedRanges>
  <conditionalFormatting sqref="B298:J298 C297:J297">
    <cfRule type="expression" dxfId="8" priority="9">
      <formula>#REF!=1</formula>
    </cfRule>
  </conditionalFormatting>
  <conditionalFormatting sqref="B298:J298 C297:J297">
    <cfRule type="expression" dxfId="7" priority="8">
      <formula>#REF!=1</formula>
    </cfRule>
  </conditionalFormatting>
  <conditionalFormatting sqref="B364:C364 B295:C295">
    <cfRule type="expression" dxfId="6" priority="10">
      <formula>$S$2=1</formula>
    </cfRule>
  </conditionalFormatting>
  <conditionalFormatting sqref="B297">
    <cfRule type="expression" dxfId="5" priority="5">
      <formula>#REF!=1</formula>
    </cfRule>
  </conditionalFormatting>
  <conditionalFormatting sqref="B297">
    <cfRule type="expression" dxfId="4" priority="6">
      <formula>#REF!=1</formula>
    </cfRule>
  </conditionalFormatting>
  <conditionalFormatting sqref="C342:J342">
    <cfRule type="expression" dxfId="3" priority="4">
      <formula>#REF!=1</formula>
    </cfRule>
  </conditionalFormatting>
  <conditionalFormatting sqref="C342:J342">
    <cfRule type="expression" dxfId="2" priority="3">
      <formula>#REF!=1</formula>
    </cfRule>
  </conditionalFormatting>
  <conditionalFormatting sqref="B342">
    <cfRule type="expression" dxfId="1" priority="1">
      <formula>#REF!=1</formula>
    </cfRule>
  </conditionalFormatting>
  <conditionalFormatting sqref="B342">
    <cfRule type="expression" dxfId="0" priority="2">
      <formula>#REF!=1</formula>
    </cfRule>
  </conditionalFormatting>
  <dataValidations disablePrompts="1" count="1">
    <dataValidation type="list" allowBlank="1" showInputMessage="1" showErrorMessage="1" sqref="E315 L375 L371" xr:uid="{BD3D4BDC-E56A-4C90-9A15-CE568E3B699D}">
      <formula1>"0,1"</formula1>
    </dataValidation>
  </dataValidations>
  <pageMargins left="0" right="0" top="0" bottom="0" header="0" footer="0"/>
  <pageSetup scale="53" fitToHeight="8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B9C2-61EA-4FC5-AE11-F5576F58ED74}">
  <dimension ref="A1:XX1000"/>
  <sheetViews>
    <sheetView showGridLines="0" zoomScale="75" zoomScaleNormal="60" workbookViewId="0">
      <selection activeCell="C8" sqref="C8"/>
    </sheetView>
  </sheetViews>
  <sheetFormatPr defaultColWidth="16.90625" defaultRowHeight="18" x14ac:dyDescent="0.4"/>
  <cols>
    <col min="1" max="1" width="3.08984375" style="293" customWidth="1"/>
    <col min="2" max="2" width="14.08984375" style="293" customWidth="1"/>
    <col min="3" max="3" width="35.08984375" style="293" bestFit="1" customWidth="1"/>
    <col min="4" max="9" width="20.81640625" style="293" customWidth="1"/>
    <col min="10" max="10" width="3.08984375" style="293" customWidth="1"/>
    <col min="11" max="17" width="16.90625" style="293"/>
    <col min="18" max="18" width="23.08984375" style="293" customWidth="1"/>
    <col min="19" max="16384" width="16.90625" style="293"/>
  </cols>
  <sheetData>
    <row r="1" spans="1:19" x14ac:dyDescent="0.4">
      <c r="A1" s="294"/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</row>
    <row r="2" spans="1:19" x14ac:dyDescent="0.4">
      <c r="A2" s="294"/>
      <c r="B2" s="306" t="s">
        <v>283</v>
      </c>
      <c r="C2" s="307"/>
      <c r="D2" s="307"/>
      <c r="E2" s="307"/>
      <c r="F2" s="307"/>
      <c r="G2" s="307"/>
      <c r="H2" s="307"/>
      <c r="I2" s="307"/>
      <c r="J2" s="307"/>
      <c r="K2" s="306" t="s">
        <v>282</v>
      </c>
      <c r="S2" s="294"/>
    </row>
    <row r="3" spans="1:19" x14ac:dyDescent="0.4">
      <c r="A3" s="294"/>
      <c r="B3" s="305"/>
      <c r="C3" s="304" t="s">
        <v>309</v>
      </c>
      <c r="D3" s="304" t="s">
        <v>310</v>
      </c>
      <c r="E3" s="304" t="s">
        <v>304</v>
      </c>
      <c r="F3" s="304" t="s">
        <v>305</v>
      </c>
      <c r="G3" s="304" t="s">
        <v>306</v>
      </c>
      <c r="H3" s="304" t="s">
        <v>307</v>
      </c>
      <c r="I3" s="304" t="s">
        <v>308</v>
      </c>
      <c r="K3" s="297" t="s">
        <v>281</v>
      </c>
      <c r="S3" s="294"/>
    </row>
    <row r="4" spans="1:19" x14ac:dyDescent="0.4">
      <c r="A4" s="295"/>
      <c r="B4" s="293" t="s">
        <v>280</v>
      </c>
      <c r="C4" s="302">
        <v>44320</v>
      </c>
      <c r="K4" s="297"/>
      <c r="S4" s="294"/>
    </row>
    <row r="5" spans="1:19" x14ac:dyDescent="0.4">
      <c r="A5" s="295"/>
      <c r="B5" s="303" t="s">
        <v>279</v>
      </c>
      <c r="C5" s="302"/>
      <c r="K5" s="297"/>
      <c r="S5" s="294"/>
    </row>
    <row r="6" spans="1:19" x14ac:dyDescent="0.4">
      <c r="A6" s="295"/>
      <c r="C6" s="293" t="str">
        <f ca="1">_xlfn.FORMULATEXT(C8)</f>
        <v>=INDIRECT($B8&amp;"!"&amp;C$3)</v>
      </c>
      <c r="K6" s="297"/>
      <c r="S6" s="294"/>
    </row>
    <row r="7" spans="1:19" x14ac:dyDescent="0.4">
      <c r="A7" s="295"/>
      <c r="B7" s="300" t="s">
        <v>278</v>
      </c>
      <c r="C7" s="301" t="s">
        <v>277</v>
      </c>
      <c r="D7" s="300" t="s">
        <v>276</v>
      </c>
      <c r="E7" s="300" t="s">
        <v>275</v>
      </c>
      <c r="F7" s="300" t="s">
        <v>274</v>
      </c>
      <c r="G7" s="300" t="s">
        <v>273</v>
      </c>
      <c r="H7" s="300" t="s">
        <v>272</v>
      </c>
      <c r="I7" s="300" t="s">
        <v>271</v>
      </c>
      <c r="K7" s="297"/>
      <c r="S7" s="294"/>
    </row>
    <row r="8" spans="1:19" x14ac:dyDescent="0.4">
      <c r="A8" s="295"/>
      <c r="B8" s="299" t="s">
        <v>270</v>
      </c>
      <c r="C8" s="298" t="str" cm="1">
        <f t="array" aca="1" ref="C8" ca="1">INDIRECT($B8&amp;"!"&amp;C$3)</f>
        <v>General Electric Company</v>
      </c>
      <c r="D8" s="298" cm="1">
        <f t="array" aca="1" ref="D8" ca="1">INDIRECT($B8&amp;"!"&amp;D$3)</f>
        <v>13.12</v>
      </c>
      <c r="E8" s="298" cm="1">
        <f t="array" aca="1" ref="E8" ca="1">INDIRECT($B8&amp;"!"&amp;E$3)</f>
        <v>118.07</v>
      </c>
      <c r="F8" s="298" cm="1">
        <f t="array" aca="1" ref="F8" ca="1">INDIRECT($B8&amp;"!"&amp;F$3)</f>
        <v>150.91</v>
      </c>
      <c r="G8" s="298" cm="1">
        <f t="array" aca="1" ref="G8" ca="1">INDIRECT($B8&amp;"!"&amp;G$3)</f>
        <v>53.76</v>
      </c>
      <c r="H8" s="298" cm="1">
        <f t="array" aca="1" ref="H8" ca="1">INDIRECT($B8&amp;"!"&amp;H$3)</f>
        <v>1.95</v>
      </c>
      <c r="I8" s="298" cm="1">
        <f t="array" aca="1" ref="I8" ca="1">INDIRECT($B8&amp;"!"&amp;I$3)</f>
        <v>55.91</v>
      </c>
      <c r="K8" s="297" t="s">
        <v>269</v>
      </c>
      <c r="S8" s="294"/>
    </row>
    <row r="9" spans="1:19" x14ac:dyDescent="0.4">
      <c r="A9" s="295"/>
      <c r="B9" s="299" t="s">
        <v>268</v>
      </c>
      <c r="C9" s="298" t="str" cm="1">
        <f t="array" aca="1" ref="C9" ca="1">INDIRECT($B9&amp;"!"&amp;C$3)</f>
        <v>Honeywell International Inc.</v>
      </c>
      <c r="D9" s="298" cm="1">
        <f t="array" aca="1" ref="D9" ca="1">INDIRECT($B9&amp;"!"&amp;D$3)</f>
        <v>225.43</v>
      </c>
      <c r="E9" s="298" cm="1">
        <f t="array" aca="1" ref="E9" ca="1">INDIRECT($B9&amp;"!"&amp;E$3)</f>
        <v>154.91</v>
      </c>
      <c r="F9" s="298" cm="1">
        <f t="array" aca="1" ref="F9" ca="1">INDIRECT($B9&amp;"!"&amp;F$3)</f>
        <v>163.58000000000001</v>
      </c>
      <c r="G9" s="298" cm="1">
        <f t="array" aca="1" ref="G9" ca="1">INDIRECT($B9&amp;"!"&amp;G$3)</f>
        <v>28.41</v>
      </c>
      <c r="H9" s="298" cm="1">
        <f t="array" aca="1" ref="H9" ca="1">INDIRECT($B9&amp;"!"&amp;H$3)</f>
        <v>5.01</v>
      </c>
      <c r="I9" s="298" cm="1">
        <f t="array" aca="1" ref="I9" ca="1">INDIRECT($B9&amp;"!"&amp;I$3)</f>
        <v>22.06</v>
      </c>
      <c r="K9" s="297" t="s">
        <v>267</v>
      </c>
      <c r="S9" s="294"/>
    </row>
    <row r="10" spans="1:19" x14ac:dyDescent="0.4">
      <c r="A10" s="295"/>
      <c r="B10" s="299" t="s">
        <v>266</v>
      </c>
      <c r="C10" s="298" t="str" cm="1">
        <f t="array" aca="1" ref="C10" ca="1">INDIRECT($B10&amp;"!"&amp;C$3)</f>
        <v>Raytheon Technologies Corporation</v>
      </c>
      <c r="D10" s="298" cm="1">
        <f t="array" aca="1" ref="D10" ca="1">INDIRECT($B10&amp;"!"&amp;D$3)</f>
        <v>83.94</v>
      </c>
      <c r="E10" s="298" cm="1">
        <f t="array" aca="1" ref="E10" ca="1">INDIRECT($B10&amp;"!"&amp;E$3)</f>
        <v>127.48</v>
      </c>
      <c r="F10" s="298" cm="1">
        <f t="array" aca="1" ref="F10" ca="1">INDIRECT($B10&amp;"!"&amp;F$3)</f>
        <v>151.99</v>
      </c>
      <c r="G10" s="298" cm="1">
        <f t="array" aca="1" ref="G10" ca="1">INDIRECT($B10&amp;"!"&amp;G$3)</f>
        <v>22.73</v>
      </c>
      <c r="H10" s="298" cm="1">
        <f t="array" aca="1" ref="H10" ca="1">INDIRECT($B10&amp;"!"&amp;H$3)</f>
        <v>2.5099999999999998</v>
      </c>
      <c r="I10" s="298" cm="1">
        <f t="array" aca="1" ref="I10" ca="1">INDIRECT($B10&amp;"!"&amp;I$3)</f>
        <v>41.63</v>
      </c>
      <c r="K10" s="297" t="s">
        <v>265</v>
      </c>
      <c r="S10" s="294"/>
    </row>
    <row r="11" spans="1:19" x14ac:dyDescent="0.4">
      <c r="A11" s="295"/>
      <c r="B11" s="299" t="s">
        <v>264</v>
      </c>
      <c r="C11" s="298" t="str" cm="1">
        <f t="array" aca="1" ref="C11" ca="1">INDIRECT($B11&amp;"!"&amp;C$3)</f>
        <v>Eaton Corporation plc</v>
      </c>
      <c r="D11" s="298" cm="1">
        <f t="array" aca="1" ref="D11" ca="1">INDIRECT($B11&amp;"!"&amp;D$3)</f>
        <v>144.66999999999999</v>
      </c>
      <c r="E11" s="298" cm="1">
        <f t="array" aca="1" ref="E11" ca="1">INDIRECT($B11&amp;"!"&amp;E$3)</f>
        <v>57.51</v>
      </c>
      <c r="F11" s="298" cm="1">
        <f t="array" aca="1" ref="F11" ca="1">INDIRECT($B11&amp;"!"&amp;F$3)</f>
        <v>64.790000000000006</v>
      </c>
      <c r="G11" s="298" cm="1">
        <f t="array" aca="1" ref="G11" ca="1">INDIRECT($B11&amp;"!"&amp;G$3)</f>
        <v>25.38</v>
      </c>
      <c r="H11" s="298" cm="1">
        <f t="array" aca="1" ref="H11" ca="1">INDIRECT($B11&amp;"!"&amp;H$3)</f>
        <v>3.63</v>
      </c>
      <c r="I11" s="298" cm="1">
        <f t="array" aca="1" ref="I11" ca="1">INDIRECT($B11&amp;"!"&amp;I$3)</f>
        <v>23.94</v>
      </c>
      <c r="K11" s="297"/>
      <c r="S11" s="294"/>
    </row>
    <row r="12" spans="1:19" x14ac:dyDescent="0.4">
      <c r="A12" s="295"/>
      <c r="B12" s="299" t="s">
        <v>263</v>
      </c>
      <c r="C12" s="298" t="str" cm="1">
        <f t="array" aca="1" ref="C12" ca="1">INDIRECT($B12&amp;"!"&amp;C$3)</f>
        <v>Dover Corporation</v>
      </c>
      <c r="D12" s="298" cm="1">
        <f t="array" aca="1" ref="D12" ca="1">INDIRECT($B12&amp;"!"&amp;D$3)</f>
        <v>151.54</v>
      </c>
      <c r="E12" s="298" cm="1">
        <f t="array" aca="1" ref="E12" ca="1">INDIRECT($B12&amp;"!"&amp;E$3)</f>
        <v>21.47</v>
      </c>
      <c r="F12" s="298" cm="1">
        <f t="array" aca="1" ref="F12" ca="1">INDIRECT($B12&amp;"!"&amp;F$3)</f>
        <v>24</v>
      </c>
      <c r="G12" s="298" cm="1">
        <f t="array" aca="1" ref="G12" ca="1">INDIRECT($B12&amp;"!"&amp;G$3)</f>
        <v>22.22</v>
      </c>
      <c r="H12" s="298" cm="1">
        <f t="array" aca="1" ref="H12" ca="1">INDIRECT($B12&amp;"!"&amp;H$3)</f>
        <v>3.48</v>
      </c>
      <c r="I12" s="298" cm="1">
        <f t="array" aca="1" ref="I12" ca="1">INDIRECT($B12&amp;"!"&amp;I$3)</f>
        <v>18.28</v>
      </c>
      <c r="K12" s="297"/>
      <c r="S12" s="294"/>
    </row>
    <row r="13" spans="1:19" x14ac:dyDescent="0.4">
      <c r="A13" s="295" t="s">
        <v>66</v>
      </c>
      <c r="B13" s="299" t="s">
        <v>262</v>
      </c>
      <c r="C13" s="298" t="str" cm="1">
        <f t="array" aca="1" ref="C13" ca="1">INDIRECT($B13&amp;"!"&amp;C$3)</f>
        <v>Emerson Electric Co.</v>
      </c>
      <c r="D13" s="298" cm="1">
        <f t="array" aca="1" ref="D13" ca="1">INDIRECT($B13&amp;"!"&amp;D$3)</f>
        <v>91.11</v>
      </c>
      <c r="E13" s="298" cm="1">
        <f t="array" aca="1" ref="E13" ca="1">INDIRECT($B13&amp;"!"&amp;E$3)</f>
        <v>54.56</v>
      </c>
      <c r="F13" s="298" cm="1">
        <f t="array" aca="1" ref="F13" ca="1">INDIRECT($B13&amp;"!"&amp;F$3)</f>
        <v>60.52</v>
      </c>
      <c r="G13" s="298" cm="1">
        <f t="array" aca="1" ref="G13" ca="1">INDIRECT($B13&amp;"!"&amp;G$3)</f>
        <v>24.81</v>
      </c>
      <c r="H13" s="298" cm="1">
        <f t="array" aca="1" ref="H13" ca="1">INDIRECT($B13&amp;"!"&amp;H$3)</f>
        <v>3.6</v>
      </c>
      <c r="I13" s="298" cm="1">
        <f t="array" aca="1" ref="I13" ca="1">INDIRECT($B13&amp;"!"&amp;I$3)</f>
        <v>17.11</v>
      </c>
      <c r="K13" s="297"/>
      <c r="S13" s="294"/>
    </row>
    <row r="14" spans="1:19" x14ac:dyDescent="0.4">
      <c r="A14" s="295"/>
      <c r="K14" s="297"/>
      <c r="S14" s="294"/>
    </row>
    <row r="15" spans="1:19" x14ac:dyDescent="0.4">
      <c r="A15" s="295"/>
      <c r="D15" s="293" t="s">
        <v>261</v>
      </c>
      <c r="E15" s="296">
        <f ca="1">MEDIAN(E$8:E$13)</f>
        <v>87.789999999999992</v>
      </c>
      <c r="F15" s="296">
        <f t="shared" ref="F15:I15" ca="1" si="0">MEDIAN(F$8:F$13)</f>
        <v>107.85</v>
      </c>
      <c r="G15" s="296">
        <f t="shared" ca="1" si="0"/>
        <v>25.094999999999999</v>
      </c>
      <c r="H15" s="296">
        <f t="shared" ca="1" si="0"/>
        <v>3.54</v>
      </c>
      <c r="I15" s="296">
        <f t="shared" ca="1" si="0"/>
        <v>23</v>
      </c>
      <c r="K15" s="297" t="s">
        <v>260</v>
      </c>
      <c r="S15" s="294"/>
    </row>
    <row r="16" spans="1:19" x14ac:dyDescent="0.4">
      <c r="A16" s="295"/>
      <c r="D16" s="293" t="s">
        <v>259</v>
      </c>
      <c r="E16" s="296">
        <f ca="1">AVERAGE(E$8:E$13)</f>
        <v>89</v>
      </c>
      <c r="F16" s="296">
        <f t="shared" ref="F16:I16" ca="1" si="1">AVERAGE(F$8:F$13)</f>
        <v>102.63166666666666</v>
      </c>
      <c r="G16" s="296">
        <f t="shared" ca="1" si="1"/>
        <v>29.551666666666666</v>
      </c>
      <c r="H16" s="296">
        <f t="shared" ca="1" si="1"/>
        <v>3.3633333333333333</v>
      </c>
      <c r="I16" s="296">
        <f t="shared" ca="1" si="1"/>
        <v>29.821666666666669</v>
      </c>
      <c r="S16" s="294"/>
    </row>
    <row r="17" spans="1:19" x14ac:dyDescent="0.4">
      <c r="A17" s="295"/>
      <c r="D17" s="293" t="s">
        <v>258</v>
      </c>
      <c r="E17" s="296">
        <f ca="1">MAX(E$8:E$13)</f>
        <v>154.91</v>
      </c>
      <c r="F17" s="296">
        <f t="shared" ref="F17:I17" ca="1" si="2">MAX(F$8:F$13)</f>
        <v>163.58000000000001</v>
      </c>
      <c r="G17" s="296">
        <f t="shared" ca="1" si="2"/>
        <v>53.76</v>
      </c>
      <c r="H17" s="296">
        <f t="shared" ca="1" si="2"/>
        <v>5.01</v>
      </c>
      <c r="I17" s="296">
        <f t="shared" ca="1" si="2"/>
        <v>55.91</v>
      </c>
      <c r="S17" s="294"/>
    </row>
    <row r="18" spans="1:19" x14ac:dyDescent="0.4">
      <c r="A18" s="295" t="s">
        <v>66</v>
      </c>
      <c r="D18" s="293" t="s">
        <v>257</v>
      </c>
      <c r="E18" s="296">
        <f ca="1">MIN(E$8:E$13)</f>
        <v>21.47</v>
      </c>
      <c r="F18" s="296">
        <f t="shared" ref="F18:I18" ca="1" si="3">MIN(F$8:F$13)</f>
        <v>24</v>
      </c>
      <c r="G18" s="296">
        <f t="shared" ca="1" si="3"/>
        <v>22.22</v>
      </c>
      <c r="H18" s="296">
        <f t="shared" ca="1" si="3"/>
        <v>1.95</v>
      </c>
      <c r="I18" s="296">
        <f t="shared" ca="1" si="3"/>
        <v>17.11</v>
      </c>
      <c r="S18" s="294"/>
    </row>
    <row r="19" spans="1:19" x14ac:dyDescent="0.4">
      <c r="A19" s="295"/>
      <c r="S19" s="294"/>
    </row>
    <row r="20" spans="1:19" x14ac:dyDescent="0.4">
      <c r="A20" s="294"/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</row>
    <row r="368" spans="6:6" x14ac:dyDescent="0.4">
      <c r="F368" s="293" t="str" cm="1">
        <f t="array" aca="1" ref="F368" ca="1">INDIRECT($B8&amp;"!"&amp;C$3)</f>
        <v>General Electric Company</v>
      </c>
    </row>
    <row r="1000" spans="648:648" x14ac:dyDescent="0.4">
      <c r="XX1000" s="314">
        <v>38159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9FB4-D200-4754-A81E-DF47DC03EB20}">
  <sheetPr>
    <tabColor theme="4"/>
  </sheetPr>
  <dimension ref="B1:XX1000"/>
  <sheetViews>
    <sheetView showGridLines="0" zoomScaleNormal="100" workbookViewId="0">
      <selection activeCell="C5" sqref="C5"/>
    </sheetView>
  </sheetViews>
  <sheetFormatPr defaultColWidth="16.90625" defaultRowHeight="18" x14ac:dyDescent="0.4"/>
  <cols>
    <col min="1" max="1" width="3.08984375" style="293" customWidth="1"/>
    <col min="2" max="2" width="57.90625" style="293" customWidth="1"/>
    <col min="3" max="3" width="36.08984375" style="293" customWidth="1"/>
    <col min="4" max="16384" width="16.90625" style="293"/>
  </cols>
  <sheetData>
    <row r="1" spans="2:3" x14ac:dyDescent="0.4">
      <c r="B1" s="313" t="s">
        <v>290</v>
      </c>
    </row>
    <row r="2" spans="2:3" x14ac:dyDescent="0.4">
      <c r="B2" s="303" t="s">
        <v>279</v>
      </c>
    </row>
    <row r="3" spans="2:3" x14ac:dyDescent="0.4">
      <c r="B3" s="293" t="s">
        <v>280</v>
      </c>
      <c r="C3" s="312">
        <f>Indirect!$C$4</f>
        <v>44320</v>
      </c>
    </row>
    <row r="4" spans="2:3" x14ac:dyDescent="0.4">
      <c r="B4" s="293" t="s">
        <v>278</v>
      </c>
      <c r="C4" s="311" t="s">
        <v>270</v>
      </c>
    </row>
    <row r="5" spans="2:3" x14ac:dyDescent="0.4">
      <c r="B5" s="293" t="s">
        <v>277</v>
      </c>
      <c r="C5" s="311" t="s">
        <v>289</v>
      </c>
    </row>
    <row r="6" spans="2:3" x14ac:dyDescent="0.4">
      <c r="B6" s="293" t="s">
        <v>276</v>
      </c>
      <c r="C6" s="310">
        <v>13.12</v>
      </c>
    </row>
    <row r="7" spans="2:3" x14ac:dyDescent="0.4">
      <c r="B7" s="293" t="s">
        <v>288</v>
      </c>
      <c r="C7" s="309">
        <v>118.07</v>
      </c>
    </row>
    <row r="8" spans="2:3" x14ac:dyDescent="0.4">
      <c r="B8" s="293" t="s">
        <v>195</v>
      </c>
      <c r="C8" s="309">
        <v>150.91</v>
      </c>
    </row>
    <row r="9" spans="2:3" x14ac:dyDescent="0.4">
      <c r="B9" s="293" t="s">
        <v>273</v>
      </c>
      <c r="C9" s="308">
        <v>53.76</v>
      </c>
    </row>
    <row r="10" spans="2:3" x14ac:dyDescent="0.4">
      <c r="B10" s="293" t="s">
        <v>287</v>
      </c>
      <c r="C10" s="308">
        <v>1.95</v>
      </c>
    </row>
    <row r="11" spans="2:3" x14ac:dyDescent="0.4">
      <c r="B11" s="293" t="s">
        <v>286</v>
      </c>
      <c r="C11" s="308">
        <v>55.91</v>
      </c>
    </row>
    <row r="13" spans="2:3" x14ac:dyDescent="0.4">
      <c r="B13" s="293" t="s">
        <v>285</v>
      </c>
    </row>
    <row r="14" spans="2:3" x14ac:dyDescent="0.4">
      <c r="B14" s="293" t="s">
        <v>284</v>
      </c>
    </row>
    <row r="1000" spans="648:648" x14ac:dyDescent="0.4">
      <c r="XX1000" s="314">
        <v>38159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676F-E852-404F-93CA-33745BFF186A}">
  <sheetPr>
    <tabColor theme="4"/>
  </sheetPr>
  <dimension ref="B1:XX1000"/>
  <sheetViews>
    <sheetView showGridLines="0" zoomScaleNormal="100" workbookViewId="0"/>
  </sheetViews>
  <sheetFormatPr defaultColWidth="16.90625" defaultRowHeight="18" x14ac:dyDescent="0.4"/>
  <cols>
    <col min="1" max="1" width="3.08984375" style="293" customWidth="1"/>
    <col min="2" max="2" width="57.90625" style="293" customWidth="1"/>
    <col min="3" max="3" width="36.08984375" style="293" customWidth="1"/>
    <col min="4" max="16384" width="16.90625" style="293"/>
  </cols>
  <sheetData>
    <row r="1" spans="2:3" x14ac:dyDescent="0.4">
      <c r="B1" s="313" t="str">
        <f>GE!$B$1</f>
        <v>Instructions: Do not change anything on this sheet. Only use this sheet to complete the Indirect sheet.</v>
      </c>
    </row>
    <row r="2" spans="2:3" x14ac:dyDescent="0.4">
      <c r="B2" s="303" t="s">
        <v>279</v>
      </c>
    </row>
    <row r="3" spans="2:3" x14ac:dyDescent="0.4">
      <c r="B3" s="293" t="s">
        <v>280</v>
      </c>
      <c r="C3" s="312">
        <f>Indirect!$C$4</f>
        <v>44320</v>
      </c>
    </row>
    <row r="4" spans="2:3" x14ac:dyDescent="0.4">
      <c r="B4" s="293" t="s">
        <v>278</v>
      </c>
      <c r="C4" s="311" t="s">
        <v>268</v>
      </c>
    </row>
    <row r="5" spans="2:3" x14ac:dyDescent="0.4">
      <c r="B5" s="293" t="s">
        <v>277</v>
      </c>
      <c r="C5" s="311" t="s">
        <v>292</v>
      </c>
    </row>
    <row r="6" spans="2:3" x14ac:dyDescent="0.4">
      <c r="B6" s="293" t="s">
        <v>276</v>
      </c>
      <c r="C6" s="310">
        <v>225.43</v>
      </c>
    </row>
    <row r="7" spans="2:3" x14ac:dyDescent="0.4">
      <c r="B7" s="293" t="s">
        <v>288</v>
      </c>
      <c r="C7" s="309">
        <v>154.91</v>
      </c>
    </row>
    <row r="8" spans="2:3" x14ac:dyDescent="0.4">
      <c r="B8" s="293" t="s">
        <v>195</v>
      </c>
      <c r="C8" s="309">
        <v>163.58000000000001</v>
      </c>
    </row>
    <row r="9" spans="2:3" x14ac:dyDescent="0.4">
      <c r="B9" s="293" t="s">
        <v>273</v>
      </c>
      <c r="C9" s="308">
        <v>28.41</v>
      </c>
    </row>
    <row r="10" spans="2:3" x14ac:dyDescent="0.4">
      <c r="B10" s="293" t="s">
        <v>287</v>
      </c>
      <c r="C10" s="308">
        <v>5.01</v>
      </c>
    </row>
    <row r="11" spans="2:3" x14ac:dyDescent="0.4">
      <c r="B11" s="293" t="s">
        <v>286</v>
      </c>
      <c r="C11" s="308">
        <v>22.06</v>
      </c>
    </row>
    <row r="13" spans="2:3" x14ac:dyDescent="0.4">
      <c r="B13" s="293" t="s">
        <v>285</v>
      </c>
    </row>
    <row r="14" spans="2:3" x14ac:dyDescent="0.4">
      <c r="B14" s="293" t="s">
        <v>291</v>
      </c>
    </row>
    <row r="1000" spans="648:648" x14ac:dyDescent="0.4">
      <c r="XX1000" s="314">
        <v>38159</v>
      </c>
    </row>
  </sheetData>
  <hyperlinks>
    <hyperlink ref="B14" r:id="rId1" xr:uid="{3C8B8DBE-CCAE-4636-AB4C-C6FADFB5A6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4E92-00D7-455C-B97F-4B12BB4C33CC}">
  <sheetPr>
    <tabColor theme="4"/>
  </sheetPr>
  <dimension ref="B1:XX1000"/>
  <sheetViews>
    <sheetView showGridLines="0" zoomScaleNormal="100" workbookViewId="0"/>
  </sheetViews>
  <sheetFormatPr defaultColWidth="16.90625" defaultRowHeight="18" x14ac:dyDescent="0.4"/>
  <cols>
    <col min="1" max="1" width="3.08984375" style="293" customWidth="1"/>
    <col min="2" max="2" width="57.90625" style="293" customWidth="1"/>
    <col min="3" max="3" width="36.08984375" style="293" customWidth="1"/>
    <col min="4" max="16384" width="16.90625" style="293"/>
  </cols>
  <sheetData>
    <row r="1" spans="2:3" x14ac:dyDescent="0.4">
      <c r="B1" s="313" t="str">
        <f>GE!$B$1</f>
        <v>Instructions: Do not change anything on this sheet. Only use this sheet to complete the Indirect sheet.</v>
      </c>
    </row>
    <row r="2" spans="2:3" x14ac:dyDescent="0.4">
      <c r="B2" s="303" t="s">
        <v>279</v>
      </c>
    </row>
    <row r="3" spans="2:3" x14ac:dyDescent="0.4">
      <c r="B3" s="293" t="s">
        <v>280</v>
      </c>
      <c r="C3" s="312">
        <f>Indirect!$C$4</f>
        <v>44320</v>
      </c>
    </row>
    <row r="4" spans="2:3" x14ac:dyDescent="0.4">
      <c r="B4" s="293" t="s">
        <v>278</v>
      </c>
      <c r="C4" s="311" t="s">
        <v>266</v>
      </c>
    </row>
    <row r="5" spans="2:3" x14ac:dyDescent="0.4">
      <c r="B5" s="293" t="s">
        <v>277</v>
      </c>
      <c r="C5" s="311" t="s">
        <v>294</v>
      </c>
    </row>
    <row r="6" spans="2:3" x14ac:dyDescent="0.4">
      <c r="B6" s="293" t="s">
        <v>276</v>
      </c>
      <c r="C6" s="310">
        <v>83.94</v>
      </c>
    </row>
    <row r="7" spans="2:3" x14ac:dyDescent="0.4">
      <c r="B7" s="293" t="s">
        <v>288</v>
      </c>
      <c r="C7" s="309">
        <v>127.48</v>
      </c>
    </row>
    <row r="8" spans="2:3" x14ac:dyDescent="0.4">
      <c r="B8" s="293" t="s">
        <v>195</v>
      </c>
      <c r="C8" s="309">
        <v>151.99</v>
      </c>
    </row>
    <row r="9" spans="2:3" x14ac:dyDescent="0.4">
      <c r="B9" s="293" t="s">
        <v>273</v>
      </c>
      <c r="C9" s="308">
        <v>22.73</v>
      </c>
    </row>
    <row r="10" spans="2:3" x14ac:dyDescent="0.4">
      <c r="B10" s="293" t="s">
        <v>287</v>
      </c>
      <c r="C10" s="308">
        <v>2.5099999999999998</v>
      </c>
    </row>
    <row r="11" spans="2:3" x14ac:dyDescent="0.4">
      <c r="B11" s="293" t="s">
        <v>286</v>
      </c>
      <c r="C11" s="308">
        <v>41.63</v>
      </c>
    </row>
    <row r="13" spans="2:3" x14ac:dyDescent="0.4">
      <c r="B13" s="293" t="s">
        <v>285</v>
      </c>
    </row>
    <row r="14" spans="2:3" x14ac:dyDescent="0.4">
      <c r="B14" s="293" t="s">
        <v>293</v>
      </c>
    </row>
    <row r="1000" spans="648:648" x14ac:dyDescent="0.4">
      <c r="XX1000" s="314">
        <v>38159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F524-232C-4AF1-8589-599233BD9778}">
  <sheetPr>
    <tabColor theme="4"/>
  </sheetPr>
  <dimension ref="B1:XX1000"/>
  <sheetViews>
    <sheetView showGridLines="0" zoomScaleNormal="100" workbookViewId="0"/>
  </sheetViews>
  <sheetFormatPr defaultColWidth="16.90625" defaultRowHeight="18" x14ac:dyDescent="0.4"/>
  <cols>
    <col min="1" max="1" width="3.08984375" style="293" customWidth="1"/>
    <col min="2" max="2" width="57.90625" style="293" customWidth="1"/>
    <col min="3" max="3" width="36.08984375" style="293" bestFit="1" customWidth="1"/>
    <col min="4" max="16384" width="16.90625" style="293"/>
  </cols>
  <sheetData>
    <row r="1" spans="2:3" x14ac:dyDescent="0.4">
      <c r="B1" s="313" t="str">
        <f>GE!$B$1</f>
        <v>Instructions: Do not change anything on this sheet. Only use this sheet to complete the Indirect sheet.</v>
      </c>
    </row>
    <row r="2" spans="2:3" x14ac:dyDescent="0.4">
      <c r="B2" s="303" t="s">
        <v>279</v>
      </c>
    </row>
    <row r="3" spans="2:3" x14ac:dyDescent="0.4">
      <c r="B3" s="293" t="s">
        <v>280</v>
      </c>
      <c r="C3" s="312">
        <f>Indirect!$C$4</f>
        <v>44320</v>
      </c>
    </row>
    <row r="4" spans="2:3" x14ac:dyDescent="0.4">
      <c r="B4" s="293" t="s">
        <v>278</v>
      </c>
      <c r="C4" s="311" t="s">
        <v>264</v>
      </c>
    </row>
    <row r="5" spans="2:3" x14ac:dyDescent="0.4">
      <c r="B5" s="293" t="s">
        <v>277</v>
      </c>
      <c r="C5" s="311" t="s">
        <v>296</v>
      </c>
    </row>
    <row r="6" spans="2:3" x14ac:dyDescent="0.4">
      <c r="B6" s="293" t="s">
        <v>276</v>
      </c>
      <c r="C6" s="310">
        <v>144.66999999999999</v>
      </c>
    </row>
    <row r="7" spans="2:3" x14ac:dyDescent="0.4">
      <c r="B7" s="293" t="s">
        <v>288</v>
      </c>
      <c r="C7" s="309">
        <v>57.51</v>
      </c>
    </row>
    <row r="8" spans="2:3" x14ac:dyDescent="0.4">
      <c r="B8" s="293" t="s">
        <v>195</v>
      </c>
      <c r="C8" s="309">
        <v>64.790000000000006</v>
      </c>
    </row>
    <row r="9" spans="2:3" x14ac:dyDescent="0.4">
      <c r="B9" s="293" t="s">
        <v>273</v>
      </c>
      <c r="C9" s="308">
        <v>25.38</v>
      </c>
    </row>
    <row r="10" spans="2:3" x14ac:dyDescent="0.4">
      <c r="B10" s="293" t="s">
        <v>287</v>
      </c>
      <c r="C10" s="308">
        <v>3.63</v>
      </c>
    </row>
    <row r="11" spans="2:3" x14ac:dyDescent="0.4">
      <c r="B11" s="293" t="s">
        <v>286</v>
      </c>
      <c r="C11" s="308">
        <v>23.94</v>
      </c>
    </row>
    <row r="13" spans="2:3" x14ac:dyDescent="0.4">
      <c r="B13" s="293" t="s">
        <v>285</v>
      </c>
    </row>
    <row r="14" spans="2:3" x14ac:dyDescent="0.4">
      <c r="B14" s="293" t="s">
        <v>295</v>
      </c>
    </row>
    <row r="1000" spans="648:648" x14ac:dyDescent="0.4">
      <c r="XX1000" s="314">
        <v>38159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F703-6D89-4E6C-A289-3D8C2F0DEEEE}">
  <sheetPr>
    <tabColor theme="4"/>
  </sheetPr>
  <dimension ref="B1:XX1000"/>
  <sheetViews>
    <sheetView showGridLines="0" zoomScaleNormal="100" workbookViewId="0"/>
  </sheetViews>
  <sheetFormatPr defaultColWidth="16.90625" defaultRowHeight="18" x14ac:dyDescent="0.4"/>
  <cols>
    <col min="1" max="1" width="3.08984375" style="293" customWidth="1"/>
    <col min="2" max="2" width="57.90625" style="293" customWidth="1"/>
    <col min="3" max="3" width="36.08984375" style="293" bestFit="1" customWidth="1"/>
    <col min="4" max="16384" width="16.90625" style="293"/>
  </cols>
  <sheetData>
    <row r="1" spans="2:3" x14ac:dyDescent="0.4">
      <c r="B1" s="313" t="str">
        <f>GE!$B$1</f>
        <v>Instructions: Do not change anything on this sheet. Only use this sheet to complete the Indirect sheet.</v>
      </c>
    </row>
    <row r="2" spans="2:3" x14ac:dyDescent="0.4">
      <c r="B2" s="303" t="s">
        <v>279</v>
      </c>
    </row>
    <row r="3" spans="2:3" x14ac:dyDescent="0.4">
      <c r="B3" s="293" t="s">
        <v>280</v>
      </c>
      <c r="C3" s="312">
        <f>Indirect!$C$4</f>
        <v>44320</v>
      </c>
    </row>
    <row r="4" spans="2:3" x14ac:dyDescent="0.4">
      <c r="B4" s="293" t="s">
        <v>278</v>
      </c>
      <c r="C4" s="311" t="s">
        <v>263</v>
      </c>
    </row>
    <row r="5" spans="2:3" x14ac:dyDescent="0.4">
      <c r="B5" s="293" t="s">
        <v>277</v>
      </c>
      <c r="C5" s="311" t="s">
        <v>298</v>
      </c>
    </row>
    <row r="6" spans="2:3" x14ac:dyDescent="0.4">
      <c r="B6" s="293" t="s">
        <v>276</v>
      </c>
      <c r="C6" s="310">
        <v>151.54</v>
      </c>
    </row>
    <row r="7" spans="2:3" x14ac:dyDescent="0.4">
      <c r="B7" s="293" t="s">
        <v>288</v>
      </c>
      <c r="C7" s="309">
        <v>21.47</v>
      </c>
    </row>
    <row r="8" spans="2:3" x14ac:dyDescent="0.4">
      <c r="B8" s="293" t="s">
        <v>195</v>
      </c>
      <c r="C8" s="309">
        <v>24</v>
      </c>
    </row>
    <row r="9" spans="2:3" x14ac:dyDescent="0.4">
      <c r="B9" s="293" t="s">
        <v>273</v>
      </c>
      <c r="C9" s="308">
        <v>22.22</v>
      </c>
    </row>
    <row r="10" spans="2:3" x14ac:dyDescent="0.4">
      <c r="B10" s="293" t="s">
        <v>287</v>
      </c>
      <c r="C10" s="308">
        <v>3.48</v>
      </c>
    </row>
    <row r="11" spans="2:3" x14ac:dyDescent="0.4">
      <c r="B11" s="293" t="s">
        <v>286</v>
      </c>
      <c r="C11" s="308">
        <v>18.28</v>
      </c>
    </row>
    <row r="13" spans="2:3" x14ac:dyDescent="0.4">
      <c r="B13" s="293" t="s">
        <v>285</v>
      </c>
    </row>
    <row r="14" spans="2:3" x14ac:dyDescent="0.4">
      <c r="B14" s="293" t="s">
        <v>297</v>
      </c>
    </row>
    <row r="1000" spans="648:648" x14ac:dyDescent="0.4">
      <c r="XX1000" s="314">
        <v>38159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69DF-0DBD-4BCF-A9C4-E9DD99446934}">
  <sheetPr>
    <tabColor theme="4"/>
  </sheetPr>
  <dimension ref="B1:XX1000"/>
  <sheetViews>
    <sheetView showGridLines="0" zoomScaleNormal="100" workbookViewId="0"/>
  </sheetViews>
  <sheetFormatPr defaultColWidth="16.90625" defaultRowHeight="18" x14ac:dyDescent="0.4"/>
  <cols>
    <col min="1" max="1" width="3.08984375" style="293" customWidth="1"/>
    <col min="2" max="2" width="57.90625" style="293" customWidth="1"/>
    <col min="3" max="3" width="36.08984375" style="293" bestFit="1" customWidth="1"/>
    <col min="4" max="16384" width="16.90625" style="293"/>
  </cols>
  <sheetData>
    <row r="1" spans="2:3" x14ac:dyDescent="0.4">
      <c r="B1" s="313" t="str">
        <f>GE!$B$1</f>
        <v>Instructions: Do not change anything on this sheet. Only use this sheet to complete the Indirect sheet.</v>
      </c>
    </row>
    <row r="2" spans="2:3" x14ac:dyDescent="0.4">
      <c r="B2" s="303" t="s">
        <v>279</v>
      </c>
    </row>
    <row r="3" spans="2:3" x14ac:dyDescent="0.4">
      <c r="B3" s="293" t="s">
        <v>280</v>
      </c>
      <c r="C3" s="312">
        <f>Indirect!$C$4</f>
        <v>44320</v>
      </c>
    </row>
    <row r="4" spans="2:3" x14ac:dyDescent="0.4">
      <c r="B4" s="293" t="s">
        <v>278</v>
      </c>
      <c r="C4" s="311" t="s">
        <v>262</v>
      </c>
    </row>
    <row r="5" spans="2:3" x14ac:dyDescent="0.4">
      <c r="B5" s="293" t="s">
        <v>277</v>
      </c>
      <c r="C5" s="311" t="s">
        <v>300</v>
      </c>
    </row>
    <row r="6" spans="2:3" x14ac:dyDescent="0.4">
      <c r="B6" s="293" t="s">
        <v>276</v>
      </c>
      <c r="C6" s="310">
        <v>91.11</v>
      </c>
    </row>
    <row r="7" spans="2:3" x14ac:dyDescent="0.4">
      <c r="B7" s="293" t="s">
        <v>288</v>
      </c>
      <c r="C7" s="309">
        <v>54.56</v>
      </c>
    </row>
    <row r="8" spans="2:3" x14ac:dyDescent="0.4">
      <c r="B8" s="293" t="s">
        <v>195</v>
      </c>
      <c r="C8" s="309">
        <v>60.52</v>
      </c>
    </row>
    <row r="9" spans="2:3" x14ac:dyDescent="0.4">
      <c r="B9" s="293" t="s">
        <v>273</v>
      </c>
      <c r="C9" s="308">
        <v>24.81</v>
      </c>
    </row>
    <row r="10" spans="2:3" x14ac:dyDescent="0.4">
      <c r="B10" s="293" t="s">
        <v>287</v>
      </c>
      <c r="C10" s="308">
        <v>3.6</v>
      </c>
    </row>
    <row r="11" spans="2:3" x14ac:dyDescent="0.4">
      <c r="B11" s="293" t="s">
        <v>286</v>
      </c>
      <c r="C11" s="308">
        <v>17.11</v>
      </c>
    </row>
    <row r="13" spans="2:3" x14ac:dyDescent="0.4">
      <c r="B13" s="293" t="s">
        <v>285</v>
      </c>
    </row>
    <row r="14" spans="2:3" x14ac:dyDescent="0.4">
      <c r="B14" s="293" t="s">
        <v>299</v>
      </c>
    </row>
    <row r="1000" spans="648:648" x14ac:dyDescent="0.4">
      <c r="XX1000" s="314">
        <v>38159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BEE5FB39D02B4E98BF5BD1FA38D753" ma:contentTypeVersion="9" ma:contentTypeDescription="Create a new document." ma:contentTypeScope="" ma:versionID="c860c0770af59d3a548d7842df667668">
  <xsd:schema xmlns:xsd="http://www.w3.org/2001/XMLSchema" xmlns:xs="http://www.w3.org/2001/XMLSchema" xmlns:p="http://schemas.microsoft.com/office/2006/metadata/properties" xmlns:ns3="c58ec4ee-4b32-475d-8e0f-76bfb9e86858" targetNamespace="http://schemas.microsoft.com/office/2006/metadata/properties" ma:root="true" ma:fieldsID="663984433e08c855125709acd0c0baf9" ns3:_="">
    <xsd:import namespace="c58ec4ee-4b32-475d-8e0f-76bfb9e868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ec4ee-4b32-475d-8e0f-76bfb9e86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08B515-E476-4709-B20A-2016042BB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709E6E-EE90-41D8-BED3-83C4EC3F3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8ec4ee-4b32-475d-8e0f-76bfb9e86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D49489-18E1-4148-835E-69CA916B572A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c58ec4ee-4b32-475d-8e0f-76bfb9e8685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Fin Modeling Co. LLC</vt:lpstr>
      <vt:lpstr>Indirect</vt:lpstr>
      <vt:lpstr>GE</vt:lpstr>
      <vt:lpstr>HON</vt:lpstr>
      <vt:lpstr>RTX</vt:lpstr>
      <vt:lpstr>ETN</vt:lpstr>
      <vt:lpstr>DOV</vt:lpstr>
      <vt:lpstr>EMR</vt:lpstr>
      <vt:lpstr>'Fin Modeling Co. LLC'!Print_Area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Will</dc:creator>
  <cp:lastModifiedBy>David Corcoran</cp:lastModifiedBy>
  <cp:lastPrinted>2020-10-04T20:05:13Z</cp:lastPrinted>
  <dcterms:created xsi:type="dcterms:W3CDTF">2020-09-07T22:22:54Z</dcterms:created>
  <dcterms:modified xsi:type="dcterms:W3CDTF">2021-10-26T14:03:04Z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0x0101007BBEE5FB39D02B4E98BF5BD1FA38D753</vt:lpwstr>
  </property>
</Properties>
</file>