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bec91a8651c45/Documents/Virginia Tech/4 - Senior - 1st Semester/Fin Modeling In Excel/3. Options Strategies/"/>
    </mc:Choice>
  </mc:AlternateContent>
  <xr:revisionPtr revIDLastSave="446" documentId="8_{073316EA-D1C2-4824-9932-0487D2EE1EB0}" xr6:coauthVersionLast="47" xr6:coauthVersionMax="47" xr10:uidLastSave="{4F90D2C3-1EAF-4010-B2E0-3AB1315ECAFA}"/>
  <bookViews>
    <workbookView xWindow="-110" yWindow="-110" windowWidth="22780" windowHeight="14660" activeTab="1" xr2:uid="{722D3EAD-3568-4DF5-AFA6-30022DFEFABF}"/>
  </bookViews>
  <sheets>
    <sheet name="Honor Code" sheetId="1" r:id="rId1"/>
    <sheet name="Q1" sheetId="2" r:id="rId2"/>
    <sheet name="Q2" sheetId="14" r:id="rId3"/>
    <sheet name="Q3" sheetId="3" r:id="rId4"/>
    <sheet name="Q4" sheetId="4" r:id="rId5"/>
    <sheet name="Q5" sheetId="5" r:id="rId6"/>
    <sheet name="Q6" sheetId="6" r:id="rId7"/>
    <sheet name="Data Validation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5" l="1"/>
  <c r="F45" i="6"/>
  <c r="G53" i="6"/>
  <c r="J23" i="6" s="1"/>
  <c r="F48" i="6"/>
  <c r="G56" i="6" s="1"/>
  <c r="M23" i="6" s="1"/>
  <c r="D56" i="6"/>
  <c r="D55" i="6"/>
  <c r="F47" i="6" s="1"/>
  <c r="G55" i="6" s="1"/>
  <c r="L23" i="6" s="1"/>
  <c r="D54" i="6"/>
  <c r="F46" i="6" s="1"/>
  <c r="D53" i="6"/>
  <c r="E57" i="6"/>
  <c r="C46" i="6"/>
  <c r="C54" i="5"/>
  <c r="I48" i="5" s="1"/>
  <c r="C45" i="5"/>
  <c r="H48" i="5" s="1"/>
  <c r="C52" i="5"/>
  <c r="C44" i="5"/>
  <c r="C36" i="5"/>
  <c r="I17" i="4"/>
  <c r="C48" i="4"/>
  <c r="K17" i="4" s="1"/>
  <c r="C46" i="4"/>
  <c r="J17" i="4" s="1"/>
  <c r="C39" i="4"/>
  <c r="C26" i="4"/>
  <c r="H17" i="4" s="1"/>
  <c r="E32" i="4"/>
  <c r="E30" i="4"/>
  <c r="E29" i="4"/>
  <c r="D30" i="4"/>
  <c r="D29" i="4"/>
  <c r="E25" i="4"/>
  <c r="C18" i="4"/>
  <c r="F49" i="6" l="1"/>
  <c r="G54" i="6"/>
  <c r="C56" i="5"/>
  <c r="J48" i="5" s="1"/>
  <c r="G57" i="6" l="1"/>
  <c r="N23" i="6" s="1"/>
  <c r="K23" i="6"/>
  <c r="C37" i="3" l="1"/>
  <c r="G21" i="3" s="1"/>
  <c r="C36" i="3"/>
  <c r="C29" i="3"/>
  <c r="F21" i="3" s="1"/>
  <c r="C28" i="3"/>
  <c r="C21" i="3"/>
  <c r="C39" i="14"/>
  <c r="G20" i="14" s="1"/>
  <c r="C31" i="14"/>
  <c r="C20" i="14"/>
  <c r="C41" i="14" l="1"/>
  <c r="H20" i="14" s="1"/>
  <c r="F20" i="14"/>
  <c r="C27" i="2" l="1"/>
  <c r="C32" i="2" s="1"/>
  <c r="C18" i="2"/>
  <c r="M22" i="6"/>
  <c r="L22" i="6"/>
  <c r="K22" i="6"/>
  <c r="G17" i="4"/>
  <c r="N25" i="3"/>
  <c r="N24" i="3"/>
  <c r="N23" i="3"/>
  <c r="J22" i="6" l="1"/>
</calcChain>
</file>

<file path=xl/sharedStrings.xml><?xml version="1.0" encoding="utf-8"?>
<sst xmlns="http://schemas.openxmlformats.org/spreadsheetml/2006/main" count="364" uniqueCount="240">
  <si>
    <t>To receive full credit, must complete ALL LIGHT BLUE highlighted cells using references/formulas</t>
  </si>
  <si>
    <t>Cannot just be a number/hardcoded without work unless stated explicity in instructions or in the text description of the cell.</t>
  </si>
  <si>
    <t>Read the information provided to complete the analyis. Read all instructions and text descriptions of the cell for guidance.</t>
  </si>
  <si>
    <t>I have neither given nor received unauthorized assistance on this assignment.</t>
  </si>
  <si>
    <t>Write Virginia Tech Honor Code Pledge Here:</t>
  </si>
  <si>
    <t>Sign Full Name Here:</t>
  </si>
  <si>
    <t>FIN 4214 - Financial Modeling in Excel</t>
  </si>
  <si>
    <t>Module 3:  Homework 3 Introduction to Options</t>
  </si>
  <si>
    <t xml:space="preserve">Do not add any columns or rows to the worksheets.  This will deduct many points from your grade. </t>
  </si>
  <si>
    <t xml:space="preserve"> </t>
  </si>
  <si>
    <t>Question 1  - Call Options</t>
  </si>
  <si>
    <t xml:space="preserve">that shows the P&amp;L given the stock prices at maturity given below.  You also need to create a graph showing the P&amp;Ls </t>
  </si>
  <si>
    <t xml:space="preserve">Please fill in the following "model" of the long call option by filling in all of the blue cells. </t>
  </si>
  <si>
    <t>You will need to consider the time value of money into the P&amp;L.  You will also need to create a data table</t>
  </si>
  <si>
    <t>t = 0 (date of original investment)</t>
  </si>
  <si>
    <t>T (expiration of the option)</t>
  </si>
  <si>
    <t>Stock price at t=0</t>
  </si>
  <si>
    <t>Stock price at T</t>
  </si>
  <si>
    <t>Time to Expiration (in yrs)</t>
  </si>
  <si>
    <t>Risk free rate c.c.</t>
  </si>
  <si>
    <t>Strike Price</t>
  </si>
  <si>
    <t>Premium of Option</t>
  </si>
  <si>
    <t>Long Call Data Table</t>
  </si>
  <si>
    <t>Stock Price at T</t>
  </si>
  <si>
    <t>Profit/Loss</t>
  </si>
  <si>
    <t>Number of Options Traded</t>
  </si>
  <si>
    <t>Number of Shares per Option</t>
  </si>
  <si>
    <t>Profit/Loss (P&amp;L) of Position at T</t>
  </si>
  <si>
    <t>Question 2 - Call Options</t>
  </si>
  <si>
    <t>know that you don't want unlimited risk if the market moves against you.  So, you choose to enter into a bear spread using</t>
  </si>
  <si>
    <t>continuously compounded.</t>
  </si>
  <si>
    <t>Create the Line Graph in the Blue Shaded Area Below. (Title, X and Y labels)</t>
  </si>
  <si>
    <t xml:space="preserve">Please create a line graph.  Be sure to title your graph and label the x and y axis. </t>
  </si>
  <si>
    <t>Are you buying or selling this option</t>
  </si>
  <si>
    <t>Buying</t>
  </si>
  <si>
    <t>Selling</t>
  </si>
  <si>
    <t xml:space="preserve">that shows the P&amp;L given the stock prices at maturity given below for each option and the total P&amp;L.  You also need to create a graph showing the P&amp;Ls </t>
  </si>
  <si>
    <t>Total P&amp;L at T</t>
  </si>
  <si>
    <t>Position Data Table</t>
  </si>
  <si>
    <t>Total P&amp;L</t>
  </si>
  <si>
    <t xml:space="preserve">Please create a line graph of the data table (all 3 positions).  Be sure to title your graph and label the x and y axis. </t>
  </si>
  <si>
    <t>Question 3  - Put  Options</t>
  </si>
  <si>
    <t>Please fill in the following "model" below to evaluate the two positions.  Then answer the questions below.</t>
  </si>
  <si>
    <t>Number of Shares Sold</t>
  </si>
  <si>
    <t>P&amp;L of Short Shares at T</t>
  </si>
  <si>
    <t>Put Position Profit/Loss (P&amp;L) at T</t>
  </si>
  <si>
    <t>Evaluate the Outcomes (P&amp;L's with a Data Table)</t>
  </si>
  <si>
    <t>Short Shares</t>
  </si>
  <si>
    <t>Long Puts</t>
  </si>
  <si>
    <t>After completing the analysis, answer the following questions.</t>
  </si>
  <si>
    <t>1.  Which position carries more risk?</t>
  </si>
  <si>
    <t>Question 2</t>
  </si>
  <si>
    <t>Question 3</t>
  </si>
  <si>
    <t>Short Stock Position</t>
  </si>
  <si>
    <t>Long Put Position</t>
  </si>
  <si>
    <t>FV of Short Stock Sale (t=0 to T)</t>
  </si>
  <si>
    <t>3.  Which position will require you to post margin with your broker at t=0?</t>
  </si>
  <si>
    <r>
      <t xml:space="preserve">of both positions (do not forget to label the x and y axis and give the chart a title. </t>
    </r>
    <r>
      <rPr>
        <i/>
        <sz val="12"/>
        <color rgb="FFFF0000"/>
        <rFont val="Times New Roman"/>
        <family val="1"/>
      </rPr>
      <t>The day count convention is actual/365.</t>
    </r>
  </si>
  <si>
    <r>
      <t xml:space="preserve">of all options (do not forget to label the x and y axis and give the chart a title. </t>
    </r>
    <r>
      <rPr>
        <i/>
        <sz val="12"/>
        <color rgb="FFFF0000"/>
        <rFont val="Times New Roman"/>
        <family val="1"/>
      </rPr>
      <t>The day count convention is actual/365.</t>
    </r>
  </si>
  <si>
    <t>Question 4 - Protecting a Bullish Position</t>
  </si>
  <si>
    <t xml:space="preserve">In the model below please fill in the following information.  Calculate the Profit and Loss of the Long Stock position, the calls and the puts assuming that the </t>
  </si>
  <si>
    <t xml:space="preserve">TODAY </t>
  </si>
  <si>
    <t>T (expiration of the options)</t>
  </si>
  <si>
    <t>Stock price TODAY</t>
  </si>
  <si>
    <t xml:space="preserve">Dividends are paid on </t>
  </si>
  <si>
    <t>Dividend per share</t>
  </si>
  <si>
    <t>P&amp;L of Share Position at T</t>
  </si>
  <si>
    <t>Total Divs at T</t>
  </si>
  <si>
    <t>Call Position at T</t>
  </si>
  <si>
    <t>Number of Calls</t>
  </si>
  <si>
    <t>Did you Buy or Sell the Calls</t>
  </si>
  <si>
    <t>Question 4</t>
  </si>
  <si>
    <t>Buy</t>
  </si>
  <si>
    <t>Sell</t>
  </si>
  <si>
    <t>Strike (X)</t>
  </si>
  <si>
    <t>P&amp;L of Calls at T</t>
  </si>
  <si>
    <t>Put Position at T</t>
  </si>
  <si>
    <t>Number of Puts</t>
  </si>
  <si>
    <t>Did you Buy or Sell the Puts</t>
  </si>
  <si>
    <t>P&amp;L of Puts at T</t>
  </si>
  <si>
    <t>Total Position P&amp;L at T</t>
  </si>
  <si>
    <t>Data Table of the Position including Stock, Calls, Puts, and Total P&amp;L</t>
  </si>
  <si>
    <r>
      <t xml:space="preserve">of all of the pieces of the position (do not forget to label the x and y axis and give the chart a title. </t>
    </r>
    <r>
      <rPr>
        <i/>
        <sz val="12"/>
        <color rgb="FFFF0000"/>
        <rFont val="Times New Roman"/>
        <family val="1"/>
      </rPr>
      <t>The day count convention is actual/365.</t>
    </r>
  </si>
  <si>
    <t xml:space="preserve">and you are getting nervous. It is now March 26th, 2021.  You would like to hold your short position, but have decided to protect your position with call options </t>
  </si>
  <si>
    <t xml:space="preserve">You do not want all your profits disappear, so you are want to protect the position.  You have decided that you are willing to spend </t>
  </si>
  <si>
    <t xml:space="preserve">that expire on July 16th 2021.  You believe that all the craziness surrounding Game Stop will be over by then. </t>
  </si>
  <si>
    <t>Strike</t>
  </si>
  <si>
    <t>Premium</t>
  </si>
  <si>
    <t>Implied Volatility</t>
  </si>
  <si>
    <t>Time to Exp. From t=0</t>
  </si>
  <si>
    <t>Premium  (Ca) per share</t>
  </si>
  <si>
    <t>Premium  (Pa) per share</t>
  </si>
  <si>
    <t>Premium of Option (per share)</t>
  </si>
  <si>
    <t>FV of Put Premium Paid in Total $</t>
  </si>
  <si>
    <t>P&amp;L of Calls at Maturity</t>
  </si>
  <si>
    <t>Premium per share</t>
  </si>
  <si>
    <t>Stock P&amp;L</t>
  </si>
  <si>
    <t>Call P&amp;L</t>
  </si>
  <si>
    <t>Create a Data Table to Help You Solve for the Correct Strike to Use</t>
  </si>
  <si>
    <t>assuming that the stock price is $500.00 on July 16th, 2021.</t>
  </si>
  <si>
    <t xml:space="preserve">In the model below please fill in the following information.  Calculate the Profit and Loss of the short stock position, the calls </t>
  </si>
  <si>
    <t>Question 5 - Protecting a Bearish Position</t>
  </si>
  <si>
    <t xml:space="preserve">Question 6 - Volatility </t>
  </si>
  <si>
    <t xml:space="preserve">Advanced Micro Devices (AMD) has a history of being a relatively volatile stock.  Over the past year, the volatilty has been averaging around 45% -65% for at-the-money volatility.  </t>
  </si>
  <si>
    <t xml:space="preserve">Calls </t>
  </si>
  <si>
    <t xml:space="preserve">Puts </t>
  </si>
  <si>
    <t>Implied Volatility Puts</t>
  </si>
  <si>
    <t>Implied Volatility Calls</t>
  </si>
  <si>
    <t>t=0</t>
  </si>
  <si>
    <t>T= expiration</t>
  </si>
  <si>
    <t>Time to expiration</t>
  </si>
  <si>
    <t>Risk Free Rate c.c.</t>
  </si>
  <si>
    <t>Stock Price at t=0</t>
  </si>
  <si>
    <t>Put A</t>
  </si>
  <si>
    <t>Put B</t>
  </si>
  <si>
    <t>Quantity of Options</t>
  </si>
  <si>
    <t>Buy or Sell</t>
  </si>
  <si>
    <t>P&amp;L at Expiration</t>
  </si>
  <si>
    <t>Data Table to Show Position P&amp;L</t>
  </si>
  <si>
    <t>Premium Cost at t=0</t>
  </si>
  <si>
    <r>
      <t xml:space="preserve">of all options (do not forget to label the x and y axis and give the chart a title. </t>
    </r>
    <r>
      <rPr>
        <i/>
        <sz val="14"/>
        <color rgb="FFFF0000"/>
        <rFont val="Times New Roman"/>
        <family val="1"/>
      </rPr>
      <t>The day count convention is actual/365.</t>
    </r>
  </si>
  <si>
    <t>+</t>
  </si>
  <si>
    <t>Shares</t>
  </si>
  <si>
    <t>use INDEX MATCH to lookup the premium in the table above</t>
  </si>
  <si>
    <r>
      <t>Premium(</t>
    </r>
    <r>
      <rPr>
        <b/>
        <sz val="12"/>
        <color rgb="FFFF0000"/>
        <rFont val="Times New Roman"/>
        <family val="1"/>
      </rPr>
      <t>INDEX MATCH</t>
    </r>
    <r>
      <rPr>
        <sz val="12"/>
        <color theme="1"/>
        <rFont val="Times New Roman"/>
        <family val="1"/>
      </rPr>
      <t>)</t>
    </r>
  </si>
  <si>
    <t xml:space="preserve">Today is October 25, 2021. You have decided to invest in Apple stock (AAPL) by purchasing 3 out-of-the money </t>
  </si>
  <si>
    <t>call options with a strike of $155.00 on the stock that expire on January, 21, 2022.  The current stock price is $149.80.</t>
  </si>
  <si>
    <t>The current premium cost of the calls is $4.39.  One call is on 100 shares of the underlying stock.</t>
  </si>
  <si>
    <t xml:space="preserve">The price of the stock on January 21, 2022 (expiration) is $156.25.  The current applicable risk free rate is 0.875% </t>
  </si>
  <si>
    <t xml:space="preserve">Today is October 25, 2021.  You are bearish Tesla stock and believe that there is absolutely no way </t>
  </si>
  <si>
    <t xml:space="preserve">call options.  You will be trading 20 options of each of the following call option strikes to set up the position.  </t>
  </si>
  <si>
    <t>that the stock will trade above $1125 in the next 3 months.  You are looking to sell out-of-the money call options, but you definitely</t>
  </si>
  <si>
    <t>The $1125 strike call is currently trading for $113.35, and the $1150 strike is trading for $103.45.</t>
  </si>
  <si>
    <t xml:space="preserve">The options will expire on January 21, 2022. The current applicable risk free rate is 0.875% continuously compounded. </t>
  </si>
  <si>
    <t>On October 25,2021 Tesla stock is trading for $1114.00.  On January 21, 2022 assume that the stock is trading for $1130.00.</t>
  </si>
  <si>
    <t>$1125 strike call</t>
  </si>
  <si>
    <t>$1150 strike call</t>
  </si>
  <si>
    <t>Profit/Loss (P&amp;L) of $1125 strike call at T</t>
  </si>
  <si>
    <t>Profit/Loss (P&amp;L) of $1150 strike call at T</t>
  </si>
  <si>
    <t>$1125 X Call</t>
  </si>
  <si>
    <t>$1150 X Call</t>
  </si>
  <si>
    <t>It is November 1, 2021. AMD Stock is trading for $120.23 per share.</t>
  </si>
  <si>
    <t>You have been watching AMD stock and have the opinion that the stock has reached its target valuation range of $110 - $125.  You are of the opinion that</t>
  </si>
  <si>
    <t xml:space="preserve">the stock will be moving lower over the next 5 months.  You are trying to decide between short selling the stock and buying out-of-the money puts. </t>
  </si>
  <si>
    <t>The applicable risk free rate continuously compounded is 1.25%</t>
  </si>
  <si>
    <t>Evaluate the 2 following scenarios.  Assume that AMD stock closes at $95.00 on March 18, 2022.</t>
  </si>
  <si>
    <t>B.  Buy 3 $120.00 put options today at $11.62 with an expiration date of March 18, 2022.</t>
  </si>
  <si>
    <t>2.  Which position has a lower overall loss at T if the stock is trading $125 at T?</t>
  </si>
  <si>
    <t>$120.00 X Puts</t>
  </si>
  <si>
    <t>It is now November 1, 2021 and the price of bp stock is now $28.79.  You would like to stay invested in the stock as the stock pays a nice dividend.</t>
  </si>
  <si>
    <t>crude oil and natural gas prices fall over the winter months as the prices of crude and natural gas are at multi-year highs.  You are looking to collar</t>
  </si>
  <si>
    <t xml:space="preserve">the position for the next 5 months by trading calls and puts around your existing long stock position.  You have identified that you would like to use the </t>
  </si>
  <si>
    <t>$35.00 strike call and the $23.00 puts that expire on April 14, 2022.  The $35.00 strike calls are currently trading for $0.50, and the $23.00 strike puts are trading for $0.53.</t>
  </si>
  <si>
    <t>The applicable current risk free rate continuously compounded is 0.85%.</t>
  </si>
  <si>
    <t>On November 20, 2020, you invested in (purchased) 1,000 shares of British Petroleum Stock (bp ticker) at a price of $19.20</t>
  </si>
  <si>
    <t>Time to 04/14/2022</t>
  </si>
  <si>
    <t>FV Dividends on 04/14/2022</t>
  </si>
  <si>
    <t>The applicable current risk free rate continuously compounded is 0.95%.</t>
  </si>
  <si>
    <t>Recently, the stock is showing signs of becoming less volatile with stabile growth and earnings,  and you are of the opinion that volatility should fall over the next 5 months, and this will provide</t>
  </si>
  <si>
    <t>you with an opportunity to profit from a decrease in the volatility.  However, you have a limited amount of money that you have to invest, and will have to consider how you would</t>
  </si>
  <si>
    <r>
      <t xml:space="preserve">You may select from the following options.  </t>
    </r>
    <r>
      <rPr>
        <b/>
        <i/>
        <u/>
        <sz val="12"/>
        <color theme="1"/>
        <rFont val="Times New Roman"/>
        <family val="1"/>
      </rPr>
      <t xml:space="preserve">You must trade a total of 16 options.  </t>
    </r>
  </si>
  <si>
    <r>
      <t xml:space="preserve">construct this position.  You are to create an </t>
    </r>
    <r>
      <rPr>
        <b/>
        <i/>
        <u/>
        <sz val="12"/>
        <color theme="1"/>
        <rFont val="Times New Roman"/>
        <family val="1"/>
      </rPr>
      <t xml:space="preserve">iron condor </t>
    </r>
    <r>
      <rPr>
        <sz val="12"/>
        <color theme="1"/>
        <rFont val="Times New Roman"/>
        <family val="1"/>
      </rPr>
      <t xml:space="preserve">position such that the position will make money if the stock becomes less volatile.  You are not sure which direction (up/down) the </t>
    </r>
  </si>
  <si>
    <t>Call A</t>
  </si>
  <si>
    <t>Call B</t>
  </si>
  <si>
    <t>Total Premium at t=0</t>
  </si>
  <si>
    <t>Total Number of Options</t>
  </si>
  <si>
    <t xml:space="preserve">market will move, but you believe that the swings in movement will be less over the coming months.  </t>
  </si>
  <si>
    <t>Your position must follow the following parameters. Be sure to scroll down and fill in all the required calculations and graph.</t>
  </si>
  <si>
    <t>July 16, 2021 Call Options</t>
  </si>
  <si>
    <t>Number of Short Shares at T</t>
  </si>
  <si>
    <t>make this a positive number</t>
  </si>
  <si>
    <t>stock price is $22.00 on April 14, 2022.  Also, this stock pays quarterly dividends, and you must take this into account in your overall P&amp;L.</t>
  </si>
  <si>
    <t>The applicable current risk free rate continuously compounded is 0.225%.</t>
  </si>
  <si>
    <t>Total Premium (Ca) on 3/26/2021</t>
  </si>
  <si>
    <r>
      <t xml:space="preserve">Open notes + open book. Honor Code in effect. </t>
    </r>
    <r>
      <rPr>
        <b/>
        <i/>
        <sz val="14"/>
        <color rgb="FFFF0000"/>
        <rFont val="Times New Roman"/>
        <family val="1"/>
      </rPr>
      <t>Do NOT copy between files</t>
    </r>
    <r>
      <rPr>
        <sz val="14"/>
        <color theme="1"/>
        <rFont val="Times New Roman"/>
        <family val="1"/>
      </rPr>
      <t>. Screeners will notice and flag.</t>
    </r>
  </si>
  <si>
    <t>do not alter anything on this page!</t>
  </si>
  <si>
    <t xml:space="preserve">Please fill in the following "model" of the bear spread using call options. </t>
  </si>
  <si>
    <r>
      <t>no more than</t>
    </r>
    <r>
      <rPr>
        <i/>
        <u/>
        <sz val="12"/>
        <color rgb="FFFF0000"/>
        <rFont val="Times New Roman"/>
        <family val="1"/>
      </rPr>
      <t xml:space="preserve"> </t>
    </r>
    <r>
      <rPr>
        <b/>
        <i/>
        <u/>
        <sz val="12"/>
        <color rgb="FFFF0000"/>
        <rFont val="Times New Roman"/>
        <family val="1"/>
      </rPr>
      <t>$38,000 today</t>
    </r>
    <r>
      <rPr>
        <sz val="12"/>
        <color theme="1"/>
        <rFont val="Times New Roman"/>
        <family val="1"/>
      </rPr>
      <t xml:space="preserve"> to protect the position and you want to ensure a </t>
    </r>
    <r>
      <rPr>
        <b/>
        <i/>
        <u/>
        <sz val="12"/>
        <color rgb="FFFF0000"/>
        <rFont val="Times New Roman"/>
        <family val="1"/>
      </rPr>
      <t>profit of at least $33,000</t>
    </r>
    <r>
      <rPr>
        <sz val="12"/>
        <color theme="1"/>
        <rFont val="Times New Roman"/>
        <family val="1"/>
      </rPr>
      <t xml:space="preserve">.  Below are a table of available call options for you </t>
    </r>
  </si>
  <si>
    <t>On November 1, 2021 AMD stock is trading $120.23  You are looking to trade/invest in options that expire on March 18, 2022.</t>
  </si>
  <si>
    <t>Assume the AMD stock is trading $115.00 on March 18, 2022.</t>
  </si>
  <si>
    <t>A.  Sell 300 shares at $120.23 today with the objective of covering the position by March 18, 2022.</t>
  </si>
  <si>
    <t xml:space="preserve">However, you are fairly certain that the stock will not trade above $35.00 for the foreseeable future, and are concerned that the stock price could move lower if </t>
  </si>
  <si>
    <t>Stock</t>
  </si>
  <si>
    <t>Calls</t>
  </si>
  <si>
    <t>Puts</t>
  </si>
  <si>
    <t>Total</t>
  </si>
  <si>
    <t>Number of Shares in bp</t>
  </si>
  <si>
    <t>P&amp;L of Share Position at T (incl. Divs)</t>
  </si>
  <si>
    <t>make this a negative number</t>
  </si>
  <si>
    <r>
      <t xml:space="preserve">The position must make </t>
    </r>
    <r>
      <rPr>
        <b/>
        <i/>
        <u/>
        <sz val="12"/>
        <color theme="1"/>
        <rFont val="Times New Roman"/>
        <family val="1"/>
      </rPr>
      <t>money if the volatility decreases.</t>
    </r>
    <r>
      <rPr>
        <sz val="12"/>
        <color theme="1"/>
        <rFont val="Times New Roman"/>
        <family val="1"/>
      </rPr>
      <t xml:space="preserve"> </t>
    </r>
    <r>
      <rPr>
        <b/>
        <i/>
        <u/>
        <sz val="12"/>
        <color theme="1"/>
        <rFont val="Times New Roman"/>
        <family val="1"/>
      </rPr>
      <t>You must collect a minimum of $4,400.00 at t=0 and Total P&amp;L of $2,400.00 based on current assumptions</t>
    </r>
    <r>
      <rPr>
        <sz val="12"/>
        <color theme="1"/>
        <rFont val="Times New Roman"/>
        <family val="1"/>
      </rPr>
      <t>.</t>
    </r>
  </si>
  <si>
    <t>On January 27th 2021, You identified that GameStop stock was highly overvalued, and you decided to short 500 shares at the prevailing price $342.00.</t>
  </si>
  <si>
    <t>to transact with.  The stock price of GameStop on March 26th, 2021 is $175.50.  Assume that the stock is trading $500 on July 16th, 2021</t>
  </si>
  <si>
    <t>You were correct, and the price subsequently dropped back to $46 the following weeks, but now has started to rise again,</t>
  </si>
  <si>
    <t>Put A - lower strike</t>
  </si>
  <si>
    <t>Put B - higher strike</t>
  </si>
  <si>
    <t>Call A - lower strike</t>
  </si>
  <si>
    <t>Call B - higher strike</t>
  </si>
  <si>
    <t>David Corcoran</t>
  </si>
  <si>
    <t>Bull:</t>
  </si>
  <si>
    <t>Buy Call:</t>
  </si>
  <si>
    <t>Long Call</t>
  </si>
  <si>
    <t>Bull Spread (Calls):</t>
  </si>
  <si>
    <t>Bull Spread (Puts):</t>
  </si>
  <si>
    <t>Covered Call:</t>
  </si>
  <si>
    <t>Long low strike call, short high strike call</t>
  </si>
  <si>
    <t>Long Stock, Short Call</t>
  </si>
  <si>
    <t>Collar Combo:</t>
  </si>
  <si>
    <t>Bear:</t>
  </si>
  <si>
    <t>Buy Put:</t>
  </si>
  <si>
    <t>Bear Spread (Calls):</t>
  </si>
  <si>
    <t>Bear Spread (Puts):</t>
  </si>
  <si>
    <t>Protected Put:</t>
  </si>
  <si>
    <t>Buy Stock, Long OTM Put, Short OTM Call</t>
  </si>
  <si>
    <t>Short Stock, Short OTM Put, Long OTM Call</t>
  </si>
  <si>
    <t>Long Put</t>
  </si>
  <si>
    <t>Short low strike Call, Long high strike Call</t>
  </si>
  <si>
    <t>Short low strike Put, Long high strike Put</t>
  </si>
  <si>
    <t xml:space="preserve">Short Stock, </t>
  </si>
  <si>
    <t>Long low strike put, Short high strike put</t>
  </si>
  <si>
    <t>Bull Volatility:</t>
  </si>
  <si>
    <t>Long Strangle:</t>
  </si>
  <si>
    <t>Iron Condor:</t>
  </si>
  <si>
    <t>Condor:</t>
  </si>
  <si>
    <t>Butterfly:</t>
  </si>
  <si>
    <t>Bear Volatility:</t>
  </si>
  <si>
    <t>Short Strangle:</t>
  </si>
  <si>
    <t>Long Straddle:</t>
  </si>
  <si>
    <t>Long ATM Call, Long ATM Put</t>
  </si>
  <si>
    <t>Short Straddle:</t>
  </si>
  <si>
    <t>Short ATM Call, Short ATM Put</t>
  </si>
  <si>
    <t>Long OTM Call, Long OTM Put</t>
  </si>
  <si>
    <t>Short OTM Call, Short OTM Put</t>
  </si>
  <si>
    <t>Short 2 ATM Calls/Puts, Long 1 OTM Call/Put, Long 1 ITM Call/Put</t>
  </si>
  <si>
    <t>Long 2 ATM Calls, Short 1 OTM Call, Short 1 OTM Call</t>
  </si>
  <si>
    <t>Long DEEP OTM Call &amp; Put, Short SHALLOW OTM Call &amp; Put</t>
  </si>
  <si>
    <t>BEAR SPREAD</t>
  </si>
  <si>
    <t>Short DEEP OTM Call &amp; Put, Long SHALLOW OTM Call &amp; Put</t>
  </si>
  <si>
    <t>Short DEEP OTM/ITM Call &amp; Put, Long SHALLOW OTM/ITM Call &amp; Put</t>
  </si>
  <si>
    <t>Long DEEP OTM/ITM Call &amp; Put, Short SHALLOW OTM/ITM Call &amp; Put</t>
  </si>
  <si>
    <t>Sell DEEP OTM Calls and Puts, Buy SHALLOW OTM Calls and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</si>
</sst>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0.0000%"/>
    <numFmt numFmtId="166" formatCode="&quot;$&quot;#,##0.00"/>
    <numFmt numFmtId="167" formatCode="_(&quot;$&quot;* #,##0.000_);_(&quot;$&quot;* \(#,##0.000\);_(&quot;$&quot;* &quot;-&quot;??_);_(@_)"/>
    <numFmt numFmtId="168" formatCode="0.0000"/>
    <numFmt numFmtId="169" formatCode="_(* #,##0_);_(* \(#,##0\);_(* &quot;-&quot;??_);_(@_)"/>
  </numFmts>
  <fonts count="29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FF0000"/>
      <name val="Times New Roman"/>
      <family val="1"/>
    </font>
    <font>
      <i/>
      <sz val="14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0070C0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b/>
      <sz val="12"/>
      <color theme="0" tint="-4.9989318521683403E-2"/>
      <name val="Times New Roman"/>
      <family val="1"/>
    </font>
    <font>
      <b/>
      <u/>
      <sz val="12"/>
      <color theme="1"/>
      <name val="Times New Roman"/>
      <family val="1"/>
    </font>
    <font>
      <i/>
      <u/>
      <sz val="12"/>
      <color rgb="FFFF0000"/>
      <name val="Times New Roman"/>
      <family val="1"/>
    </font>
    <font>
      <b/>
      <i/>
      <u/>
      <sz val="12"/>
      <color theme="1"/>
      <name val="Times New Roman"/>
      <family val="1"/>
    </font>
    <font>
      <b/>
      <i/>
      <u/>
      <sz val="12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0070C0"/>
      <name val="Times New Roman"/>
      <family val="1"/>
    </font>
    <font>
      <sz val="14"/>
      <color theme="0"/>
      <name val="Times New Roman"/>
      <family val="1"/>
    </font>
    <font>
      <sz val="14"/>
      <color rgb="FF7030A0"/>
      <name val="Times New Roman"/>
      <family val="1"/>
    </font>
    <font>
      <b/>
      <sz val="12"/>
      <color rgb="FFFF0000"/>
      <name val="Times New Roman"/>
      <family val="1"/>
    </font>
    <font>
      <b/>
      <sz val="24"/>
      <color rgb="FFFF0000"/>
      <name val="Times New Roman"/>
      <family val="1"/>
    </font>
    <font>
      <sz val="12"/>
      <color rgb="FFFFFFFF"/>
      <name val="Arial"/>
      <family val="2"/>
    </font>
    <font>
      <b/>
      <u val="doubleAccounting"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8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13" fillId="2" borderId="0" xfId="0" applyNumberFormat="1" applyFont="1" applyFill="1"/>
    <xf numFmtId="0" fontId="14" fillId="3" borderId="0" xfId="0" applyFont="1" applyFill="1"/>
    <xf numFmtId="0" fontId="15" fillId="3" borderId="0" xfId="0" applyFont="1" applyFill="1"/>
    <xf numFmtId="164" fontId="10" fillId="2" borderId="0" xfId="1" applyNumberFormat="1" applyFont="1" applyFill="1"/>
    <xf numFmtId="44" fontId="10" fillId="0" borderId="0" xfId="0" applyNumberFormat="1" applyFont="1"/>
    <xf numFmtId="0" fontId="10" fillId="2" borderId="0" xfId="0" applyFont="1" applyFill="1"/>
    <xf numFmtId="44" fontId="13" fillId="2" borderId="0" xfId="2" applyFont="1" applyFill="1"/>
    <xf numFmtId="166" fontId="13" fillId="0" borderId="0" xfId="2" applyNumberFormat="1" applyFont="1"/>
    <xf numFmtId="44" fontId="10" fillId="0" borderId="0" xfId="2" applyFont="1"/>
    <xf numFmtId="10" fontId="13" fillId="2" borderId="0" xfId="3" applyNumberFormat="1" applyFont="1" applyFill="1"/>
    <xf numFmtId="0" fontId="13" fillId="2" borderId="0" xfId="0" applyFont="1" applyFill="1"/>
    <xf numFmtId="44" fontId="10" fillId="2" borderId="0" xfId="2" applyFont="1" applyFill="1"/>
    <xf numFmtId="44" fontId="10" fillId="2" borderId="0" xfId="0" applyNumberFormat="1" applyFont="1" applyFill="1"/>
    <xf numFmtId="0" fontId="10" fillId="3" borderId="0" xfId="0" applyFont="1" applyFill="1"/>
    <xf numFmtId="165" fontId="13" fillId="2" borderId="0" xfId="3" applyNumberFormat="1" applyFont="1" applyFill="1"/>
    <xf numFmtId="44" fontId="13" fillId="0" borderId="0" xfId="2" applyNumberFormat="1" applyFont="1"/>
    <xf numFmtId="0" fontId="17" fillId="0" borderId="0" xfId="0" applyFont="1"/>
    <xf numFmtId="0" fontId="10" fillId="0" borderId="0" xfId="0" applyFont="1" applyAlignment="1">
      <alignment horizontal="center"/>
    </xf>
    <xf numFmtId="44" fontId="13" fillId="0" borderId="0" xfId="2" applyFont="1"/>
    <xf numFmtId="0" fontId="10" fillId="0" borderId="0" xfId="0" applyFont="1" applyAlignment="1">
      <alignment horizontal="right"/>
    </xf>
    <xf numFmtId="167" fontId="13" fillId="0" borderId="0" xfId="2" applyNumberFormat="1" applyFont="1"/>
    <xf numFmtId="14" fontId="13" fillId="0" borderId="0" xfId="0" applyNumberFormat="1" applyFont="1" applyAlignment="1">
      <alignment horizontal="center"/>
    </xf>
    <xf numFmtId="44" fontId="10" fillId="2" borderId="1" xfId="2" applyFont="1" applyFill="1" applyBorder="1"/>
    <xf numFmtId="0" fontId="9" fillId="0" borderId="0" xfId="0" applyFont="1" applyAlignment="1">
      <alignment horizontal="right"/>
    </xf>
    <xf numFmtId="0" fontId="10" fillId="2" borderId="0" xfId="0" applyFont="1" applyFill="1" applyAlignment="1">
      <alignment horizontal="right"/>
    </xf>
    <xf numFmtId="44" fontId="10" fillId="2" borderId="0" xfId="2" applyFont="1" applyFill="1" applyAlignment="1">
      <alignment horizontal="right"/>
    </xf>
    <xf numFmtId="0" fontId="9" fillId="4" borderId="0" xfId="0" applyFont="1" applyFill="1"/>
    <xf numFmtId="9" fontId="10" fillId="0" borderId="0" xfId="3" applyFont="1"/>
    <xf numFmtId="166" fontId="13" fillId="4" borderId="0" xfId="2" applyNumberFormat="1" applyFont="1" applyFill="1"/>
    <xf numFmtId="168" fontId="10" fillId="2" borderId="0" xfId="0" applyNumberFormat="1" applyFont="1" applyFill="1"/>
    <xf numFmtId="43" fontId="13" fillId="2" borderId="0" xfId="1" applyFont="1" applyFill="1"/>
    <xf numFmtId="44" fontId="0" fillId="0" borderId="0" xfId="0" applyNumberFormat="1"/>
    <xf numFmtId="0" fontId="12" fillId="0" borderId="0" xfId="0" applyFont="1"/>
    <xf numFmtId="44" fontId="12" fillId="0" borderId="0" xfId="0" applyNumberFormat="1" applyFont="1"/>
    <xf numFmtId="44" fontId="10" fillId="5" borderId="0" xfId="0" applyNumberFormat="1" applyFont="1" applyFill="1"/>
    <xf numFmtId="0" fontId="10" fillId="0" borderId="2" xfId="0" applyFont="1" applyBorder="1" applyAlignment="1">
      <alignment horizontal="center"/>
    </xf>
    <xf numFmtId="44" fontId="13" fillId="0" borderId="3" xfId="2" applyFont="1" applyBorder="1"/>
    <xf numFmtId="10" fontId="13" fillId="0" borderId="3" xfId="3" applyNumberFormat="1" applyFont="1" applyBorder="1"/>
    <xf numFmtId="0" fontId="10" fillId="0" borderId="3" xfId="0" applyFont="1" applyBorder="1" applyAlignment="1">
      <alignment horizontal="right"/>
    </xf>
    <xf numFmtId="166" fontId="13" fillId="4" borderId="3" xfId="2" applyNumberFormat="1" applyFont="1" applyFill="1" applyBorder="1"/>
    <xf numFmtId="44" fontId="13" fillId="4" borderId="3" xfId="2" applyFont="1" applyFill="1" applyBorder="1"/>
    <xf numFmtId="10" fontId="13" fillId="4" borderId="3" xfId="3" applyNumberFormat="1" applyFont="1" applyFill="1" applyBorder="1"/>
    <xf numFmtId="0" fontId="10" fillId="0" borderId="3" xfId="0" applyFont="1" applyBorder="1"/>
    <xf numFmtId="44" fontId="10" fillId="2" borderId="3" xfId="2" applyFont="1" applyFill="1" applyBorder="1"/>
    <xf numFmtId="0" fontId="10" fillId="0" borderId="3" xfId="0" applyFont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44" fontId="10" fillId="0" borderId="2" xfId="0" applyNumberFormat="1" applyFont="1" applyBorder="1"/>
    <xf numFmtId="0" fontId="21" fillId="0" borderId="0" xfId="0" applyFont="1"/>
    <xf numFmtId="14" fontId="22" fillId="2" borderId="0" xfId="0" applyNumberFormat="1" applyFont="1" applyFill="1"/>
    <xf numFmtId="164" fontId="2" fillId="2" borderId="0" xfId="1" applyNumberFormat="1" applyFont="1" applyFill="1"/>
    <xf numFmtId="44" fontId="22" fillId="2" borderId="0" xfId="2" applyFont="1" applyFill="1"/>
    <xf numFmtId="165" fontId="22" fillId="2" borderId="0" xfId="3" applyNumberFormat="1" applyFont="1" applyFill="1"/>
    <xf numFmtId="0" fontId="22" fillId="2" borderId="0" xfId="0" applyFont="1" applyFill="1"/>
    <xf numFmtId="44" fontId="2" fillId="0" borderId="0" xfId="2" applyFont="1"/>
    <xf numFmtId="44" fontId="2" fillId="0" borderId="0" xfId="0" applyNumberFormat="1" applyFont="1"/>
    <xf numFmtId="44" fontId="2" fillId="2" borderId="0" xfId="0" applyNumberFormat="1" applyFont="1" applyFill="1"/>
    <xf numFmtId="0" fontId="2" fillId="0" borderId="0" xfId="0" applyFont="1" applyAlignment="1">
      <alignment horizontal="center"/>
    </xf>
    <xf numFmtId="44" fontId="24" fillId="5" borderId="0" xfId="2" applyFont="1" applyFill="1"/>
    <xf numFmtId="44" fontId="22" fillId="0" borderId="0" xfId="2" applyFont="1"/>
    <xf numFmtId="44" fontId="2" fillId="2" borderId="0" xfId="2" applyFont="1" applyFill="1"/>
    <xf numFmtId="0" fontId="2" fillId="6" borderId="0" xfId="0" applyFont="1" applyFill="1"/>
    <xf numFmtId="0" fontId="6" fillId="6" borderId="0" xfId="0" applyFont="1" applyFill="1"/>
    <xf numFmtId="0" fontId="21" fillId="6" borderId="0" xfId="0" applyFont="1" applyFill="1"/>
    <xf numFmtId="0" fontId="10" fillId="6" borderId="0" xfId="0" applyFont="1" applyFill="1"/>
    <xf numFmtId="0" fontId="9" fillId="6" borderId="0" xfId="0" applyFont="1" applyFill="1"/>
    <xf numFmtId="169" fontId="13" fillId="2" borderId="0" xfId="1" applyNumberFormat="1" applyFont="1" applyFill="1"/>
    <xf numFmtId="0" fontId="10" fillId="2" borderId="0" xfId="0" applyFont="1" applyFill="1" applyAlignment="1">
      <alignment horizontal="center"/>
    </xf>
    <xf numFmtId="0" fontId="20" fillId="0" borderId="0" xfId="0" applyFont="1"/>
    <xf numFmtId="169" fontId="10" fillId="2" borderId="0" xfId="0" applyNumberFormat="1" applyFont="1" applyFill="1"/>
    <xf numFmtId="0" fontId="26" fillId="0" borderId="0" xfId="0" applyFont="1"/>
    <xf numFmtId="0" fontId="27" fillId="0" borderId="0" xfId="0" applyFont="1"/>
    <xf numFmtId="0" fontId="28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Continuous"/>
    </xf>
    <xf numFmtId="14" fontId="13" fillId="0" borderId="1" xfId="0" applyNumberFormat="1" applyFont="1" applyFill="1" applyBorder="1" applyAlignment="1">
      <alignment horizontal="center"/>
    </xf>
    <xf numFmtId="167" fontId="13" fillId="0" borderId="1" xfId="2" applyNumberFormat="1" applyFont="1" applyFill="1" applyBorder="1"/>
    <xf numFmtId="164" fontId="10" fillId="0" borderId="1" xfId="1" applyNumberFormat="1" applyFont="1" applyFill="1" applyBorder="1"/>
    <xf numFmtId="44" fontId="10" fillId="0" borderId="1" xfId="2" applyFont="1" applyFill="1" applyBorder="1"/>
    <xf numFmtId="0" fontId="10" fillId="0" borderId="0" xfId="0" applyFont="1" applyAlignment="1"/>
    <xf numFmtId="0" fontId="10" fillId="0" borderId="0" xfId="0" applyFont="1" applyAlignment="1">
      <alignment horizontal="centerContinuous"/>
    </xf>
    <xf numFmtId="166" fontId="13" fillId="2" borderId="0" xfId="2" applyNumberFormat="1" applyFont="1" applyFill="1"/>
    <xf numFmtId="0" fontId="23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 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'Q1'!$C$32</c:f>
              <c:strCache>
                <c:ptCount val="1"/>
                <c:pt idx="0">
                  <c:v> $(944.78)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'Q1'!$B$33:$B$53</c:f>
              <c:numCache>
                <c:formatCode>_("$"* #,##0.00_);_("$"* \(#,##0.00\);_("$"* "-"??_);_(@_)</c:formatCode>
                <c:ptCount val="2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105</c:v>
                </c:pt>
                <c:pt idx="11">
                  <c:v>115</c:v>
                </c:pt>
                <c:pt idx="12">
                  <c:v>125</c:v>
                </c:pt>
                <c:pt idx="13">
                  <c:v>135</c:v>
                </c:pt>
                <c:pt idx="14">
                  <c:v>145</c:v>
                </c:pt>
                <c:pt idx="15">
                  <c:v>155</c:v>
                </c:pt>
                <c:pt idx="16">
                  <c:v>165</c:v>
                </c:pt>
                <c:pt idx="17">
                  <c:v>175</c:v>
                </c:pt>
                <c:pt idx="18">
                  <c:v>185</c:v>
                </c:pt>
                <c:pt idx="19">
                  <c:v>195</c:v>
                </c:pt>
                <c:pt idx="20">
                  <c:v>205</c:v>
                </c:pt>
              </c:numCache>
            </c:numRef>
          </c:cat>
          <c:val>
            <c:numRef>
              <c:f>'Q1'!$C$33:$C$53</c:f>
              <c:numCache>
                <c:formatCode>_("$"* #,##0.00_);_("$"* \(#,##0.00\);_("$"* "-"??_);_(@_)</c:formatCode>
                <c:ptCount val="21"/>
                <c:pt idx="0">
                  <c:v>-1319.7812613949336</c:v>
                </c:pt>
                <c:pt idx="1">
                  <c:v>-1319.7812613949336</c:v>
                </c:pt>
                <c:pt idx="2">
                  <c:v>-1319.7812613949336</c:v>
                </c:pt>
                <c:pt idx="3">
                  <c:v>-1319.7812613949336</c:v>
                </c:pt>
                <c:pt idx="4">
                  <c:v>-1319.7812613949336</c:v>
                </c:pt>
                <c:pt idx="5">
                  <c:v>-1319.7812613949336</c:v>
                </c:pt>
                <c:pt idx="6">
                  <c:v>-1319.7812613949336</c:v>
                </c:pt>
                <c:pt idx="7">
                  <c:v>-1319.7812613949336</c:v>
                </c:pt>
                <c:pt idx="8">
                  <c:v>-1319.7812613949336</c:v>
                </c:pt>
                <c:pt idx="9">
                  <c:v>-1319.7812613949336</c:v>
                </c:pt>
                <c:pt idx="10">
                  <c:v>-1319.7812613949336</c:v>
                </c:pt>
                <c:pt idx="11">
                  <c:v>-1319.7812613949336</c:v>
                </c:pt>
                <c:pt idx="12">
                  <c:v>-1319.7812613949336</c:v>
                </c:pt>
                <c:pt idx="13">
                  <c:v>-1319.7812613949336</c:v>
                </c:pt>
                <c:pt idx="14">
                  <c:v>-1319.7812613949336</c:v>
                </c:pt>
                <c:pt idx="15">
                  <c:v>-1319.7812613949336</c:v>
                </c:pt>
                <c:pt idx="16">
                  <c:v>1680.2187386050664</c:v>
                </c:pt>
                <c:pt idx="17">
                  <c:v>4680.2187386050664</c:v>
                </c:pt>
                <c:pt idx="18">
                  <c:v>7680.2187386050664</c:v>
                </c:pt>
                <c:pt idx="19">
                  <c:v>10680.218738605066</c:v>
                </c:pt>
                <c:pt idx="20">
                  <c:v>13680.218738605066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C-404E-9E16-898141DD5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449096"/>
        <c:axId val="675447456"/>
      </c:lineChart>
      <c:catAx>
        <c:axId val="675449096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47456"/>
        <c:crosses val="autoZero"/>
        <c:auto val="1"/>
        <c:lblAlgn val="ctr"/>
        <c:lblOffset val="100"/>
        <c:noMultiLvlLbl val="0"/>
      </c:catAx>
      <c:valAx>
        <c:axId val="6754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49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'Q2'!$F$20</c:f>
              <c:strCache>
                <c:ptCount val="1"/>
                <c:pt idx="0">
                  <c:v> $217,184.19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'Q2'!$E$21:$E$48</c:f>
              <c:numCache>
                <c:formatCode>_("$"* #,##0.00_);_("$"* \(#,##0.00\);_("$"* "-"??_);_(@_)</c:formatCode>
                <c:ptCount val="28"/>
                <c:pt idx="0">
                  <c:v>900</c:v>
                </c:pt>
                <c:pt idx="1">
                  <c:v>925</c:v>
                </c:pt>
                <c:pt idx="2">
                  <c:v>950</c:v>
                </c:pt>
                <c:pt idx="3">
                  <c:v>975</c:v>
                </c:pt>
                <c:pt idx="4">
                  <c:v>1000</c:v>
                </c:pt>
                <c:pt idx="5">
                  <c:v>1025</c:v>
                </c:pt>
                <c:pt idx="6">
                  <c:v>1050</c:v>
                </c:pt>
                <c:pt idx="7">
                  <c:v>1075</c:v>
                </c:pt>
                <c:pt idx="8">
                  <c:v>1100</c:v>
                </c:pt>
                <c:pt idx="9">
                  <c:v>1125</c:v>
                </c:pt>
                <c:pt idx="10">
                  <c:v>1150</c:v>
                </c:pt>
                <c:pt idx="11">
                  <c:v>1175</c:v>
                </c:pt>
                <c:pt idx="12">
                  <c:v>1200</c:v>
                </c:pt>
                <c:pt idx="13">
                  <c:v>1225</c:v>
                </c:pt>
                <c:pt idx="14">
                  <c:v>1250</c:v>
                </c:pt>
                <c:pt idx="15">
                  <c:v>1275</c:v>
                </c:pt>
                <c:pt idx="16">
                  <c:v>1300</c:v>
                </c:pt>
                <c:pt idx="17">
                  <c:v>1325</c:v>
                </c:pt>
                <c:pt idx="18">
                  <c:v>1350</c:v>
                </c:pt>
                <c:pt idx="19">
                  <c:v>1375</c:v>
                </c:pt>
                <c:pt idx="20">
                  <c:v>1400</c:v>
                </c:pt>
                <c:pt idx="21">
                  <c:v>1425</c:v>
                </c:pt>
                <c:pt idx="22">
                  <c:v>1450</c:v>
                </c:pt>
                <c:pt idx="23">
                  <c:v>1475</c:v>
                </c:pt>
                <c:pt idx="24">
                  <c:v>1500</c:v>
                </c:pt>
                <c:pt idx="25">
                  <c:v>1525</c:v>
                </c:pt>
                <c:pt idx="26">
                  <c:v>1550</c:v>
                </c:pt>
                <c:pt idx="27">
                  <c:v>1575</c:v>
                </c:pt>
              </c:numCache>
            </c:numRef>
          </c:cat>
          <c:val>
            <c:numRef>
              <c:f>'Q2'!$F$21:$F$48</c:f>
              <c:numCache>
                <c:formatCode>_("$"* #,##0.00_);_("$"* \(#,##0.00\);_("$"* "-"??_);_(@_)</c:formatCode>
                <c:ptCount val="28"/>
                <c:pt idx="0">
                  <c:v>227184.1947706783</c:v>
                </c:pt>
                <c:pt idx="1">
                  <c:v>227184.1947706783</c:v>
                </c:pt>
                <c:pt idx="2">
                  <c:v>227184.1947706783</c:v>
                </c:pt>
                <c:pt idx="3">
                  <c:v>227184.1947706783</c:v>
                </c:pt>
                <c:pt idx="4">
                  <c:v>227184.1947706783</c:v>
                </c:pt>
                <c:pt idx="5">
                  <c:v>227184.1947706783</c:v>
                </c:pt>
                <c:pt idx="6">
                  <c:v>227184.1947706783</c:v>
                </c:pt>
                <c:pt idx="7">
                  <c:v>227184.1947706783</c:v>
                </c:pt>
                <c:pt idx="8">
                  <c:v>227184.1947706783</c:v>
                </c:pt>
                <c:pt idx="9">
                  <c:v>227184.1947706783</c:v>
                </c:pt>
                <c:pt idx="10">
                  <c:v>177184.1947706783</c:v>
                </c:pt>
                <c:pt idx="11">
                  <c:v>127184.1947706783</c:v>
                </c:pt>
                <c:pt idx="12">
                  <c:v>77184.194770678296</c:v>
                </c:pt>
                <c:pt idx="13">
                  <c:v>27184.194770678288</c:v>
                </c:pt>
                <c:pt idx="14">
                  <c:v>-22815.805229321712</c:v>
                </c:pt>
                <c:pt idx="15">
                  <c:v>-72815.805229321704</c:v>
                </c:pt>
                <c:pt idx="16">
                  <c:v>-122815.8052293217</c:v>
                </c:pt>
                <c:pt idx="17">
                  <c:v>-172815.8052293217</c:v>
                </c:pt>
                <c:pt idx="18">
                  <c:v>-222815.8052293217</c:v>
                </c:pt>
                <c:pt idx="19">
                  <c:v>-272815.8052293217</c:v>
                </c:pt>
                <c:pt idx="20">
                  <c:v>-322815.8052293217</c:v>
                </c:pt>
                <c:pt idx="21">
                  <c:v>-372815.8052293217</c:v>
                </c:pt>
                <c:pt idx="22">
                  <c:v>-422815.8052293217</c:v>
                </c:pt>
                <c:pt idx="23">
                  <c:v>-472815.8052293217</c:v>
                </c:pt>
                <c:pt idx="24">
                  <c:v>-522815.80522932176</c:v>
                </c:pt>
                <c:pt idx="25">
                  <c:v>-572815.80522932182</c:v>
                </c:pt>
                <c:pt idx="26">
                  <c:v>-622815.80522932182</c:v>
                </c:pt>
                <c:pt idx="27">
                  <c:v>-672815.80522932182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D4-42B6-9582-FDEA3C8D9512}"/>
            </c:ext>
          </c:extLst>
        </c:ser>
        <c:ser>
          <c:idx val="1"/>
          <c:order val="1"/>
          <c:tx>
            <c:strRef>
              <c:f>'Q2'!$G$20</c:f>
              <c:strCache>
                <c:ptCount val="1"/>
                <c:pt idx="0">
                  <c:v> $(207,341.91)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'Q2'!$E$21:$E$48</c:f>
              <c:numCache>
                <c:formatCode>_("$"* #,##0.00_);_("$"* \(#,##0.00\);_("$"* "-"??_);_(@_)</c:formatCode>
                <c:ptCount val="28"/>
                <c:pt idx="0">
                  <c:v>900</c:v>
                </c:pt>
                <c:pt idx="1">
                  <c:v>925</c:v>
                </c:pt>
                <c:pt idx="2">
                  <c:v>950</c:v>
                </c:pt>
                <c:pt idx="3">
                  <c:v>975</c:v>
                </c:pt>
                <c:pt idx="4">
                  <c:v>1000</c:v>
                </c:pt>
                <c:pt idx="5">
                  <c:v>1025</c:v>
                </c:pt>
                <c:pt idx="6">
                  <c:v>1050</c:v>
                </c:pt>
                <c:pt idx="7">
                  <c:v>1075</c:v>
                </c:pt>
                <c:pt idx="8">
                  <c:v>1100</c:v>
                </c:pt>
                <c:pt idx="9">
                  <c:v>1125</c:v>
                </c:pt>
                <c:pt idx="10">
                  <c:v>1150</c:v>
                </c:pt>
                <c:pt idx="11">
                  <c:v>1175</c:v>
                </c:pt>
                <c:pt idx="12">
                  <c:v>1200</c:v>
                </c:pt>
                <c:pt idx="13">
                  <c:v>1225</c:v>
                </c:pt>
                <c:pt idx="14">
                  <c:v>1250</c:v>
                </c:pt>
                <c:pt idx="15">
                  <c:v>1275</c:v>
                </c:pt>
                <c:pt idx="16">
                  <c:v>1300</c:v>
                </c:pt>
                <c:pt idx="17">
                  <c:v>1325</c:v>
                </c:pt>
                <c:pt idx="18">
                  <c:v>1350</c:v>
                </c:pt>
                <c:pt idx="19">
                  <c:v>1375</c:v>
                </c:pt>
                <c:pt idx="20">
                  <c:v>1400</c:v>
                </c:pt>
                <c:pt idx="21">
                  <c:v>1425</c:v>
                </c:pt>
                <c:pt idx="22">
                  <c:v>1450</c:v>
                </c:pt>
                <c:pt idx="23">
                  <c:v>1475</c:v>
                </c:pt>
                <c:pt idx="24">
                  <c:v>1500</c:v>
                </c:pt>
                <c:pt idx="25">
                  <c:v>1525</c:v>
                </c:pt>
                <c:pt idx="26">
                  <c:v>1550</c:v>
                </c:pt>
                <c:pt idx="27">
                  <c:v>1575</c:v>
                </c:pt>
              </c:numCache>
            </c:numRef>
          </c:cat>
          <c:val>
            <c:numRef>
              <c:f>'Q2'!$G$21:$G$48</c:f>
              <c:numCache>
                <c:formatCode>_("$"* #,##0.00_);_("$"* \(#,##0.00\);_("$"* "-"??_);_(@_)</c:formatCode>
                <c:ptCount val="28"/>
                <c:pt idx="0">
                  <c:v>-207341.9051524188</c:v>
                </c:pt>
                <c:pt idx="1">
                  <c:v>-207341.9051524188</c:v>
                </c:pt>
                <c:pt idx="2">
                  <c:v>-207341.9051524188</c:v>
                </c:pt>
                <c:pt idx="3">
                  <c:v>-207341.9051524188</c:v>
                </c:pt>
                <c:pt idx="4">
                  <c:v>-207341.9051524188</c:v>
                </c:pt>
                <c:pt idx="5">
                  <c:v>-207341.9051524188</c:v>
                </c:pt>
                <c:pt idx="6">
                  <c:v>-207341.9051524188</c:v>
                </c:pt>
                <c:pt idx="7">
                  <c:v>-207341.9051524188</c:v>
                </c:pt>
                <c:pt idx="8">
                  <c:v>-207341.9051524188</c:v>
                </c:pt>
                <c:pt idx="9">
                  <c:v>-207341.9051524188</c:v>
                </c:pt>
                <c:pt idx="10">
                  <c:v>-207341.9051524188</c:v>
                </c:pt>
                <c:pt idx="11">
                  <c:v>-157341.9051524188</c:v>
                </c:pt>
                <c:pt idx="12">
                  <c:v>-107341.9051524188</c:v>
                </c:pt>
                <c:pt idx="13">
                  <c:v>-57341.905152418803</c:v>
                </c:pt>
                <c:pt idx="14">
                  <c:v>-7341.9051524188035</c:v>
                </c:pt>
                <c:pt idx="15">
                  <c:v>42658.094847581197</c:v>
                </c:pt>
                <c:pt idx="16">
                  <c:v>92658.094847581204</c:v>
                </c:pt>
                <c:pt idx="17">
                  <c:v>142658.0948475812</c:v>
                </c:pt>
                <c:pt idx="18">
                  <c:v>192658.0948475812</c:v>
                </c:pt>
                <c:pt idx="19">
                  <c:v>242658.0948475812</c:v>
                </c:pt>
                <c:pt idx="20">
                  <c:v>292658.09484758117</c:v>
                </c:pt>
                <c:pt idx="21">
                  <c:v>342658.09484758117</c:v>
                </c:pt>
                <c:pt idx="22">
                  <c:v>392658.09484758117</c:v>
                </c:pt>
                <c:pt idx="23">
                  <c:v>442658.09484758117</c:v>
                </c:pt>
                <c:pt idx="24">
                  <c:v>492658.09484758117</c:v>
                </c:pt>
                <c:pt idx="25">
                  <c:v>542658.09484758123</c:v>
                </c:pt>
                <c:pt idx="26">
                  <c:v>592658.09484758123</c:v>
                </c:pt>
                <c:pt idx="27">
                  <c:v>642658.09484758123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D4-42B6-9582-FDEA3C8D9512}"/>
            </c:ext>
          </c:extLst>
        </c:ser>
        <c:ser>
          <c:idx val="2"/>
          <c:order val="2"/>
          <c:tx>
            <c:strRef>
              <c:f>'Q2'!$H$20</c:f>
              <c:strCache>
                <c:ptCount val="1"/>
                <c:pt idx="0">
                  <c:v> $9,842.29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'Q2'!$E$21:$E$48</c:f>
              <c:numCache>
                <c:formatCode>_("$"* #,##0.00_);_("$"* \(#,##0.00\);_("$"* "-"??_);_(@_)</c:formatCode>
                <c:ptCount val="28"/>
                <c:pt idx="0">
                  <c:v>900</c:v>
                </c:pt>
                <c:pt idx="1">
                  <c:v>925</c:v>
                </c:pt>
                <c:pt idx="2">
                  <c:v>950</c:v>
                </c:pt>
                <c:pt idx="3">
                  <c:v>975</c:v>
                </c:pt>
                <c:pt idx="4">
                  <c:v>1000</c:v>
                </c:pt>
                <c:pt idx="5">
                  <c:v>1025</c:v>
                </c:pt>
                <c:pt idx="6">
                  <c:v>1050</c:v>
                </c:pt>
                <c:pt idx="7">
                  <c:v>1075</c:v>
                </c:pt>
                <c:pt idx="8">
                  <c:v>1100</c:v>
                </c:pt>
                <c:pt idx="9">
                  <c:v>1125</c:v>
                </c:pt>
                <c:pt idx="10">
                  <c:v>1150</c:v>
                </c:pt>
                <c:pt idx="11">
                  <c:v>1175</c:v>
                </c:pt>
                <c:pt idx="12">
                  <c:v>1200</c:v>
                </c:pt>
                <c:pt idx="13">
                  <c:v>1225</c:v>
                </c:pt>
                <c:pt idx="14">
                  <c:v>1250</c:v>
                </c:pt>
                <c:pt idx="15">
                  <c:v>1275</c:v>
                </c:pt>
                <c:pt idx="16">
                  <c:v>1300</c:v>
                </c:pt>
                <c:pt idx="17">
                  <c:v>1325</c:v>
                </c:pt>
                <c:pt idx="18">
                  <c:v>1350</c:v>
                </c:pt>
                <c:pt idx="19">
                  <c:v>1375</c:v>
                </c:pt>
                <c:pt idx="20">
                  <c:v>1400</c:v>
                </c:pt>
                <c:pt idx="21">
                  <c:v>1425</c:v>
                </c:pt>
                <c:pt idx="22">
                  <c:v>1450</c:v>
                </c:pt>
                <c:pt idx="23">
                  <c:v>1475</c:v>
                </c:pt>
                <c:pt idx="24">
                  <c:v>1500</c:v>
                </c:pt>
                <c:pt idx="25">
                  <c:v>1525</c:v>
                </c:pt>
                <c:pt idx="26">
                  <c:v>1550</c:v>
                </c:pt>
                <c:pt idx="27">
                  <c:v>1575</c:v>
                </c:pt>
              </c:numCache>
            </c:numRef>
          </c:cat>
          <c:val>
            <c:numRef>
              <c:f>'Q2'!$H$21:$H$48</c:f>
              <c:numCache>
                <c:formatCode>_("$"* #,##0.00_);_("$"* \(#,##0.00\);_("$"* "-"??_);_(@_)</c:formatCode>
                <c:ptCount val="28"/>
                <c:pt idx="0">
                  <c:v>19842.2896182595</c:v>
                </c:pt>
                <c:pt idx="1">
                  <c:v>19842.2896182595</c:v>
                </c:pt>
                <c:pt idx="2">
                  <c:v>19842.2896182595</c:v>
                </c:pt>
                <c:pt idx="3">
                  <c:v>19842.2896182595</c:v>
                </c:pt>
                <c:pt idx="4">
                  <c:v>19842.2896182595</c:v>
                </c:pt>
                <c:pt idx="5">
                  <c:v>19842.2896182595</c:v>
                </c:pt>
                <c:pt idx="6">
                  <c:v>19842.2896182595</c:v>
                </c:pt>
                <c:pt idx="7">
                  <c:v>19842.2896182595</c:v>
                </c:pt>
                <c:pt idx="8">
                  <c:v>19842.2896182595</c:v>
                </c:pt>
                <c:pt idx="9">
                  <c:v>19842.2896182595</c:v>
                </c:pt>
                <c:pt idx="10">
                  <c:v>-30157.7103817405</c:v>
                </c:pt>
                <c:pt idx="11">
                  <c:v>-30157.7103817405</c:v>
                </c:pt>
                <c:pt idx="12">
                  <c:v>-30157.7103817405</c:v>
                </c:pt>
                <c:pt idx="13">
                  <c:v>-30157.710381740515</c:v>
                </c:pt>
                <c:pt idx="14">
                  <c:v>-30157.710381740515</c:v>
                </c:pt>
                <c:pt idx="15">
                  <c:v>-30157.710381740508</c:v>
                </c:pt>
                <c:pt idx="16">
                  <c:v>-30157.7103817405</c:v>
                </c:pt>
                <c:pt idx="17">
                  <c:v>-30157.7103817405</c:v>
                </c:pt>
                <c:pt idx="18">
                  <c:v>-30157.7103817405</c:v>
                </c:pt>
                <c:pt idx="19">
                  <c:v>-30157.7103817405</c:v>
                </c:pt>
                <c:pt idx="20">
                  <c:v>-30157.71038174053</c:v>
                </c:pt>
                <c:pt idx="21">
                  <c:v>-30157.71038174053</c:v>
                </c:pt>
                <c:pt idx="22">
                  <c:v>-30157.71038174053</c:v>
                </c:pt>
                <c:pt idx="23">
                  <c:v>-30157.71038174053</c:v>
                </c:pt>
                <c:pt idx="24">
                  <c:v>-30157.710381740588</c:v>
                </c:pt>
                <c:pt idx="25">
                  <c:v>-30157.710381740588</c:v>
                </c:pt>
                <c:pt idx="26">
                  <c:v>-30157.710381740588</c:v>
                </c:pt>
                <c:pt idx="27">
                  <c:v>-30157.710381740588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D4-42B6-9582-FDEA3C8D9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804680"/>
        <c:axId val="677805008"/>
      </c:lineChart>
      <c:catAx>
        <c:axId val="677804680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05008"/>
        <c:crosses val="autoZero"/>
        <c:auto val="1"/>
        <c:lblAlgn val="ctr"/>
        <c:lblOffset val="100"/>
        <c:noMultiLvlLbl val="0"/>
      </c:catAx>
      <c:valAx>
        <c:axId val="6778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0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 Stock Long</a:t>
            </a:r>
            <a:r>
              <a:rPr lang="en-US" baseline="0"/>
              <a:t> 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'Q3'!$F$21</c:f>
              <c:strCache>
                <c:ptCount val="1"/>
                <c:pt idx="0">
                  <c:v> $7,738.63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'Q3'!$E$22:$E$39</c:f>
              <c:numCache>
                <c:formatCode>"$"#,##0.00</c:formatCode>
                <c:ptCount val="18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</c:numCache>
            </c:numRef>
          </c:cat>
          <c:val>
            <c:numRef>
              <c:f>'Q3'!$F$22:$F$39</c:f>
              <c:numCache>
                <c:formatCode>_("$"* #,##0.00_);_("$"* \(#,##0.00\);_("$"* "-"??_);_(@_)</c:formatCode>
                <c:ptCount val="18"/>
                <c:pt idx="0">
                  <c:v>13738.625454030902</c:v>
                </c:pt>
                <c:pt idx="1">
                  <c:v>12238.625454030902</c:v>
                </c:pt>
                <c:pt idx="2">
                  <c:v>10738.625454030902</c:v>
                </c:pt>
                <c:pt idx="3">
                  <c:v>9238.6254540309019</c:v>
                </c:pt>
                <c:pt idx="4">
                  <c:v>7738.6254540309019</c:v>
                </c:pt>
                <c:pt idx="5">
                  <c:v>6238.6254540309019</c:v>
                </c:pt>
                <c:pt idx="6">
                  <c:v>4738.6254540309019</c:v>
                </c:pt>
                <c:pt idx="7">
                  <c:v>3238.6254540309019</c:v>
                </c:pt>
                <c:pt idx="8">
                  <c:v>1738.6254540309019</c:v>
                </c:pt>
                <c:pt idx="9">
                  <c:v>238.62545403090189</c:v>
                </c:pt>
                <c:pt idx="10">
                  <c:v>-1261.3745459690981</c:v>
                </c:pt>
                <c:pt idx="11">
                  <c:v>-2761.3745459690981</c:v>
                </c:pt>
                <c:pt idx="12">
                  <c:v>-4261.3745459690981</c:v>
                </c:pt>
                <c:pt idx="13">
                  <c:v>-5761.3745459690981</c:v>
                </c:pt>
                <c:pt idx="14">
                  <c:v>-7261.3745459690981</c:v>
                </c:pt>
                <c:pt idx="15">
                  <c:v>-8761.3745459690981</c:v>
                </c:pt>
                <c:pt idx="16">
                  <c:v>-10261.374545969098</c:v>
                </c:pt>
                <c:pt idx="17">
                  <c:v>-11761.374545969098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4-41C9-81A9-4D6871744454}"/>
            </c:ext>
          </c:extLst>
        </c:ser>
        <c:ser>
          <c:idx val="1"/>
          <c:order val="1"/>
          <c:tx>
            <c:strRef>
              <c:f>'Q3'!$G$21</c:f>
              <c:strCache>
                <c:ptCount val="1"/>
                <c:pt idx="0">
                  <c:v> $3,997.61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'Q3'!$E$22:$E$39</c:f>
              <c:numCache>
                <c:formatCode>"$"#,##0.00</c:formatCode>
                <c:ptCount val="18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</c:numCache>
            </c:numRef>
          </c:cat>
          <c:val>
            <c:numRef>
              <c:f>'Q3'!$G$22:$G$39</c:f>
              <c:numCache>
                <c:formatCode>_("$"* #,##0.00_);_("$"* \(#,##0.00\);_("$"* "-"??_);_(@_)</c:formatCode>
                <c:ptCount val="18"/>
                <c:pt idx="0">
                  <c:v>9997.6060236560006</c:v>
                </c:pt>
                <c:pt idx="1">
                  <c:v>8497.6060236560006</c:v>
                </c:pt>
                <c:pt idx="2">
                  <c:v>6997.6060236560006</c:v>
                </c:pt>
                <c:pt idx="3">
                  <c:v>5497.6060236560006</c:v>
                </c:pt>
                <c:pt idx="4">
                  <c:v>3997.6060236560011</c:v>
                </c:pt>
                <c:pt idx="5">
                  <c:v>2497.6060236560011</c:v>
                </c:pt>
                <c:pt idx="6">
                  <c:v>997.60602365600107</c:v>
                </c:pt>
                <c:pt idx="7">
                  <c:v>-502.39397634399893</c:v>
                </c:pt>
                <c:pt idx="8">
                  <c:v>-2002.3939763439989</c:v>
                </c:pt>
                <c:pt idx="9">
                  <c:v>-3502.3939763439989</c:v>
                </c:pt>
                <c:pt idx="10">
                  <c:v>-3502.3939763439989</c:v>
                </c:pt>
                <c:pt idx="11">
                  <c:v>-3502.3939763439989</c:v>
                </c:pt>
                <c:pt idx="12">
                  <c:v>-3502.3939763439989</c:v>
                </c:pt>
                <c:pt idx="13">
                  <c:v>-3502.3939763439989</c:v>
                </c:pt>
                <c:pt idx="14">
                  <c:v>-3502.3939763439989</c:v>
                </c:pt>
                <c:pt idx="15">
                  <c:v>-3502.3939763439989</c:v>
                </c:pt>
                <c:pt idx="16">
                  <c:v>-3502.3939763439989</c:v>
                </c:pt>
                <c:pt idx="17">
                  <c:v>-3502.3939763439989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4-41C9-81A9-4D6871744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917720"/>
        <c:axId val="841914112"/>
      </c:lineChart>
      <c:catAx>
        <c:axId val="841917720"/>
        <c:scaling>
          <c:orientation val="minMax"/>
        </c:scaling>
        <c:delete val="0"/>
        <c:axPos val="b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14112"/>
        <c:crosses val="autoZero"/>
        <c:auto val="1"/>
        <c:lblAlgn val="ctr"/>
        <c:lblOffset val="100"/>
        <c:noMultiLvlLbl val="0"/>
      </c:catAx>
      <c:valAx>
        <c:axId val="8419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1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'Q4'!$G$18:$G$30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23</c:v>
                </c:pt>
                <c:pt idx="6">
                  <c:v>29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5-4CC3-810F-707E1E510C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'Q4'!$H$18:$H$30</c:f>
              <c:numCache>
                <c:formatCode>_("$"* #,##0.00_);_("$"* \(#,##0.00\);_("$"* "-"??_);_(@_)</c:formatCode>
                <c:ptCount val="13"/>
                <c:pt idx="0">
                  <c:v>-18773.184225979199</c:v>
                </c:pt>
                <c:pt idx="1">
                  <c:v>-13773.184225979201</c:v>
                </c:pt>
                <c:pt idx="2">
                  <c:v>-8773.1842259792011</c:v>
                </c:pt>
                <c:pt idx="3">
                  <c:v>-3773.1842259792015</c:v>
                </c:pt>
                <c:pt idx="4">
                  <c:v>1226.8157740207989</c:v>
                </c:pt>
                <c:pt idx="5">
                  <c:v>4226.8157740207989</c:v>
                </c:pt>
                <c:pt idx="6">
                  <c:v>10226.815774020799</c:v>
                </c:pt>
                <c:pt idx="7">
                  <c:v>16226.815774020799</c:v>
                </c:pt>
                <c:pt idx="8">
                  <c:v>21226.815774020801</c:v>
                </c:pt>
                <c:pt idx="9">
                  <c:v>26226.815774020801</c:v>
                </c:pt>
                <c:pt idx="10">
                  <c:v>31226.815774020801</c:v>
                </c:pt>
                <c:pt idx="11">
                  <c:v>36226.81577402079</c:v>
                </c:pt>
                <c:pt idx="12">
                  <c:v>41226.81577402079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5-4CC3-810F-707E1E510CA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'Q4'!$I$18:$I$30</c:f>
              <c:numCache>
                <c:formatCode>_("$"* #,##0.00_);_("$"* \(#,##0.00\);_("$"* "-"??_);_(@_)</c:formatCode>
                <c:ptCount val="13"/>
                <c:pt idx="0">
                  <c:v>501.91324021808703</c:v>
                </c:pt>
                <c:pt idx="1">
                  <c:v>501.91324021808703</c:v>
                </c:pt>
                <c:pt idx="2">
                  <c:v>501.91324021808703</c:v>
                </c:pt>
                <c:pt idx="3">
                  <c:v>501.91324021808703</c:v>
                </c:pt>
                <c:pt idx="4">
                  <c:v>501.91324021808703</c:v>
                </c:pt>
                <c:pt idx="5">
                  <c:v>501.91324021808703</c:v>
                </c:pt>
                <c:pt idx="6">
                  <c:v>501.91324021808703</c:v>
                </c:pt>
                <c:pt idx="7">
                  <c:v>501.91324021808703</c:v>
                </c:pt>
                <c:pt idx="8">
                  <c:v>-4498.0867597819124</c:v>
                </c:pt>
                <c:pt idx="9">
                  <c:v>-9498.0867597819124</c:v>
                </c:pt>
                <c:pt idx="10">
                  <c:v>-14498.086759781912</c:v>
                </c:pt>
                <c:pt idx="11">
                  <c:v>-19498.086759781912</c:v>
                </c:pt>
                <c:pt idx="12">
                  <c:v>-24498.086759781912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5-4CC3-810F-707E1E510CA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'Q4'!$J$18:$J$30</c:f>
              <c:numCache>
                <c:formatCode>_("$"* #,##0.00_);_("$"* \(#,##0.00\);_("$"* "-"??_);_(@_)</c:formatCode>
                <c:ptCount val="13"/>
                <c:pt idx="0">
                  <c:v>22467.97196536883</c:v>
                </c:pt>
                <c:pt idx="1">
                  <c:v>17467.97196536883</c:v>
                </c:pt>
                <c:pt idx="2">
                  <c:v>12467.971965368826</c:v>
                </c:pt>
                <c:pt idx="3">
                  <c:v>7467.971965368828</c:v>
                </c:pt>
                <c:pt idx="4">
                  <c:v>2467.971965368828</c:v>
                </c:pt>
                <c:pt idx="5">
                  <c:v>-532.02803463117232</c:v>
                </c:pt>
                <c:pt idx="6">
                  <c:v>-532.02803463117232</c:v>
                </c:pt>
                <c:pt idx="7">
                  <c:v>-532.02803463117232</c:v>
                </c:pt>
                <c:pt idx="8">
                  <c:v>-532.02803463117232</c:v>
                </c:pt>
                <c:pt idx="9">
                  <c:v>-532.02803463117232</c:v>
                </c:pt>
                <c:pt idx="10">
                  <c:v>-532.02803463117232</c:v>
                </c:pt>
                <c:pt idx="11">
                  <c:v>-532.02803463117232</c:v>
                </c:pt>
                <c:pt idx="12">
                  <c:v>-532.02803463117232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5-4CC3-810F-707E1E510CA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'Q4'!$K$18:$K$30</c:f>
              <c:numCache>
                <c:formatCode>_("$"* #,##0.00_);_("$"* \(#,##0.00\);_("$"* "-"??_);_(@_)</c:formatCode>
                <c:ptCount val="13"/>
                <c:pt idx="0">
                  <c:v>4196.7009796077182</c:v>
                </c:pt>
                <c:pt idx="1">
                  <c:v>4196.7009796077164</c:v>
                </c:pt>
                <c:pt idx="2">
                  <c:v>4196.7009796077127</c:v>
                </c:pt>
                <c:pt idx="3">
                  <c:v>4196.7009796077127</c:v>
                </c:pt>
                <c:pt idx="4">
                  <c:v>4196.7009796077145</c:v>
                </c:pt>
                <c:pt idx="5">
                  <c:v>4196.7009796077136</c:v>
                </c:pt>
                <c:pt idx="6">
                  <c:v>10196.700979607715</c:v>
                </c:pt>
                <c:pt idx="7">
                  <c:v>16196.700979607715</c:v>
                </c:pt>
                <c:pt idx="8">
                  <c:v>16196.700979607716</c:v>
                </c:pt>
                <c:pt idx="9">
                  <c:v>16196.700979607716</c:v>
                </c:pt>
                <c:pt idx="10">
                  <c:v>16196.700979607716</c:v>
                </c:pt>
                <c:pt idx="11">
                  <c:v>16196.700979607704</c:v>
                </c:pt>
                <c:pt idx="12">
                  <c:v>16196.700979607704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95-4CC3-810F-707E1E510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448656"/>
        <c:axId val="939458168"/>
      </c:lineChart>
      <c:catAx>
        <c:axId val="93944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458168"/>
        <c:crosses val="autoZero"/>
        <c:auto val="1"/>
        <c:lblAlgn val="ctr"/>
        <c:lblOffset val="100"/>
        <c:noMultiLvlLbl val="0"/>
      </c:catAx>
      <c:valAx>
        <c:axId val="93945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44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'Q5'!$G$49:$G$69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'Q5'!$H$49:$H$69</c:f>
              <c:numCache>
                <c:formatCode>_("$"* #,##0.00_);_("$"* \(#,##0.00\);_("$"* "-"??_);_(@_)</c:formatCode>
                <c:ptCount val="21"/>
                <c:pt idx="0">
                  <c:v>171179.29255811722</c:v>
                </c:pt>
                <c:pt idx="1">
                  <c:v>158679.29255811722</c:v>
                </c:pt>
                <c:pt idx="2">
                  <c:v>146179.29255811722</c:v>
                </c:pt>
                <c:pt idx="3">
                  <c:v>133679.29255811722</c:v>
                </c:pt>
                <c:pt idx="4">
                  <c:v>121179.29255811723</c:v>
                </c:pt>
                <c:pt idx="5">
                  <c:v>108679.29255811723</c:v>
                </c:pt>
                <c:pt idx="6">
                  <c:v>96179.292558117231</c:v>
                </c:pt>
                <c:pt idx="7">
                  <c:v>83679.292558117231</c:v>
                </c:pt>
                <c:pt idx="8">
                  <c:v>71179.292558117231</c:v>
                </c:pt>
                <c:pt idx="9">
                  <c:v>58679.292558117224</c:v>
                </c:pt>
                <c:pt idx="10">
                  <c:v>46179.292558117224</c:v>
                </c:pt>
                <c:pt idx="11">
                  <c:v>33679.292558117224</c:v>
                </c:pt>
                <c:pt idx="12">
                  <c:v>21179.292558117224</c:v>
                </c:pt>
                <c:pt idx="13">
                  <c:v>8679.2925581172258</c:v>
                </c:pt>
                <c:pt idx="14">
                  <c:v>-3820.7074418827742</c:v>
                </c:pt>
                <c:pt idx="15">
                  <c:v>-16320.707441882774</c:v>
                </c:pt>
                <c:pt idx="16">
                  <c:v>-28820.707441882776</c:v>
                </c:pt>
                <c:pt idx="17">
                  <c:v>-41320.707441882776</c:v>
                </c:pt>
                <c:pt idx="18">
                  <c:v>-53820.707441882776</c:v>
                </c:pt>
                <c:pt idx="19">
                  <c:v>-66320.707441882769</c:v>
                </c:pt>
                <c:pt idx="20">
                  <c:v>-78820.707441882769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01-4397-BF9E-CD36C3B825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'Q5'!$G$49:$G$69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'Q5'!$I$49:$I$69</c:f>
              <c:numCache>
                <c:formatCode>_("$"* #,##0.00_);_("$"* \(#,##0.00\);_("$"* "-"??_);_(@_)</c:formatCode>
                <c:ptCount val="21"/>
                <c:pt idx="0">
                  <c:v>-37961.199782993965</c:v>
                </c:pt>
                <c:pt idx="1">
                  <c:v>-37961.199782993965</c:v>
                </c:pt>
                <c:pt idx="2">
                  <c:v>-37961.199782993965</c:v>
                </c:pt>
                <c:pt idx="3">
                  <c:v>-37961.199782993965</c:v>
                </c:pt>
                <c:pt idx="4">
                  <c:v>-37961.199782993965</c:v>
                </c:pt>
                <c:pt idx="5">
                  <c:v>-37961.199782993965</c:v>
                </c:pt>
                <c:pt idx="6">
                  <c:v>-37961.199782993965</c:v>
                </c:pt>
                <c:pt idx="7">
                  <c:v>-37961.199782993965</c:v>
                </c:pt>
                <c:pt idx="8">
                  <c:v>-37961.199782993965</c:v>
                </c:pt>
                <c:pt idx="9">
                  <c:v>-25461.199782993965</c:v>
                </c:pt>
                <c:pt idx="10">
                  <c:v>-12961.199782993965</c:v>
                </c:pt>
                <c:pt idx="11">
                  <c:v>-461.19978299396462</c:v>
                </c:pt>
                <c:pt idx="12">
                  <c:v>12038.800217006035</c:v>
                </c:pt>
                <c:pt idx="13">
                  <c:v>24538.800217006035</c:v>
                </c:pt>
                <c:pt idx="14">
                  <c:v>37038.800217006035</c:v>
                </c:pt>
                <c:pt idx="15">
                  <c:v>49538.800217006035</c:v>
                </c:pt>
                <c:pt idx="16">
                  <c:v>62038.800217006035</c:v>
                </c:pt>
                <c:pt idx="17">
                  <c:v>74538.800217006035</c:v>
                </c:pt>
                <c:pt idx="18">
                  <c:v>87038.800217006035</c:v>
                </c:pt>
                <c:pt idx="19">
                  <c:v>99538.800217006035</c:v>
                </c:pt>
                <c:pt idx="20">
                  <c:v>112038.80021700604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1-4397-BF9E-CD36C3B825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'Q5'!$G$49:$G$69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'Q5'!$J$49:$J$69</c:f>
              <c:numCache>
                <c:formatCode>_("$"* #,##0.00_);_("$"* \(#,##0.00\);_("$"* "-"??_);_(@_)</c:formatCode>
                <c:ptCount val="21"/>
                <c:pt idx="0">
                  <c:v>133218.09277512325</c:v>
                </c:pt>
                <c:pt idx="1">
                  <c:v>120718.09277512325</c:v>
                </c:pt>
                <c:pt idx="2">
                  <c:v>108218.09277512325</c:v>
                </c:pt>
                <c:pt idx="3">
                  <c:v>95718.092775123252</c:v>
                </c:pt>
                <c:pt idx="4">
                  <c:v>83218.092775123267</c:v>
                </c:pt>
                <c:pt idx="5">
                  <c:v>70718.092775123267</c:v>
                </c:pt>
                <c:pt idx="6">
                  <c:v>58218.092775123267</c:v>
                </c:pt>
                <c:pt idx="7">
                  <c:v>45718.092775123267</c:v>
                </c:pt>
                <c:pt idx="8">
                  <c:v>33218.092775123267</c:v>
                </c:pt>
                <c:pt idx="9">
                  <c:v>33218.092775123259</c:v>
                </c:pt>
                <c:pt idx="10">
                  <c:v>33218.092775123259</c:v>
                </c:pt>
                <c:pt idx="11">
                  <c:v>33218.092775123259</c:v>
                </c:pt>
                <c:pt idx="12">
                  <c:v>33218.092775123259</c:v>
                </c:pt>
                <c:pt idx="13">
                  <c:v>33218.092775123259</c:v>
                </c:pt>
                <c:pt idx="14">
                  <c:v>33218.092775123259</c:v>
                </c:pt>
                <c:pt idx="15">
                  <c:v>33218.092775123259</c:v>
                </c:pt>
                <c:pt idx="16">
                  <c:v>33218.092775123259</c:v>
                </c:pt>
                <c:pt idx="17">
                  <c:v>33218.092775123259</c:v>
                </c:pt>
                <c:pt idx="18">
                  <c:v>33218.092775123259</c:v>
                </c:pt>
                <c:pt idx="19">
                  <c:v>33218.092775123267</c:v>
                </c:pt>
                <c:pt idx="20">
                  <c:v>33218.092775123267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01-4397-BF9E-CD36C3B82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751936"/>
        <c:axId val="566748656"/>
      </c:lineChart>
      <c:catAx>
        <c:axId val="566751936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48656"/>
        <c:crosses val="autoZero"/>
        <c:auto val="1"/>
        <c:lblAlgn val="ctr"/>
        <c:lblOffset val="100"/>
        <c:noMultiLvlLbl val="0"/>
      </c:catAx>
      <c:valAx>
        <c:axId val="5667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5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'Q6'!$I$24:$I$53</c:f>
              <c:numCache>
                <c:formatCode>_("$"* #,##0.00_);_("$"* \(#,##0.00\);_("$"* "-"??_);_(@_)</c:formatCode>
                <c:ptCount val="30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155</c:v>
                </c:pt>
                <c:pt idx="21">
                  <c:v>160</c:v>
                </c:pt>
                <c:pt idx="22">
                  <c:v>165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185</c:v>
                </c:pt>
                <c:pt idx="27">
                  <c:v>190</c:v>
                </c:pt>
                <c:pt idx="28">
                  <c:v>195</c:v>
                </c:pt>
                <c:pt idx="29">
                  <c:v>200</c:v>
                </c:pt>
              </c:numCache>
            </c:numRef>
          </c:cat>
          <c:val>
            <c:numRef>
              <c:f>'Q6'!$J$24:$J$53</c:f>
              <c:numCache>
                <c:formatCode>_("$"* #,##0.00_);_("$"* \(#,##0.00\);_("$"* "-"??_);_(@_)</c:formatCode>
                <c:ptCount val="30"/>
                <c:pt idx="0">
                  <c:v>17972.784321061619</c:v>
                </c:pt>
                <c:pt idx="1">
                  <c:v>15972.784321061619</c:v>
                </c:pt>
                <c:pt idx="2">
                  <c:v>13972.784321061619</c:v>
                </c:pt>
                <c:pt idx="3">
                  <c:v>11972.784321061619</c:v>
                </c:pt>
                <c:pt idx="4">
                  <c:v>9972.7843210616193</c:v>
                </c:pt>
                <c:pt idx="5">
                  <c:v>7972.7843210616184</c:v>
                </c:pt>
                <c:pt idx="6">
                  <c:v>5972.7843210616184</c:v>
                </c:pt>
                <c:pt idx="7">
                  <c:v>3972.7843210616184</c:v>
                </c:pt>
                <c:pt idx="8">
                  <c:v>1972.7843210616186</c:v>
                </c:pt>
                <c:pt idx="9">
                  <c:v>-27.215678938381416</c:v>
                </c:pt>
                <c:pt idx="10">
                  <c:v>-2027.2156789383814</c:v>
                </c:pt>
                <c:pt idx="11">
                  <c:v>-2027.2156789383814</c:v>
                </c:pt>
                <c:pt idx="12">
                  <c:v>-2027.2156789383814</c:v>
                </c:pt>
                <c:pt idx="13">
                  <c:v>-2027.2156789383814</c:v>
                </c:pt>
                <c:pt idx="14">
                  <c:v>-2027.2156789383814</c:v>
                </c:pt>
                <c:pt idx="15">
                  <c:v>-2027.2156789383814</c:v>
                </c:pt>
                <c:pt idx="16">
                  <c:v>-2027.2156789383814</c:v>
                </c:pt>
                <c:pt idx="17">
                  <c:v>-2027.2156789383814</c:v>
                </c:pt>
                <c:pt idx="18">
                  <c:v>-2027.2156789383814</c:v>
                </c:pt>
                <c:pt idx="19">
                  <c:v>-2027.2156789383814</c:v>
                </c:pt>
                <c:pt idx="20">
                  <c:v>-2027.2156789383814</c:v>
                </c:pt>
                <c:pt idx="21">
                  <c:v>-2027.2156789383814</c:v>
                </c:pt>
                <c:pt idx="22">
                  <c:v>-2027.2156789383814</c:v>
                </c:pt>
                <c:pt idx="23">
                  <c:v>-2027.2156789383814</c:v>
                </c:pt>
                <c:pt idx="24">
                  <c:v>-2027.2156789383814</c:v>
                </c:pt>
                <c:pt idx="25">
                  <c:v>-2027.2156789383814</c:v>
                </c:pt>
                <c:pt idx="26">
                  <c:v>-2027.2156789383814</c:v>
                </c:pt>
                <c:pt idx="27">
                  <c:v>-2027.2156789383814</c:v>
                </c:pt>
                <c:pt idx="28">
                  <c:v>-2027.2156789383814</c:v>
                </c:pt>
                <c:pt idx="29">
                  <c:v>-2027.2156789383814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0-44D3-9B5C-BE8525C4EF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'Q6'!$I$24:$I$53</c:f>
              <c:numCache>
                <c:formatCode>_("$"* #,##0.00_);_("$"* \(#,##0.00\);_("$"* "-"??_);_(@_)</c:formatCode>
                <c:ptCount val="30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155</c:v>
                </c:pt>
                <c:pt idx="21">
                  <c:v>160</c:v>
                </c:pt>
                <c:pt idx="22">
                  <c:v>165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185</c:v>
                </c:pt>
                <c:pt idx="27">
                  <c:v>190</c:v>
                </c:pt>
                <c:pt idx="28">
                  <c:v>195</c:v>
                </c:pt>
                <c:pt idx="29">
                  <c:v>200</c:v>
                </c:pt>
              </c:numCache>
            </c:numRef>
          </c:cat>
          <c:val>
            <c:numRef>
              <c:f>'Q6'!$K$24:$K$53</c:f>
              <c:numCache>
                <c:formatCode>_("$"* #,##0.00_);_("$"* \(#,##0.00\);_("$"* "-"??_);_(@_)</c:formatCode>
                <c:ptCount val="30"/>
                <c:pt idx="0">
                  <c:v>-21335.396794205149</c:v>
                </c:pt>
                <c:pt idx="1">
                  <c:v>-19335.396794205149</c:v>
                </c:pt>
                <c:pt idx="2">
                  <c:v>-17335.396794205149</c:v>
                </c:pt>
                <c:pt idx="3">
                  <c:v>-15335.396794205149</c:v>
                </c:pt>
                <c:pt idx="4">
                  <c:v>-13335.396794205149</c:v>
                </c:pt>
                <c:pt idx="5">
                  <c:v>-11335.396794205149</c:v>
                </c:pt>
                <c:pt idx="6">
                  <c:v>-9335.3967942051495</c:v>
                </c:pt>
                <c:pt idx="7">
                  <c:v>-7335.3967942051495</c:v>
                </c:pt>
                <c:pt idx="8">
                  <c:v>-5335.3967942051495</c:v>
                </c:pt>
                <c:pt idx="9">
                  <c:v>-3335.3967942051495</c:v>
                </c:pt>
                <c:pt idx="10">
                  <c:v>-1335.3967942051495</c:v>
                </c:pt>
                <c:pt idx="11">
                  <c:v>664.60320579485051</c:v>
                </c:pt>
                <c:pt idx="12">
                  <c:v>2664.6032057948505</c:v>
                </c:pt>
                <c:pt idx="13">
                  <c:v>4664.6032057948505</c:v>
                </c:pt>
                <c:pt idx="14">
                  <c:v>4664.6032057948505</c:v>
                </c:pt>
                <c:pt idx="15">
                  <c:v>4664.6032057948505</c:v>
                </c:pt>
                <c:pt idx="16">
                  <c:v>4664.6032057948505</c:v>
                </c:pt>
                <c:pt idx="17">
                  <c:v>4664.6032057948505</c:v>
                </c:pt>
                <c:pt idx="18">
                  <c:v>4664.6032057948505</c:v>
                </c:pt>
                <c:pt idx="19">
                  <c:v>4664.6032057948505</c:v>
                </c:pt>
                <c:pt idx="20">
                  <c:v>4664.6032057948505</c:v>
                </c:pt>
                <c:pt idx="21">
                  <c:v>4664.6032057948505</c:v>
                </c:pt>
                <c:pt idx="22">
                  <c:v>4664.6032057948505</c:v>
                </c:pt>
                <c:pt idx="23">
                  <c:v>4664.6032057948505</c:v>
                </c:pt>
                <c:pt idx="24">
                  <c:v>4664.6032057948505</c:v>
                </c:pt>
                <c:pt idx="25">
                  <c:v>4664.6032057948505</c:v>
                </c:pt>
                <c:pt idx="26">
                  <c:v>4664.6032057948505</c:v>
                </c:pt>
                <c:pt idx="27">
                  <c:v>4664.6032057948505</c:v>
                </c:pt>
                <c:pt idx="28">
                  <c:v>4664.6032057948505</c:v>
                </c:pt>
                <c:pt idx="29">
                  <c:v>4664.6032057948505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0-44D3-9B5C-BE8525C4EFA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'Q6'!$I$24:$I$53</c:f>
              <c:numCache>
                <c:formatCode>_("$"* #,##0.00_);_("$"* \(#,##0.00\);_("$"* "-"??_);_(@_)</c:formatCode>
                <c:ptCount val="30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155</c:v>
                </c:pt>
                <c:pt idx="21">
                  <c:v>160</c:v>
                </c:pt>
                <c:pt idx="22">
                  <c:v>165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185</c:v>
                </c:pt>
                <c:pt idx="27">
                  <c:v>190</c:v>
                </c:pt>
                <c:pt idx="28">
                  <c:v>195</c:v>
                </c:pt>
                <c:pt idx="29">
                  <c:v>200</c:v>
                </c:pt>
              </c:numCache>
            </c:numRef>
          </c:cat>
          <c:val>
            <c:numRef>
              <c:f>'Q6'!$L$24:$L$53</c:f>
              <c:numCache>
                <c:formatCode>_("$"* #,##0.00_);_("$"* \(#,##0.00\);_("$"* "-"??_);_(@_)</c:formatCode>
                <c:ptCount val="30"/>
                <c:pt idx="0">
                  <c:v>4054.4313578767628</c:v>
                </c:pt>
                <c:pt idx="1">
                  <c:v>4054.4313578767628</c:v>
                </c:pt>
                <c:pt idx="2">
                  <c:v>4054.4313578767628</c:v>
                </c:pt>
                <c:pt idx="3">
                  <c:v>4054.4313578767628</c:v>
                </c:pt>
                <c:pt idx="4">
                  <c:v>4054.4313578767628</c:v>
                </c:pt>
                <c:pt idx="5">
                  <c:v>4054.4313578767628</c:v>
                </c:pt>
                <c:pt idx="6">
                  <c:v>4054.4313578767628</c:v>
                </c:pt>
                <c:pt idx="7">
                  <c:v>4054.4313578767628</c:v>
                </c:pt>
                <c:pt idx="8">
                  <c:v>4054.4313578767628</c:v>
                </c:pt>
                <c:pt idx="9">
                  <c:v>4054.4313578767628</c:v>
                </c:pt>
                <c:pt idx="10">
                  <c:v>4054.4313578767628</c:v>
                </c:pt>
                <c:pt idx="11">
                  <c:v>4054.4313578767628</c:v>
                </c:pt>
                <c:pt idx="12">
                  <c:v>4054.4313578767628</c:v>
                </c:pt>
                <c:pt idx="13">
                  <c:v>4054.4313578767628</c:v>
                </c:pt>
                <c:pt idx="14">
                  <c:v>4054.4313578767628</c:v>
                </c:pt>
                <c:pt idx="15">
                  <c:v>2054.4313578767628</c:v>
                </c:pt>
                <c:pt idx="16">
                  <c:v>54.431357876762831</c:v>
                </c:pt>
                <c:pt idx="17">
                  <c:v>-1945.5686421232372</c:v>
                </c:pt>
                <c:pt idx="18">
                  <c:v>-3945.5686421232372</c:v>
                </c:pt>
                <c:pt idx="19">
                  <c:v>-5945.5686421232367</c:v>
                </c:pt>
                <c:pt idx="20">
                  <c:v>-7945.5686421232367</c:v>
                </c:pt>
                <c:pt idx="21">
                  <c:v>-9945.5686421232367</c:v>
                </c:pt>
                <c:pt idx="22">
                  <c:v>-11945.568642123237</c:v>
                </c:pt>
                <c:pt idx="23">
                  <c:v>-13945.568642123237</c:v>
                </c:pt>
                <c:pt idx="24">
                  <c:v>-15945.568642123237</c:v>
                </c:pt>
                <c:pt idx="25">
                  <c:v>-17945.568642123239</c:v>
                </c:pt>
                <c:pt idx="26">
                  <c:v>-19945.568642123239</c:v>
                </c:pt>
                <c:pt idx="27">
                  <c:v>-21945.568642123239</c:v>
                </c:pt>
                <c:pt idx="28">
                  <c:v>-23945.568642123239</c:v>
                </c:pt>
                <c:pt idx="29">
                  <c:v>-25945.568642123239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C0-44D3-9B5C-BE8525C4EFA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'Q6'!$I$24:$I$53</c:f>
              <c:numCache>
                <c:formatCode>_("$"* #,##0.00_);_("$"* \(#,##0.00\);_("$"* "-"??_);_(@_)</c:formatCode>
                <c:ptCount val="30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155</c:v>
                </c:pt>
                <c:pt idx="21">
                  <c:v>160</c:v>
                </c:pt>
                <c:pt idx="22">
                  <c:v>165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185</c:v>
                </c:pt>
                <c:pt idx="27">
                  <c:v>190</c:v>
                </c:pt>
                <c:pt idx="28">
                  <c:v>195</c:v>
                </c:pt>
                <c:pt idx="29">
                  <c:v>200</c:v>
                </c:pt>
              </c:numCache>
            </c:numRef>
          </c:cat>
          <c:val>
            <c:numRef>
              <c:f>'Q6'!$M$24:$M$53</c:f>
              <c:numCache>
                <c:formatCode>_("$"* #,##0.00_);_("$"* \(#,##0.00\);_("$"* "-"??_);_(@_)</c:formatCode>
                <c:ptCount val="30"/>
                <c:pt idx="0">
                  <c:v>-2268.0729873271007</c:v>
                </c:pt>
                <c:pt idx="1">
                  <c:v>-2268.0729873271007</c:v>
                </c:pt>
                <c:pt idx="2">
                  <c:v>-2268.0729873271007</c:v>
                </c:pt>
                <c:pt idx="3">
                  <c:v>-2268.0729873271007</c:v>
                </c:pt>
                <c:pt idx="4">
                  <c:v>-2268.0729873271007</c:v>
                </c:pt>
                <c:pt idx="5">
                  <c:v>-2268.0729873271007</c:v>
                </c:pt>
                <c:pt idx="6">
                  <c:v>-2268.0729873271007</c:v>
                </c:pt>
                <c:pt idx="7">
                  <c:v>-2268.0729873271007</c:v>
                </c:pt>
                <c:pt idx="8">
                  <c:v>-2268.0729873271007</c:v>
                </c:pt>
                <c:pt idx="9">
                  <c:v>-2268.0729873271007</c:v>
                </c:pt>
                <c:pt idx="10">
                  <c:v>-2268.0729873271007</c:v>
                </c:pt>
                <c:pt idx="11">
                  <c:v>-2268.0729873271007</c:v>
                </c:pt>
                <c:pt idx="12">
                  <c:v>-2268.0729873271007</c:v>
                </c:pt>
                <c:pt idx="13">
                  <c:v>-2268.0729873271007</c:v>
                </c:pt>
                <c:pt idx="14">
                  <c:v>-2268.0729873271007</c:v>
                </c:pt>
                <c:pt idx="15">
                  <c:v>-2268.0729873271007</c:v>
                </c:pt>
                <c:pt idx="16">
                  <c:v>-2268.0729873271007</c:v>
                </c:pt>
                <c:pt idx="17">
                  <c:v>-2268.0729873271007</c:v>
                </c:pt>
                <c:pt idx="18">
                  <c:v>-268.07298732710069</c:v>
                </c:pt>
                <c:pt idx="19">
                  <c:v>1731.9270126728993</c:v>
                </c:pt>
                <c:pt idx="20">
                  <c:v>3731.9270126728993</c:v>
                </c:pt>
                <c:pt idx="21">
                  <c:v>5731.9270126728989</c:v>
                </c:pt>
                <c:pt idx="22">
                  <c:v>7731.9270126728989</c:v>
                </c:pt>
                <c:pt idx="23">
                  <c:v>9731.9270126728989</c:v>
                </c:pt>
                <c:pt idx="24">
                  <c:v>11731.927012672899</c:v>
                </c:pt>
                <c:pt idx="25">
                  <c:v>13731.927012672899</c:v>
                </c:pt>
                <c:pt idx="26">
                  <c:v>15731.927012672899</c:v>
                </c:pt>
                <c:pt idx="27">
                  <c:v>17731.927012672899</c:v>
                </c:pt>
                <c:pt idx="28">
                  <c:v>19731.927012672899</c:v>
                </c:pt>
                <c:pt idx="29">
                  <c:v>21731.927012672899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C0-44D3-9B5C-BE8525C4EFA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'Q6'!$I$24:$I$53</c:f>
              <c:numCache>
                <c:formatCode>_("$"* #,##0.00_);_("$"* \(#,##0.00\);_("$"* "-"??_);_(@_)</c:formatCode>
                <c:ptCount val="30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155</c:v>
                </c:pt>
                <c:pt idx="21">
                  <c:v>160</c:v>
                </c:pt>
                <c:pt idx="22">
                  <c:v>165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185</c:v>
                </c:pt>
                <c:pt idx="27">
                  <c:v>190</c:v>
                </c:pt>
                <c:pt idx="28">
                  <c:v>195</c:v>
                </c:pt>
                <c:pt idx="29">
                  <c:v>200</c:v>
                </c:pt>
              </c:numCache>
            </c:numRef>
          </c:cat>
          <c:val>
            <c:numRef>
              <c:f>'Q6'!$N$24:$N$53</c:f>
              <c:numCache>
                <c:formatCode>_("$"* #,##0.00_);_("$"* \(#,##0.00\);_("$"* "-"??_);_(@_)</c:formatCode>
                <c:ptCount val="30"/>
                <c:pt idx="0">
                  <c:v>-1576.2541025938681</c:v>
                </c:pt>
                <c:pt idx="1">
                  <c:v>-1576.2541025938681</c:v>
                </c:pt>
                <c:pt idx="2">
                  <c:v>-1576.2541025938681</c:v>
                </c:pt>
                <c:pt idx="3">
                  <c:v>-1576.2541025938681</c:v>
                </c:pt>
                <c:pt idx="4">
                  <c:v>-1576.2541025938681</c:v>
                </c:pt>
                <c:pt idx="5">
                  <c:v>-1576.254102593869</c:v>
                </c:pt>
                <c:pt idx="6">
                  <c:v>-1576.254102593869</c:v>
                </c:pt>
                <c:pt idx="7">
                  <c:v>-1576.254102593869</c:v>
                </c:pt>
                <c:pt idx="8">
                  <c:v>-1576.254102593869</c:v>
                </c:pt>
                <c:pt idx="9">
                  <c:v>-1576.254102593869</c:v>
                </c:pt>
                <c:pt idx="10">
                  <c:v>-1576.254102593869</c:v>
                </c:pt>
                <c:pt idx="11">
                  <c:v>423.74589740613146</c:v>
                </c:pt>
                <c:pt idx="12">
                  <c:v>2423.7458974061315</c:v>
                </c:pt>
                <c:pt idx="13">
                  <c:v>4423.7458974061301</c:v>
                </c:pt>
                <c:pt idx="14">
                  <c:v>4423.7458974061301</c:v>
                </c:pt>
                <c:pt idx="15">
                  <c:v>2423.7458974061306</c:v>
                </c:pt>
                <c:pt idx="16">
                  <c:v>423.74589740613101</c:v>
                </c:pt>
                <c:pt idx="17">
                  <c:v>-1576.254102593869</c:v>
                </c:pt>
                <c:pt idx="18">
                  <c:v>-1576.254102593869</c:v>
                </c:pt>
                <c:pt idx="19">
                  <c:v>-1576.2541025938685</c:v>
                </c:pt>
                <c:pt idx="20">
                  <c:v>-1576.2541025938685</c:v>
                </c:pt>
                <c:pt idx="21">
                  <c:v>-1576.254102593869</c:v>
                </c:pt>
                <c:pt idx="22">
                  <c:v>-1576.2541025938699</c:v>
                </c:pt>
                <c:pt idx="23">
                  <c:v>-1576.2541025938699</c:v>
                </c:pt>
                <c:pt idx="24">
                  <c:v>-1576.2541025938699</c:v>
                </c:pt>
                <c:pt idx="25">
                  <c:v>-1576.2541025938699</c:v>
                </c:pt>
                <c:pt idx="26">
                  <c:v>-1576.2541025938699</c:v>
                </c:pt>
                <c:pt idx="27">
                  <c:v>-1576.2541025938699</c:v>
                </c:pt>
                <c:pt idx="28">
                  <c:v>-1576.2541025938699</c:v>
                </c:pt>
                <c:pt idx="29">
                  <c:v>-1576.2541025938699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C0-44D3-9B5C-BE8525C4E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238560"/>
        <c:axId val="676369208"/>
      </c:lineChart>
      <c:catAx>
        <c:axId val="477238560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69208"/>
        <c:crosses val="autoZero"/>
        <c:auto val="1"/>
        <c:lblAlgn val="ctr"/>
        <c:lblOffset val="100"/>
        <c:noMultiLvlLbl val="0"/>
      </c:catAx>
      <c:valAx>
        <c:axId val="6763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3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3.xml"/><Relationship Id="rId7" Type="http://schemas.openxmlformats.org/officeDocument/2006/relationships/customXml" Target="../ink/ink5.xml"/><Relationship Id="rId2" Type="http://schemas.openxmlformats.org/officeDocument/2006/relationships/image" Target="../media/image2.png"/><Relationship Id="rId1" Type="http://schemas.openxmlformats.org/officeDocument/2006/relationships/customXml" Target="../ink/ink2.xml"/><Relationship Id="rId6" Type="http://schemas.openxmlformats.org/officeDocument/2006/relationships/image" Target="../media/image4.png"/><Relationship Id="rId11" Type="http://schemas.openxmlformats.org/officeDocument/2006/relationships/chart" Target="../charts/chart6.xml"/><Relationship Id="rId5" Type="http://schemas.openxmlformats.org/officeDocument/2006/relationships/customXml" Target="../ink/ink4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1148183</xdr:colOff>
      <xdr:row>30</xdr:row>
      <xdr:rowOff>5314</xdr:rowOff>
    </xdr:from>
    <xdr:to>
      <xdr:col>4</xdr:col>
      <xdr:colOff>5540050</xdr:colOff>
      <xdr:row>49</xdr:row>
      <xdr:rowOff>12959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01267-4E28-42A1-98B8-6E120F7A6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768796</xdr:colOff>
      <xdr:row>2</xdr:row>
      <xdr:rowOff>144889</xdr:rowOff>
    </xdr:from>
    <xdr:to>
      <xdr:col>10</xdr:col>
      <xdr:colOff>868162</xdr:colOff>
      <xdr:row>15</xdr:row>
      <xdr:rowOff>152827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21AF5FD-D253-4C0D-AB36-5D00CE49437D}"/>
                </a:ext>
              </a:extLst>
            </xdr14:cNvPr>
            <xdr14:cNvContentPartPr/>
          </xdr14:nvContentPartPr>
          <xdr14:nvPr macro=""/>
          <xdr14:xfrm>
            <a:off x="10731240" y="540000"/>
            <a:ext cx="3634200" cy="25761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21AF5FD-D253-4C0D-AB36-5D00CE4943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22240" y="531000"/>
              <a:ext cx="3651840" cy="2593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1150055</xdr:colOff>
      <xdr:row>17</xdr:row>
      <xdr:rowOff>187679</xdr:rowOff>
    </xdr:from>
    <xdr:to>
      <xdr:col>13</xdr:col>
      <xdr:colOff>1150056</xdr:colOff>
      <xdr:row>39</xdr:row>
      <xdr:rowOff>183444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AFD98EA-33F5-4ACD-9034-B7564E6D2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211667</xdr:colOff>
      <xdr:row>19</xdr:row>
      <xdr:rowOff>187677</xdr:rowOff>
    </xdr:from>
    <xdr:to>
      <xdr:col>8</xdr:col>
      <xdr:colOff>6843889</xdr:colOff>
      <xdr:row>38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1FEA2-3994-49E4-94A8-5AF1B1328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-1</xdr:colOff>
      <xdr:row>32</xdr:row>
      <xdr:rowOff>180179</xdr:rowOff>
    </xdr:from>
    <xdr:to>
      <xdr:col>11</xdr:col>
      <xdr:colOff>-1</xdr:colOff>
      <xdr:row>54</xdr:row>
      <xdr:rowOff>182561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7748A-77AB-43EC-8187-2BF2A1FB5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29</xdr:row>
      <xdr:rowOff>180974</xdr:rowOff>
    </xdr:from>
    <xdr:to>
      <xdr:col>10</xdr:col>
      <xdr:colOff>1117600</xdr:colOff>
      <xdr:row>43</xdr:row>
      <xdr:rowOff>184149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B23BC-1E11-4DF7-83DD-A93671793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343934</xdr:colOff>
      <xdr:row>56</xdr:row>
      <xdr:rowOff>131229</xdr:rowOff>
    </xdr:from>
    <xdr:to>
      <xdr:col>13</xdr:col>
      <xdr:colOff>643709</xdr:colOff>
      <xdr:row>82</xdr:row>
      <xdr:rowOff>178932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405B233E-74A3-4630-A6DA-E5B923458CBD}"/>
                </a:ext>
              </a:extLst>
            </xdr14:cNvPr>
            <xdr14:cNvContentPartPr/>
          </xdr14:nvContentPartPr>
          <xdr14:nvPr macro=""/>
          <xdr14:xfrm>
            <a:off x="11619720" y="11334443"/>
            <a:ext cx="6622560" cy="52365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405B233E-74A3-4630-A6DA-E5B923458CB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611080" y="11325443"/>
              <a:ext cx="6640200" cy="525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483614</xdr:colOff>
      <xdr:row>64</xdr:row>
      <xdr:rowOff>44857</xdr:rowOff>
    </xdr:from>
    <xdr:to>
      <xdr:col>14</xdr:col>
      <xdr:colOff>432111</xdr:colOff>
      <xdr:row>78</xdr:row>
      <xdr:rowOff>126537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44000679-6E1F-4A7F-B7DD-C8F6A934E941}"/>
                </a:ext>
              </a:extLst>
            </xdr14:cNvPr>
            <xdr14:cNvContentPartPr/>
          </xdr14:nvContentPartPr>
          <xdr14:nvPr macro=""/>
          <xdr14:xfrm>
            <a:off x="11759400" y="12844643"/>
            <a:ext cx="7586640" cy="287568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44000679-6E1F-4A7F-B7DD-C8F6A934E94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750760" y="12836003"/>
              <a:ext cx="7604280" cy="28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432854</xdr:colOff>
      <xdr:row>73</xdr:row>
      <xdr:rowOff>107394</xdr:rowOff>
    </xdr:from>
    <xdr:to>
      <xdr:col>14</xdr:col>
      <xdr:colOff>57351</xdr:colOff>
      <xdr:row>80</xdr:row>
      <xdr:rowOff>133834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19C8857C-C6D8-46F8-9185-D34B8FC361BC}"/>
                </a:ext>
              </a:extLst>
            </xdr14:cNvPr>
            <xdr14:cNvContentPartPr/>
          </xdr14:nvContentPartPr>
          <xdr14:nvPr macro=""/>
          <xdr14:xfrm>
            <a:off x="11708640" y="14703323"/>
            <a:ext cx="7262640" cy="14234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19C8857C-C6D8-46F8-9185-D34B8FC361B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700000" y="14694683"/>
              <a:ext cx="7280280" cy="144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500894</xdr:colOff>
      <xdr:row>65</xdr:row>
      <xdr:rowOff>137966</xdr:rowOff>
    </xdr:from>
    <xdr:to>
      <xdr:col>14</xdr:col>
      <xdr:colOff>343911</xdr:colOff>
      <xdr:row>80</xdr:row>
      <xdr:rowOff>186754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20606498-E3B6-4800-A873-A7E41E5182B4}"/>
                </a:ext>
              </a:extLst>
            </xdr14:cNvPr>
            <xdr14:cNvContentPartPr/>
          </xdr14:nvContentPartPr>
          <xdr14:nvPr macro=""/>
          <xdr14:xfrm>
            <a:off x="11776680" y="13137323"/>
            <a:ext cx="7481160" cy="30423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20606498-E3B6-4800-A873-A7E41E5182B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768040" y="13128323"/>
              <a:ext cx="7498800" cy="30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535454</xdr:colOff>
      <xdr:row>68</xdr:row>
      <xdr:rowOff>65932</xdr:rowOff>
    </xdr:from>
    <xdr:to>
      <xdr:col>14</xdr:col>
      <xdr:colOff>543711</xdr:colOff>
      <xdr:row>76</xdr:row>
      <xdr:rowOff>197360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9B565573-514A-4ADD-BE63-985CAF6F9254}"/>
                </a:ext>
              </a:extLst>
            </xdr14:cNvPr>
            <xdr14:cNvContentPartPr/>
          </xdr14:nvContentPartPr>
          <xdr14:nvPr macro=""/>
          <xdr14:xfrm>
            <a:off x="11811240" y="13664003"/>
            <a:ext cx="7646400" cy="172800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9B565573-514A-4ADD-BE63-985CAF6F925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802600" y="13655003"/>
              <a:ext cx="7664040" cy="1745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371928</xdr:colOff>
      <xdr:row>59</xdr:row>
      <xdr:rowOff>7256</xdr:rowOff>
    </xdr:from>
    <xdr:to>
      <xdr:col>6</xdr:col>
      <xdr:colOff>1315357</xdr:colOff>
      <xdr:row>76</xdr:row>
      <xdr:rowOff>190499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8CE4A762-F65D-4799-88B8-314001305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0T20:25:08.09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50 0 24575,'-3'64'0,"-17"100"0,0-24 0,15-44 0,3-1 0,5 1 0,15 96 0,64 283 0,-74-431 0,65 311 0,36 192 0,-34 6 0,-50 249 0,-49 0 0,7-315 0,12-299 0,-19 467 0,17-507 0,19 231 0,-9-347 0,5 40 0,-3 0 0,-8 128 0,-6-118 89,-10 121 132,18-171-556,2 1 0,1 0 0,1 0 0,10 37 0,-10-59-6491</inkml:trace>
  <inkml:trace contextRef="#ctx0" brushRef="#br0" timeOffset="1301.03">242 4462 24575,'14'12'0,"-1"0"0,2-1 0,-1-1 0,1 0 0,1-1 0,0-1 0,0 0 0,1-1 0,0-1 0,0 0 0,0-1 0,23 2 0,22 2 0,1-4 0,73-2 0,-78-3 0,1123-14 0,203-50 0,280-43 0,-928 57 0,-20 2 0,-368 28-1365,-296 19-5461</inkml:trace>
  <inkml:trace contextRef="#ctx0" brushRef="#br0" timeOffset="7961.9">2274 4065 24575,'-5'0'0,"-3"0"0,1 0 0,2 15 0,0 19 0,2 18 0,1 16 0,0 12 0,0 12 0,0 13 0,4 12 0,2 9 0,1 2 0,1-2 0,0-21 0,-2-29 0,-1-27 0,-1-22-8191</inkml:trace>
  <inkml:trace contextRef="#ctx0" brushRef="#br0" timeOffset="8631.21">4245 3958 24575,'0'0'0,"3"16"0,1 14 0,2 16 0,-2 14 0,-3 14 0,-4 11 0,-2 9 0,-3 13 0,1 12 0,5 4 0,3-20 0,2-27 0,-1-27 0,0-21-8191</inkml:trace>
  <inkml:trace contextRef="#ctx0" brushRef="#br0" timeOffset="9225.34">6110 3950 24575,'0'0'0,"5"21"0,5 25 0,2 27 0,3 30 0,-1 34 0,-2-7 0,-4-24 0,-2-32 0,-3-27-8191</inkml:trace>
  <inkml:trace contextRef="#ctx0" brushRef="#br0" timeOffset="11000.79">602 2584 24575,'3'-1'0,"-1"0"0,1 0 0,0 1 0,-1-1 0,1 1 0,0 0 0,-1 0 0,1 0 0,0 0 0,0 1 0,-1-1 0,1 1 0,0-1 0,4 3 0,6 0 0,15 4 0,1-2 0,0-2 0,53 1 0,92-13 0,-124 5 0,514-50 0,-247 21 0,-281 30 0,-8-1 0,1 1 0,0 2 0,57 5 0,-86-4 0,1 0 0,0 0 0,-1 0 0,1 0 0,-1 0 0,1 0 0,0 0 0,-1 1 0,1-1 0,0 0 0,-1 0 0,1 1 0,-1-1 0,1 0 0,-1 1 0,1-1 0,-1 0 0,1 1 0,-1-1 0,1 1 0,-1-1 0,1 1 0,-1-1 0,0 1 0,1 0 0,-1 0 0,0 0 0,0 0 0,0-1 0,0 1 0,0 0 0,-1 0 0,1 0 0,0 0 0,0 0 0,-1-1 0,1 1 0,-1 0 0,1 0 0,-1-1 0,1 1 0,-1 0 0,1-1 0,-1 2 0,-37 28 0,29-23 0,-34 34 0,43-40 0,0 0 0,0-1 0,0 1 0,0-1 0,0 1 0,0-1 0,0 1 0,0-1 0,0 1 0,1 0 0,-1-1 0,0 1 0,0-1 0,1 1 0,-1-1 0,0 0 0,1 1 0,-1-1 0,0 1 0,1-1 0,-1 1 0,1-1 0,-1 0 0,0 1 0,2-1 0,16 18 0,-13-14 0,71 75 0,99 130 0,31 34 0,-84-118 0,195 203 0,87 82 0,513 403 0,-644-595 0,261 216 0,-33 36 0,94 236 0,-545-643 0,-48-62 0,135 164 0,-106-132 0,1-2 0,62 47 0,-79-68 114,-4-2-484,0 0 0,-1 1 1,12 11-1</inkml:trace>
  <inkml:trace contextRef="#ctx0" brushRef="#br0" timeOffset="13287.09">980 6366 24575,'117'7'0,"0"-6"0,150-18 0,370-67 0,-3-32 0,-88 15 0,1 21 0,-266 53 0,1 12 0,-1 12 0,364 44 0,-452-8 0,-158-25 0,-1 3 0,0 0 0,47 25 0,-74-33 0,1 1 0,-2 1 0,1-1 0,0 1 0,9 10 0,-15-15 0,0 1 0,0 0 0,0 0 0,0 0 0,0 0 0,-1 1 0,1-1 0,0 0 0,0 0 0,-1 0 0,1 1 0,-1-1 0,1 0 0,-1 1 0,0-1 0,0 0 0,1 1 0,-1-1 0,0 0 0,0 1 0,0-1 0,0 0 0,0 1 0,-1-1 0,1 0 0,0 1 0,-1-1 0,1 0 0,-1 1 0,1-1 0,-1 0 0,1 0 0,-1 0 0,0 1 0,0-1 0,0 0 0,0 0 0,0 0 0,0 0 0,0 0 0,-1 1 0,0-2 0,1 1 0,0-1 0,0 0 0,-1 0 0,1 1 0,0-1 0,-1 0 0,1 0 0,0 0 0,-1 0 0,1 0 0,-2-1 0,3 1 0,0 0 0,-1 1 0,1-1 0,0 0 0,-1 0 0,1 0 0,0 0 0,-1 0 0,1 0 0,0-1 0,-1 1 0,1 0 0,0 0 0,-1 0 0,1 0 0,0 0 0,-1 0 0,1 0 0,0-1 0,0 1 0,-1 0 0,1 0 0,0 0 0,0-1 0,-1 1 0,1 0 0,0 0 0,0-1 0,0 1 0,-1 0 0,1-1 0,0 1 0,0 0 0,0 0 0,0-1 0,0 1 0,0 0 0,-1-1 0,1 1 0,0 0 0,0-1 0,0 1 0,0 0 0,0-1 0,0 1 0,1 0 0,-1-1 0,0 0 0,1 0 0,1 0 0,0 0 0,-1 0 0,1 0 0,0 0 0,0 0 0,-1 0 0,1 1 0,3-2 0,6-2 0,31-20 0,-1-2 0,63-53 0,-41 29 0,761-641-699,-41-49-360,-425 397 881,319-296 375,626-604-1437,-1167 1110-3972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0T22:28:52.4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184 0 24575,'-7'260'0,"-13"181"0,-22-61 0,-17 288 0,82-199 0,33-2 0,1 9 0,-27 291 0,-27-546 0,-40 1039 0,22-1097 0,-48 698 0,31-226 0,-3 384 0,88 451 0,-38-801 0,-30 1 0,3-176 0,17 319 0,4-623 0,34 407 0,-4 48 0,-37-578 0,-13 212 255,-24-1-315,0-7-1500,34-256-5266</inkml:trace>
  <inkml:trace contextRef="#ctx0" brushRef="#br0" timeOffset="2109.19">1 8590 24575,'67'8'0,"1"-2"0,-1-3 0,87-8 0,-74-2 0,16-2 0,162 5 0,86 34 0,20 2 0,307 15 0,484 28 0,-655-54 0,627 39 0,195-9 0,-854-52 0,2 23 0,-374-14 0,520 40 0,3-45 0,391-75 0,-538 35 0,97-11 0,113-8 0,4 27 0,-411 26 0,1300 4 0,-427-26 0,-215-80 0,-156 15 0,354-20 0,-968 91 0,134-8 0,-286 27 0,0-1 0,-1 1 0,1 1 0,-1 0 0,1 1 0,-1 0 0,0 0 0,1 1 0,18 8 0,-18-3-1365</inkml:trace>
  <inkml:trace contextRef="#ctx0" brushRef="#br0" timeOffset="2983.87">8971 8311 24575,'0'0'0,"0"17"0,1 14 0,1 13 0,3 12 0,2 16 0,3 13 0,4 13 0,1 10 0,0 9 0,-5 6 0,-9 5 0,-9 2 0,-5-20-8191</inkml:trace>
  <inkml:trace contextRef="#ctx0" brushRef="#br0" timeOffset="3971.51">5653 8385 24575,'14'35'0,"-2"2"0,11 57 0,4 77 0,-25-158 0,68 750 0,-67-723 0,14 508-1365,-18-500-5461</inkml:trace>
  <inkml:trace contextRef="#ctx0" brushRef="#br0" timeOffset="4611.99">2575 8116 24575,'0'0'0,"3"19"0,1 13 0,1 10 0,3 9 0,4 12 0,3 10 0,5 13 0,5 13 0,7 11 0,5 10 0,4 11 0,7 15 0,13 7 0,-4-22-8191</inkml:trace>
  <inkml:trace contextRef="#ctx0" brushRef="#br0" timeOffset="5362.01">12280 8116 24575,'12'1'0,"0"1"0,0 1 0,0 0 0,-1 1 0,1 0 0,19 11 0,-27-13 0,0 1 0,0 0 0,0 0 0,0 0 0,-1 0 0,0 1 0,1-1 0,-1 1 0,0 0 0,-1 0 0,1 0 0,-1 0 0,0 0 0,0 1 0,0-1 0,0 1 0,-1-1 0,0 1 0,0 0 0,1 6 0,-1 19 0,-1 1 0,-2-1 0,0 1 0,-9 33 0,5-25 0,-150 739-1281,154-770 1197,-36 160-6742</inkml:trace>
  <inkml:trace contextRef="#ctx0" brushRef="#br0" timeOffset="6279.46">15797 8000 24575,'16'34'0,"-2"1"0,-1 1 0,10 49 0,13 116 0,-34-192 0,23 190-129,-1 269 0,-39 201-249,5-406 327,7-167-1200,1-37-5002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0T22:29:18.4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 7591 24575,'0'1'0,"-1"0"0,1 1 0,-1-1 0,1 0 0,0 1 0,0-1 0,0 0 0,0 1 0,0-1 0,0 0 0,0 1 0,0-1 0,0 0 0,1 1 0,-1-1 0,0 0 0,1 1 0,-1-1 0,1 0 0,0 2 0,2-1 0,-1-1 0,0 1 0,1-1 0,-1 0 0,0 0 0,1 0 0,0 0 0,-1 0 0,1 0 0,2 0 0,8 2 0,-1-1 0,1 0 0,0-1 0,-1-1 0,26-1 0,65-15 0,-13 1 0,442-25 0,-290 25 0,-1-2 0,248-16 0,-1 23 0,-308 17 0,-1 8 0,180 40 0,228 17 0,3-61 0,-289-17 0,478-5 0,7 43 0,-634-23 0,463-10 0,-3-47 0,-499 38 0,834-8 0,-816 24 0,376 10 0,-1-25 0,-423 4 0,13-3 0,189 12 0,129 50 0,111 10 0,-121-34 0,149 12 0,-256-19 0,231 23 0,-410-31 0,822 83 0,-311-91 0,-382-20 0,74-6 0,-292 17 0,0 1 0,30 3 0,-48-1 0,0 0 0,-1 1 0,1 0 0,-1 1 0,0 0 0,0 1 0,0 0 0,18 10 0,-40-11 0,66-45 0,-37 30 0,-1-1 0,0-1 0,0 0 0,25-30 0,101-174 0,-57 83 0,686-991-548,-126 194 439,-260 386 109,83-125 0,-57 15 0,-275 435 0,234-316 0,34 26 0,-398 503 0,728-913 0,-498 599-9,208-262 117,-414 549-12,262-338-999,-258 321-5923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0T22:32:35.6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24575,'1'16'0,"2"1"0,-1-1 0,2 0 0,1 0 0,0 0 0,0 0 0,13 21 0,6 7 0,35 46 0,-4-6 0,23 47 0,225 341 0,-81-187 0,125 176 0,-209-254 0,210 243 0,-272-358 0,91 143 0,40 116 0,-196-331 0,96 158 0,-87-146 0,-1 0 0,27 69 0,-32-68 0,1-1 0,1-1 0,29 43 0,-28-50 0,-8-10 0,1 0 0,1-1 0,0 0 0,0-1 0,1 0 0,22 17 0,-31-29 0,-1 1 0,1-1 0,-1 0 0,1 0 0,-1 0 0,1-1 0,-1 1 0,3-1 0,5-1 0,72 0 0,97 10 0,83 21 0,-95-9 0,315 9 0,1-27 0,-420-2 0,825-19-206,-127 2-100,0 25 148,1109 101 158,-1020-53 0,-356-39 0,630-58 0,-432-12 0,756-70 0,50-18 0,-720 73 0,-383 32 0,375-36 0,388-29 335,3 89 0,-953 24-335,190 8 0,-1-34 0,-369 11 0,0-2 0,-1 0 0,1-2 0,-1-1 0,0-1 0,-1-2 0,0 0 0,41-26 0,-58 31-1365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0T22:32:53.90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1 167 24575,'2'-15'0,"-2"12"0,0 1 0,0-1 0,0 1 0,0-1 0,1 0 0,-1 1 0,1-1 0,-1 0 0,1 1 0,0 0 0,0-1 0,1 1 0,-1-1 0,0 1 0,1 0 0,-1 0 0,1 0 0,0 0 0,0 0 0,-1 0 0,5-3 0,7 0 0,0 0 0,1 0 0,-1 1 0,1 1 0,15-2 0,75-4 0,-48 5 0,57-6 0,577-35 0,448 43 0,-198 3 0,240 28 0,-868-13 0,1009 71 0,-277-20 0,-762-54 0,328 32 0,18 1 0,558-12 0,-978-30 0,205 9 0,221 2 0,-555-15 0,392-9 0,-384 5 0,1 4 0,0 4 0,161 29 0,-215-25 0,46 19 0,-2-1 0,-73-24 0,0 0 0,-1 0 0,1 0 0,-1 1 0,1 0 0,7 6 0,15 9 0,10-4 0,-29-12 0,0 1 0,0 0 0,12 6 0,47 35 0,-3 3 0,64 60 0,-38-30 0,472 372 0,-41-32 0,-16 17 0,1183 1165 0,-1186-1119 0,-116-115 0,-209-194-40,407 399-381,-446-431 348,508 521 54,-380-375 19,393 413 0,31-32 0,-507-495 0,30 20 0,-26-24 0,-107-87 502,-71-70-703,-1 0 1,-1 0-1,0 1 0,0-1 0,-1 2 0,8 18 0,-12-17-6533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0T22:33:01.30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4787 24575,'1'1'0,"0"0"0,1 0 0,-1 0 0,1 1 0,0-2 0,-1 1 0,1 0 0,0 0 0,-1 0 0,1-1 0,0 1 0,0-1 0,0 0 0,-1 1 0,1-1 0,0 0 0,0 0 0,2 0 0,1-2 0,-1 1 0,0-1 0,1 0 0,-1 0 0,0 0 0,7-6 0,83-59 0,93-85 0,77-94 0,-37 32 0,445-358 0,4 55 0,-373 293 0,50-39 0,398-308 0,-46-40 0,-140 87 0,-416 398 0,34-30 0,-135 110 0,12-12 0,3 2 0,78-53 0,-121 97 0,31-14 0,-25 14 0,-23 10 0,-1 0 0,0-1 0,1 1 0,-1-1 0,0 1 0,0-1 0,-1 0 0,1 0 0,-1 1 0,1-1 0,-1 0 0,2-6 0,7-14 0,-9 21 0,0 0 0,0 1 0,1-1 0,-1 1 0,0-1 0,1 1 0,-1-1 0,0 1 0,1 0 0,0 0 0,-1 0 0,1 0 0,0 0 0,3-1 0,-4 1 0,0 1 0,1 0 0,-1 0 0,1 0 0,-1 0 0,1 0 0,-1 1 0,0-1 0,1 0 0,-1 1 0,1-1 0,-1 1 0,0-1 0,1 1 0,-1 0 0,0-1 0,0 1 0,0 0 0,1 0 0,0 1 0,2 0 0,-1 0 0,1-1 0,0 0 0,0 0 0,0 0 0,0 0 0,0-1 0,0 1 0,0-1 0,0 0 0,0 0 0,0-1 0,1 1 0,-1-1 0,4-1 0,11 0 0,257-5 0,-107 4 0,-46 0 0,967-30 0,-177-5 0,612-18 0,-492 49 0,2 24 0,-1005-17 0,2370 35 0,-949 23 0,-238 2-321,3-68-1,222-29 322,-1272 34 0,570-32-12,-408 15 131,-105 11-948,-135 7-5997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D208-13F1-4CEC-B2E0-12B0BC0E9014}">
  <dimension ref="A1:XX1000"/>
  <sheetViews>
    <sheetView showGridLines="0" topLeftCell="A11" workbookViewId="0">
      <selection activeCell="G27" sqref="G27"/>
    </sheetView>
  </sheetViews>
  <sheetFormatPr defaultColWidth="9.09765625" defaultRowHeight="18" x14ac:dyDescent="0.4"/>
  <cols>
    <col min="1" max="1" width="9.09765625" style="1"/>
    <col min="2" max="2" width="11.75" style="1" bestFit="1" customWidth="1"/>
    <col min="3" max="16384" width="9.09765625" style="1"/>
  </cols>
  <sheetData>
    <row r="1" spans="1:9" x14ac:dyDescent="0.4">
      <c r="A1" s="2" t="s">
        <v>6</v>
      </c>
      <c r="B1" s="2"/>
      <c r="C1" s="2"/>
      <c r="D1" s="2"/>
      <c r="E1" s="2"/>
      <c r="F1" s="2" t="s">
        <v>7</v>
      </c>
      <c r="H1" s="2"/>
      <c r="I1" s="2"/>
    </row>
    <row r="3" spans="1:9" x14ac:dyDescent="0.4">
      <c r="A3" s="1" t="s">
        <v>0</v>
      </c>
    </row>
    <row r="4" spans="1:9" x14ac:dyDescent="0.4">
      <c r="A4" s="1" t="s">
        <v>1</v>
      </c>
    </row>
    <row r="5" spans="1:9" x14ac:dyDescent="0.4">
      <c r="A5" s="1" t="s">
        <v>174</v>
      </c>
      <c r="B5" s="2"/>
    </row>
    <row r="6" spans="1:9" x14ac:dyDescent="0.4">
      <c r="A6" s="8" t="s">
        <v>8</v>
      </c>
      <c r="B6" s="8"/>
      <c r="C6" s="7"/>
      <c r="D6" s="7"/>
      <c r="E6" s="7"/>
      <c r="F6" s="7"/>
    </row>
    <row r="7" spans="1:9" x14ac:dyDescent="0.4">
      <c r="A7" s="1" t="s">
        <v>2</v>
      </c>
      <c r="B7" s="2"/>
      <c r="D7" s="3"/>
    </row>
    <row r="8" spans="1:9" x14ac:dyDescent="0.4">
      <c r="A8" s="4"/>
      <c r="E8" s="4" t="s">
        <v>3</v>
      </c>
    </row>
    <row r="9" spans="1:9" x14ac:dyDescent="0.4">
      <c r="A9" s="1" t="s">
        <v>4</v>
      </c>
      <c r="E9" s="5" t="s">
        <v>3</v>
      </c>
      <c r="F9" s="5"/>
      <c r="G9" s="5"/>
      <c r="H9" s="5"/>
      <c r="I9" s="5"/>
    </row>
    <row r="10" spans="1:9" x14ac:dyDescent="0.4">
      <c r="A10" s="1" t="s">
        <v>5</v>
      </c>
      <c r="E10" s="6" t="s">
        <v>197</v>
      </c>
      <c r="F10" s="6"/>
      <c r="G10" s="6"/>
      <c r="H10" s="6"/>
      <c r="I10" s="5"/>
    </row>
    <row r="15" spans="1:9" x14ac:dyDescent="0.4">
      <c r="B15" s="2" t="s">
        <v>198</v>
      </c>
      <c r="F15" s="2" t="s">
        <v>219</v>
      </c>
    </row>
    <row r="16" spans="1:9" x14ac:dyDescent="0.4">
      <c r="B16" s="1" t="s">
        <v>199</v>
      </c>
      <c r="C16" s="1" t="s">
        <v>200</v>
      </c>
      <c r="F16" s="1" t="s">
        <v>226</v>
      </c>
      <c r="G16" s="1" t="s">
        <v>227</v>
      </c>
    </row>
    <row r="17" spans="2:7" x14ac:dyDescent="0.4">
      <c r="B17" s="1" t="s">
        <v>201</v>
      </c>
      <c r="C17" s="1" t="s">
        <v>204</v>
      </c>
      <c r="F17" s="1" t="s">
        <v>220</v>
      </c>
      <c r="G17" s="1" t="s">
        <v>230</v>
      </c>
    </row>
    <row r="18" spans="2:7" x14ac:dyDescent="0.4">
      <c r="B18" s="1" t="s">
        <v>202</v>
      </c>
      <c r="C18" s="1" t="s">
        <v>218</v>
      </c>
      <c r="F18" s="1" t="s">
        <v>223</v>
      </c>
      <c r="G18" s="1" t="s">
        <v>233</v>
      </c>
    </row>
    <row r="19" spans="2:7" x14ac:dyDescent="0.4">
      <c r="B19" s="1" t="s">
        <v>203</v>
      </c>
      <c r="C19" s="1" t="s">
        <v>205</v>
      </c>
      <c r="F19" s="1" t="s">
        <v>222</v>
      </c>
      <c r="G19" s="1" t="s">
        <v>237</v>
      </c>
    </row>
    <row r="20" spans="2:7" x14ac:dyDescent="0.4">
      <c r="B20" s="1" t="s">
        <v>206</v>
      </c>
      <c r="C20" s="1" t="s">
        <v>212</v>
      </c>
      <c r="F20" s="1" t="s">
        <v>221</v>
      </c>
      <c r="G20" s="1" t="s">
        <v>236</v>
      </c>
    </row>
    <row r="22" spans="2:7" x14ac:dyDescent="0.4">
      <c r="B22" s="2" t="s">
        <v>207</v>
      </c>
      <c r="F22" s="2" t="s">
        <v>224</v>
      </c>
    </row>
    <row r="23" spans="2:7" x14ac:dyDescent="0.4">
      <c r="B23" s="1" t="s">
        <v>208</v>
      </c>
      <c r="C23" s="1" t="s">
        <v>214</v>
      </c>
      <c r="F23" s="1" t="s">
        <v>228</v>
      </c>
      <c r="G23" s="1" t="s">
        <v>229</v>
      </c>
    </row>
    <row r="24" spans="2:7" x14ac:dyDescent="0.4">
      <c r="B24" s="1" t="s">
        <v>209</v>
      </c>
      <c r="C24" s="1" t="s">
        <v>215</v>
      </c>
      <c r="F24" s="1" t="s">
        <v>225</v>
      </c>
      <c r="G24" s="1" t="s">
        <v>231</v>
      </c>
    </row>
    <row r="25" spans="2:7" x14ac:dyDescent="0.4">
      <c r="B25" s="1" t="s">
        <v>210</v>
      </c>
      <c r="C25" s="1" t="s">
        <v>216</v>
      </c>
      <c r="F25" s="1" t="s">
        <v>223</v>
      </c>
      <c r="G25" s="1" t="s">
        <v>232</v>
      </c>
    </row>
    <row r="26" spans="2:7" x14ac:dyDescent="0.4">
      <c r="B26" s="1" t="s">
        <v>211</v>
      </c>
      <c r="C26" s="1" t="s">
        <v>217</v>
      </c>
      <c r="F26" s="1" t="s">
        <v>222</v>
      </c>
      <c r="G26" s="1" t="s">
        <v>238</v>
      </c>
    </row>
    <row r="27" spans="2:7" x14ac:dyDescent="0.4">
      <c r="B27" s="1" t="s">
        <v>206</v>
      </c>
      <c r="C27" s="1" t="s">
        <v>213</v>
      </c>
      <c r="F27" s="1" t="s">
        <v>221</v>
      </c>
      <c r="G27" s="1" t="s">
        <v>234</v>
      </c>
    </row>
    <row r="1000" spans="648:648" x14ac:dyDescent="0.4">
      <c r="XX1000" s="86">
        <v>19016</v>
      </c>
    </row>
  </sheetData>
  <protectedRanges>
    <protectedRange sqref="E9:H10" name="Range1_10_3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8303-2273-4002-992D-31CA2CFCE62B}">
  <sheetPr>
    <pageSetUpPr fitToPage="1"/>
  </sheetPr>
  <dimension ref="A1:XX1000"/>
  <sheetViews>
    <sheetView showGridLines="0" tabSelected="1" topLeftCell="A19" zoomScale="98" zoomScaleNormal="130" workbookViewId="0">
      <selection activeCell="C32" sqref="C32"/>
    </sheetView>
  </sheetViews>
  <sheetFormatPr defaultColWidth="9.09765625" defaultRowHeight="18.5" x14ac:dyDescent="0.45"/>
  <cols>
    <col min="1" max="1" width="2.296875" style="76" customWidth="1"/>
    <col min="2" max="2" width="24.34765625" style="1" customWidth="1"/>
    <col min="3" max="4" width="9.09765625" style="1"/>
    <col min="5" max="5" width="43.69921875" style="1" customWidth="1"/>
    <col min="6" max="6" width="3.09765625" style="63" customWidth="1"/>
    <col min="7" max="7" width="2.296875" style="63" customWidth="1"/>
    <col min="8" max="23" width="9.09765625" style="63"/>
    <col min="24" max="16384" width="9.09765625" style="1"/>
  </cols>
  <sheetData>
    <row r="1" spans="1:23" s="76" customFormat="1" x14ac:dyDescent="0.45"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</row>
    <row r="2" spans="1:23" s="9" customFormat="1" x14ac:dyDescent="0.45">
      <c r="A2" s="77" t="s">
        <v>121</v>
      </c>
      <c r="B2" s="9" t="s">
        <v>10</v>
      </c>
      <c r="F2" s="63"/>
      <c r="G2" s="63"/>
      <c r="H2" s="63"/>
    </row>
    <row r="3" spans="1:23" x14ac:dyDescent="0.45">
      <c r="B3" s="1" t="s">
        <v>9</v>
      </c>
    </row>
    <row r="4" spans="1:23" x14ac:dyDescent="0.45">
      <c r="B4" s="1" t="s">
        <v>125</v>
      </c>
    </row>
    <row r="5" spans="1:23" x14ac:dyDescent="0.45">
      <c r="B5" s="1" t="s">
        <v>126</v>
      </c>
    </row>
    <row r="6" spans="1:23" x14ac:dyDescent="0.45">
      <c r="B6" s="1" t="s">
        <v>127</v>
      </c>
    </row>
    <row r="7" spans="1:23" x14ac:dyDescent="0.45">
      <c r="B7" s="1" t="s">
        <v>128</v>
      </c>
    </row>
    <row r="8" spans="1:23" x14ac:dyDescent="0.45">
      <c r="B8" s="1" t="s">
        <v>30</v>
      </c>
    </row>
    <row r="10" spans="1:23" x14ac:dyDescent="0.45">
      <c r="A10" s="76" t="s">
        <v>121</v>
      </c>
      <c r="B10" s="1" t="s">
        <v>12</v>
      </c>
    </row>
    <row r="11" spans="1:23" x14ac:dyDescent="0.45">
      <c r="B11" s="1" t="s">
        <v>13</v>
      </c>
    </row>
    <row r="12" spans="1:23" x14ac:dyDescent="0.45">
      <c r="B12" s="1" t="s">
        <v>11</v>
      </c>
    </row>
    <row r="13" spans="1:23" x14ac:dyDescent="0.45">
      <c r="B13" s="1" t="s">
        <v>120</v>
      </c>
    </row>
    <row r="14" spans="1:23" x14ac:dyDescent="0.45">
      <c r="B14" s="1" t="s">
        <v>32</v>
      </c>
    </row>
    <row r="16" spans="1:23" x14ac:dyDescent="0.45">
      <c r="B16" s="1" t="s">
        <v>14</v>
      </c>
      <c r="C16" s="64">
        <v>44494</v>
      </c>
      <c r="D16" s="1" t="s">
        <v>200</v>
      </c>
    </row>
    <row r="17" spans="1:5" x14ac:dyDescent="0.45">
      <c r="B17" s="1" t="s">
        <v>15</v>
      </c>
      <c r="C17" s="64">
        <v>44582</v>
      </c>
    </row>
    <row r="18" spans="1:5" x14ac:dyDescent="0.45">
      <c r="B18" s="1" t="s">
        <v>18</v>
      </c>
      <c r="C18" s="65">
        <f>YEARFRAC(C16,C17,3)</f>
        <v>0.24109589041095891</v>
      </c>
    </row>
    <row r="19" spans="1:5" x14ac:dyDescent="0.45">
      <c r="B19" s="1" t="s">
        <v>16</v>
      </c>
      <c r="C19" s="66">
        <v>149.80000000000001</v>
      </c>
    </row>
    <row r="20" spans="1:5" x14ac:dyDescent="0.45">
      <c r="B20" s="1" t="s">
        <v>17</v>
      </c>
      <c r="C20" s="66">
        <v>156.25</v>
      </c>
    </row>
    <row r="21" spans="1:5" x14ac:dyDescent="0.45">
      <c r="B21" s="1" t="s">
        <v>19</v>
      </c>
      <c r="C21" s="67">
        <v>8.7500000000000008E-3</v>
      </c>
    </row>
    <row r="22" spans="1:5" x14ac:dyDescent="0.45">
      <c r="B22" s="1" t="s">
        <v>20</v>
      </c>
      <c r="C22" s="66">
        <v>155</v>
      </c>
    </row>
    <row r="23" spans="1:5" x14ac:dyDescent="0.45">
      <c r="B23" s="1" t="s">
        <v>92</v>
      </c>
      <c r="C23" s="66">
        <v>4.3899999999999997</v>
      </c>
    </row>
    <row r="24" spans="1:5" x14ac:dyDescent="0.45">
      <c r="B24" s="1" t="s">
        <v>25</v>
      </c>
      <c r="C24" s="68">
        <v>3</v>
      </c>
    </row>
    <row r="25" spans="1:5" x14ac:dyDescent="0.45">
      <c r="B25" s="1" t="s">
        <v>26</v>
      </c>
      <c r="C25" s="68">
        <v>100</v>
      </c>
    </row>
    <row r="26" spans="1:5" x14ac:dyDescent="0.45">
      <c r="C26" s="69"/>
      <c r="D26" s="70"/>
    </row>
    <row r="27" spans="1:5" x14ac:dyDescent="0.45">
      <c r="B27" s="1" t="s">
        <v>27</v>
      </c>
      <c r="C27" s="71">
        <f>(MAX(C20-C22,0)-(C23*EXP(C21*C18)))*(C24*C25)</f>
        <v>-944.78126139493361</v>
      </c>
      <c r="D27" s="70"/>
    </row>
    <row r="30" spans="1:5" x14ac:dyDescent="0.45">
      <c r="A30" s="76" t="s">
        <v>121</v>
      </c>
      <c r="B30" s="96" t="s">
        <v>22</v>
      </c>
      <c r="C30" s="96"/>
      <c r="E30" s="1" t="s">
        <v>31</v>
      </c>
    </row>
    <row r="31" spans="1:5" x14ac:dyDescent="0.45">
      <c r="B31" s="72" t="s">
        <v>23</v>
      </c>
      <c r="C31" s="72" t="s">
        <v>24</v>
      </c>
      <c r="E31" s="5"/>
    </row>
    <row r="32" spans="1:5" x14ac:dyDescent="0.45">
      <c r="C32" s="73">
        <f>C27</f>
        <v>-944.78126139493361</v>
      </c>
      <c r="E32" s="5"/>
    </row>
    <row r="33" spans="2:5" x14ac:dyDescent="0.45">
      <c r="B33" s="74">
        <v>5</v>
      </c>
      <c r="C33" s="75">
        <f t="dataTable" ref="C33:C53" dt2D="0" dtr="0" r1="C20"/>
        <v>-1319.7812613949336</v>
      </c>
      <c r="E33" s="5"/>
    </row>
    <row r="34" spans="2:5" x14ac:dyDescent="0.45">
      <c r="B34" s="74">
        <v>15</v>
      </c>
      <c r="C34" s="75">
        <v>-1319.7812613949336</v>
      </c>
      <c r="E34" s="5"/>
    </row>
    <row r="35" spans="2:5" x14ac:dyDescent="0.45">
      <c r="B35" s="74">
        <v>25</v>
      </c>
      <c r="C35" s="75">
        <v>-1319.7812613949336</v>
      </c>
      <c r="E35" s="5"/>
    </row>
    <row r="36" spans="2:5" x14ac:dyDescent="0.45">
      <c r="B36" s="74">
        <v>35</v>
      </c>
      <c r="C36" s="75">
        <v>-1319.7812613949336</v>
      </c>
      <c r="E36" s="5"/>
    </row>
    <row r="37" spans="2:5" x14ac:dyDescent="0.45">
      <c r="B37" s="74">
        <v>45</v>
      </c>
      <c r="C37" s="75">
        <v>-1319.7812613949336</v>
      </c>
      <c r="E37" s="5"/>
    </row>
    <row r="38" spans="2:5" x14ac:dyDescent="0.45">
      <c r="B38" s="74">
        <v>55</v>
      </c>
      <c r="C38" s="75">
        <v>-1319.7812613949336</v>
      </c>
      <c r="E38" s="5"/>
    </row>
    <row r="39" spans="2:5" x14ac:dyDescent="0.45">
      <c r="B39" s="74">
        <v>65</v>
      </c>
      <c r="C39" s="75">
        <v>-1319.7812613949336</v>
      </c>
      <c r="E39" s="5"/>
    </row>
    <row r="40" spans="2:5" x14ac:dyDescent="0.45">
      <c r="B40" s="74">
        <v>75</v>
      </c>
      <c r="C40" s="75">
        <v>-1319.7812613949336</v>
      </c>
      <c r="E40" s="5"/>
    </row>
    <row r="41" spans="2:5" x14ac:dyDescent="0.45">
      <c r="B41" s="74">
        <v>85</v>
      </c>
      <c r="C41" s="75">
        <v>-1319.7812613949336</v>
      </c>
      <c r="E41" s="5"/>
    </row>
    <row r="42" spans="2:5" x14ac:dyDescent="0.45">
      <c r="B42" s="74">
        <v>95</v>
      </c>
      <c r="C42" s="75">
        <v>-1319.7812613949336</v>
      </c>
      <c r="E42" s="5"/>
    </row>
    <row r="43" spans="2:5" x14ac:dyDescent="0.45">
      <c r="B43" s="74">
        <v>105</v>
      </c>
      <c r="C43" s="75">
        <v>-1319.7812613949336</v>
      </c>
      <c r="E43" s="5"/>
    </row>
    <row r="44" spans="2:5" x14ac:dyDescent="0.45">
      <c r="B44" s="74">
        <v>115</v>
      </c>
      <c r="C44" s="75">
        <v>-1319.7812613949336</v>
      </c>
      <c r="E44" s="5"/>
    </row>
    <row r="45" spans="2:5" x14ac:dyDescent="0.45">
      <c r="B45" s="74">
        <v>125</v>
      </c>
      <c r="C45" s="75">
        <v>-1319.7812613949336</v>
      </c>
      <c r="E45" s="5"/>
    </row>
    <row r="46" spans="2:5" x14ac:dyDescent="0.45">
      <c r="B46" s="74">
        <v>135</v>
      </c>
      <c r="C46" s="75">
        <v>-1319.7812613949336</v>
      </c>
      <c r="E46" s="5"/>
    </row>
    <row r="47" spans="2:5" x14ac:dyDescent="0.45">
      <c r="B47" s="74">
        <v>145</v>
      </c>
      <c r="C47" s="75">
        <v>-1319.7812613949336</v>
      </c>
      <c r="E47" s="5"/>
    </row>
    <row r="48" spans="2:5" x14ac:dyDescent="0.45">
      <c r="B48" s="74">
        <v>155</v>
      </c>
      <c r="C48" s="75">
        <v>-1319.7812613949336</v>
      </c>
      <c r="E48" s="5"/>
    </row>
    <row r="49" spans="2:5" x14ac:dyDescent="0.45">
      <c r="B49" s="74">
        <v>165</v>
      </c>
      <c r="C49" s="75">
        <v>1680.2187386050664</v>
      </c>
      <c r="E49" s="5"/>
    </row>
    <row r="50" spans="2:5" x14ac:dyDescent="0.45">
      <c r="B50" s="74">
        <v>175</v>
      </c>
      <c r="C50" s="75">
        <v>4680.2187386050664</v>
      </c>
    </row>
    <row r="51" spans="2:5" x14ac:dyDescent="0.45">
      <c r="B51" s="74">
        <v>185</v>
      </c>
      <c r="C51" s="75">
        <v>7680.2187386050664</v>
      </c>
    </row>
    <row r="52" spans="2:5" x14ac:dyDescent="0.45">
      <c r="B52" s="74">
        <v>195</v>
      </c>
      <c r="C52" s="75">
        <v>10680.218738605066</v>
      </c>
    </row>
    <row r="53" spans="2:5" x14ac:dyDescent="0.45">
      <c r="B53" s="74">
        <v>205</v>
      </c>
      <c r="C53" s="75">
        <v>13680.218738605066</v>
      </c>
    </row>
    <row r="1000" spans="648:648" x14ac:dyDescent="0.45">
      <c r="XX1000" s="86">
        <v>19016</v>
      </c>
    </row>
  </sheetData>
  <mergeCells count="1">
    <mergeCell ref="B30:C30"/>
  </mergeCells>
  <printOptions horizontalCentered="1" verticalCentered="1" headings="1"/>
  <pageMargins left="0.7" right="0.7" top="0.75" bottom="0.75" header="0.3" footer="0.3"/>
  <pageSetup scale="20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3C2C-FEFA-4A2E-9CF3-F478A1DC0F7A}">
  <sheetPr>
    <pageSetUpPr fitToPage="1"/>
  </sheetPr>
  <dimension ref="A1:XX1000"/>
  <sheetViews>
    <sheetView showGridLines="0" zoomScale="90" zoomScaleNormal="90" workbookViewId="0">
      <selection activeCell="D26" sqref="D26"/>
    </sheetView>
  </sheetViews>
  <sheetFormatPr defaultColWidth="9.09765625" defaultRowHeight="15.5" x14ac:dyDescent="0.35"/>
  <cols>
    <col min="1" max="1" width="2.6484375" style="79" customWidth="1"/>
    <col min="2" max="2" width="25.6484375" style="11" customWidth="1"/>
    <col min="3" max="3" width="9.59765625" style="11" bestFit="1" customWidth="1"/>
    <col min="4" max="4" width="9.09765625" style="11"/>
    <col min="5" max="5" width="11.296875" style="11" customWidth="1"/>
    <col min="6" max="6" width="10.34765625" style="11" bestFit="1" customWidth="1"/>
    <col min="7" max="7" width="9.75" style="11" bestFit="1" customWidth="1"/>
    <col min="8" max="8" width="9.59765625" style="11" bestFit="1" customWidth="1"/>
    <col min="9" max="16384" width="9.09765625" style="11"/>
  </cols>
  <sheetData>
    <row r="1" spans="1:16" s="79" customFormat="1" x14ac:dyDescent="0.35"/>
    <row r="2" spans="1:16" x14ac:dyDescent="0.35">
      <c r="A2" s="80"/>
      <c r="B2" s="10" t="s">
        <v>28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4" spans="1:16" x14ac:dyDescent="0.35">
      <c r="A4" s="79" t="s">
        <v>121</v>
      </c>
      <c r="B4" s="11" t="s">
        <v>129</v>
      </c>
    </row>
    <row r="5" spans="1:16" x14ac:dyDescent="0.35">
      <c r="B5" s="11" t="s">
        <v>131</v>
      </c>
    </row>
    <row r="6" spans="1:16" x14ac:dyDescent="0.35">
      <c r="B6" s="11" t="s">
        <v>29</v>
      </c>
    </row>
    <row r="7" spans="1:16" x14ac:dyDescent="0.35">
      <c r="B7" s="11" t="s">
        <v>130</v>
      </c>
    </row>
    <row r="8" spans="1:16" x14ac:dyDescent="0.35">
      <c r="B8" s="11" t="s">
        <v>132</v>
      </c>
    </row>
    <row r="9" spans="1:16" x14ac:dyDescent="0.35">
      <c r="B9" s="11" t="s">
        <v>133</v>
      </c>
    </row>
    <row r="10" spans="1:16" x14ac:dyDescent="0.35">
      <c r="B10" s="11" t="s">
        <v>134</v>
      </c>
    </row>
    <row r="12" spans="1:16" x14ac:dyDescent="0.35">
      <c r="B12" s="11" t="s">
        <v>176</v>
      </c>
    </row>
    <row r="13" spans="1:16" x14ac:dyDescent="0.35">
      <c r="B13" s="11" t="s">
        <v>13</v>
      </c>
    </row>
    <row r="14" spans="1:16" x14ac:dyDescent="0.35">
      <c r="B14" s="11" t="s">
        <v>36</v>
      </c>
    </row>
    <row r="15" spans="1:16" x14ac:dyDescent="0.35">
      <c r="B15" s="11" t="s">
        <v>58</v>
      </c>
    </row>
    <row r="16" spans="1:16" x14ac:dyDescent="0.35">
      <c r="B16" s="11" t="s">
        <v>40</v>
      </c>
    </row>
    <row r="18" spans="1:14" x14ac:dyDescent="0.35">
      <c r="A18" s="79" t="s">
        <v>121</v>
      </c>
      <c r="B18" s="11" t="s">
        <v>14</v>
      </c>
      <c r="C18" s="13">
        <v>44494</v>
      </c>
      <c r="D18" s="11" t="s">
        <v>235</v>
      </c>
      <c r="E18" s="97" t="s">
        <v>38</v>
      </c>
      <c r="F18" s="97"/>
      <c r="G18" s="97"/>
      <c r="H18" s="97"/>
      <c r="J18" s="11" t="s">
        <v>31</v>
      </c>
    </row>
    <row r="19" spans="1:14" x14ac:dyDescent="0.35">
      <c r="B19" s="11" t="s">
        <v>15</v>
      </c>
      <c r="C19" s="13">
        <v>44583</v>
      </c>
      <c r="E19" s="11" t="s">
        <v>23</v>
      </c>
      <c r="F19" s="32" t="s">
        <v>139</v>
      </c>
      <c r="G19" s="32" t="s">
        <v>140</v>
      </c>
      <c r="H19" s="32" t="s">
        <v>39</v>
      </c>
      <c r="J19" s="18"/>
      <c r="K19" s="18"/>
      <c r="L19" s="18"/>
      <c r="M19" s="18"/>
      <c r="N19" s="18"/>
    </row>
    <row r="20" spans="1:14" x14ac:dyDescent="0.35">
      <c r="B20" s="11" t="s">
        <v>18</v>
      </c>
      <c r="C20" s="16">
        <f>YEARFRAC(C18,C19,3)</f>
        <v>0.24383561643835616</v>
      </c>
      <c r="F20" s="47">
        <f>C31</f>
        <v>217184.1947706783</v>
      </c>
      <c r="G20" s="47">
        <f>C39</f>
        <v>-207341.9051524188</v>
      </c>
      <c r="H20" s="47">
        <f>C41</f>
        <v>9842.2896182594995</v>
      </c>
      <c r="J20" s="18"/>
      <c r="K20" s="18"/>
      <c r="L20" s="18"/>
      <c r="M20" s="18"/>
      <c r="N20" s="18"/>
    </row>
    <row r="21" spans="1:14" x14ac:dyDescent="0.35">
      <c r="B21" s="11" t="s">
        <v>16</v>
      </c>
      <c r="C21" s="19">
        <v>1125</v>
      </c>
      <c r="E21" s="28">
        <v>900</v>
      </c>
      <c r="F21" s="24">
        <f t="dataTable" ref="F21:H48" dt2D="0" dtr="0" r1="C22"/>
        <v>227184.1947706783</v>
      </c>
      <c r="G21" s="24">
        <v>-207341.9051524188</v>
      </c>
      <c r="H21" s="24">
        <v>19842.2896182595</v>
      </c>
      <c r="J21" s="18"/>
      <c r="K21" s="18"/>
      <c r="L21" s="18"/>
      <c r="M21" s="18"/>
      <c r="N21" s="18"/>
    </row>
    <row r="22" spans="1:14" x14ac:dyDescent="0.35">
      <c r="B22" s="11" t="s">
        <v>17</v>
      </c>
      <c r="C22" s="19">
        <v>1130</v>
      </c>
      <c r="E22" s="28">
        <v>925</v>
      </c>
      <c r="F22" s="24">
        <v>227184.1947706783</v>
      </c>
      <c r="G22" s="24">
        <v>-207341.9051524188</v>
      </c>
      <c r="H22" s="24">
        <v>19842.2896182595</v>
      </c>
      <c r="J22" s="18"/>
      <c r="K22" s="18"/>
      <c r="L22" s="18"/>
      <c r="M22" s="18"/>
      <c r="N22" s="18"/>
    </row>
    <row r="23" spans="1:14" x14ac:dyDescent="0.35">
      <c r="B23" s="11" t="s">
        <v>19</v>
      </c>
      <c r="C23" s="27">
        <v>8.7500000000000008E-3</v>
      </c>
      <c r="E23" s="28">
        <v>950</v>
      </c>
      <c r="F23" s="24">
        <v>227184.1947706783</v>
      </c>
      <c r="G23" s="24">
        <v>-207341.9051524188</v>
      </c>
      <c r="H23" s="24">
        <v>19842.2896182595</v>
      </c>
      <c r="J23" s="18"/>
      <c r="K23" s="18"/>
      <c r="L23" s="18"/>
      <c r="M23" s="18"/>
      <c r="N23" s="18"/>
    </row>
    <row r="24" spans="1:14" x14ac:dyDescent="0.35">
      <c r="E24" s="28">
        <v>975</v>
      </c>
      <c r="F24" s="24">
        <v>227184.1947706783</v>
      </c>
      <c r="G24" s="24">
        <v>-207341.9051524188</v>
      </c>
      <c r="H24" s="24">
        <v>19842.2896182595</v>
      </c>
      <c r="J24" s="18"/>
      <c r="K24" s="18"/>
      <c r="L24" s="18"/>
      <c r="M24" s="18"/>
      <c r="N24" s="18"/>
    </row>
    <row r="25" spans="1:14" x14ac:dyDescent="0.35">
      <c r="A25" s="79" t="s">
        <v>121</v>
      </c>
      <c r="B25" s="29" t="s">
        <v>135</v>
      </c>
      <c r="E25" s="28">
        <v>1000</v>
      </c>
      <c r="F25" s="24">
        <v>227184.1947706783</v>
      </c>
      <c r="G25" s="24">
        <v>-207341.9051524188</v>
      </c>
      <c r="H25" s="24">
        <v>19842.2896182595</v>
      </c>
      <c r="J25" s="18"/>
      <c r="K25" s="18"/>
      <c r="L25" s="18"/>
      <c r="M25" s="18"/>
      <c r="N25" s="18"/>
    </row>
    <row r="26" spans="1:14" x14ac:dyDescent="0.35">
      <c r="B26" s="11" t="s">
        <v>20</v>
      </c>
      <c r="C26" s="19">
        <v>1125</v>
      </c>
      <c r="E26" s="28">
        <v>1025</v>
      </c>
      <c r="F26" s="24">
        <v>227184.1947706783</v>
      </c>
      <c r="G26" s="24">
        <v>-207341.9051524188</v>
      </c>
      <c r="H26" s="24">
        <v>19842.2896182595</v>
      </c>
      <c r="J26" s="18"/>
      <c r="K26" s="18"/>
      <c r="L26" s="18"/>
      <c r="M26" s="18"/>
      <c r="N26" s="18"/>
    </row>
    <row r="27" spans="1:14" x14ac:dyDescent="0.35">
      <c r="B27" s="11" t="s">
        <v>21</v>
      </c>
      <c r="C27" s="19">
        <v>113.35</v>
      </c>
      <c r="E27" s="28">
        <v>1050</v>
      </c>
      <c r="F27" s="24">
        <v>227184.1947706783</v>
      </c>
      <c r="G27" s="24">
        <v>-207341.9051524188</v>
      </c>
      <c r="H27" s="24">
        <v>19842.2896182595</v>
      </c>
      <c r="J27" s="18"/>
      <c r="K27" s="18"/>
      <c r="L27" s="18"/>
      <c r="M27" s="18"/>
      <c r="N27" s="18"/>
    </row>
    <row r="28" spans="1:14" x14ac:dyDescent="0.35">
      <c r="B28" s="11" t="s">
        <v>25</v>
      </c>
      <c r="C28" s="23">
        <v>20</v>
      </c>
      <c r="E28" s="28">
        <v>1075</v>
      </c>
      <c r="F28" s="24">
        <v>227184.1947706783</v>
      </c>
      <c r="G28" s="24">
        <v>-207341.9051524188</v>
      </c>
      <c r="H28" s="24">
        <v>19842.2896182595</v>
      </c>
      <c r="J28" s="18"/>
      <c r="K28" s="18"/>
      <c r="L28" s="18"/>
      <c r="M28" s="18"/>
      <c r="N28" s="18"/>
    </row>
    <row r="29" spans="1:14" x14ac:dyDescent="0.35">
      <c r="B29" s="11" t="s">
        <v>26</v>
      </c>
      <c r="C29" s="23">
        <v>100</v>
      </c>
      <c r="E29" s="28">
        <v>1100</v>
      </c>
      <c r="F29" s="24">
        <v>227184.1947706783</v>
      </c>
      <c r="G29" s="24">
        <v>-207341.9051524188</v>
      </c>
      <c r="H29" s="24">
        <v>19842.2896182595</v>
      </c>
      <c r="J29" s="18"/>
      <c r="K29" s="18"/>
      <c r="L29" s="18"/>
      <c r="M29" s="18"/>
      <c r="N29" s="18"/>
    </row>
    <row r="30" spans="1:14" x14ac:dyDescent="0.35">
      <c r="B30" s="11" t="s">
        <v>33</v>
      </c>
      <c r="C30" s="38" t="s">
        <v>35</v>
      </c>
      <c r="E30" s="28">
        <v>1125</v>
      </c>
      <c r="F30" s="24">
        <v>227184.1947706783</v>
      </c>
      <c r="G30" s="24">
        <v>-207341.9051524188</v>
      </c>
      <c r="H30" s="24">
        <v>19842.2896182595</v>
      </c>
      <c r="J30" s="18"/>
      <c r="K30" s="18"/>
      <c r="L30" s="18"/>
      <c r="M30" s="18"/>
      <c r="N30" s="18"/>
    </row>
    <row r="31" spans="1:14" x14ac:dyDescent="0.35">
      <c r="B31" s="11" t="s">
        <v>137</v>
      </c>
      <c r="C31" s="25">
        <f>(MIN(C26-C22,0)+(C27*EXP(C23*C20)))*(C29*C28)</f>
        <v>217184.1947706783</v>
      </c>
      <c r="E31" s="28">
        <v>1150</v>
      </c>
      <c r="F31" s="24">
        <v>177184.1947706783</v>
      </c>
      <c r="G31" s="24">
        <v>-207341.9051524188</v>
      </c>
      <c r="H31" s="24">
        <v>-30157.7103817405</v>
      </c>
      <c r="J31" s="18"/>
      <c r="K31" s="18"/>
      <c r="L31" s="18"/>
      <c r="M31" s="18"/>
      <c r="N31" s="18"/>
    </row>
    <row r="32" spans="1:14" x14ac:dyDescent="0.35">
      <c r="E32" s="28">
        <v>1175</v>
      </c>
      <c r="F32" s="24">
        <v>127184.1947706783</v>
      </c>
      <c r="G32" s="24">
        <v>-157341.9051524188</v>
      </c>
      <c r="H32" s="24">
        <v>-30157.7103817405</v>
      </c>
      <c r="J32" s="18"/>
      <c r="K32" s="18"/>
      <c r="L32" s="18"/>
      <c r="M32" s="18"/>
      <c r="N32" s="18"/>
    </row>
    <row r="33" spans="1:14" x14ac:dyDescent="0.35">
      <c r="A33" s="79" t="s">
        <v>121</v>
      </c>
      <c r="B33" s="29" t="s">
        <v>136</v>
      </c>
      <c r="E33" s="28">
        <v>1200</v>
      </c>
      <c r="F33" s="24">
        <v>77184.194770678296</v>
      </c>
      <c r="G33" s="24">
        <v>-107341.9051524188</v>
      </c>
      <c r="H33" s="24">
        <v>-30157.7103817405</v>
      </c>
      <c r="J33" s="18"/>
      <c r="K33" s="18"/>
      <c r="L33" s="18"/>
      <c r="M33" s="18"/>
      <c r="N33" s="18"/>
    </row>
    <row r="34" spans="1:14" x14ac:dyDescent="0.35">
      <c r="B34" s="11" t="s">
        <v>20</v>
      </c>
      <c r="C34" s="19">
        <v>1150</v>
      </c>
      <c r="E34" s="28">
        <v>1225</v>
      </c>
      <c r="F34" s="24">
        <v>27184.194770678288</v>
      </c>
      <c r="G34" s="24">
        <v>-57341.905152418803</v>
      </c>
      <c r="H34" s="24">
        <v>-30157.710381740515</v>
      </c>
      <c r="J34" s="18"/>
      <c r="K34" s="18"/>
      <c r="L34" s="18"/>
      <c r="M34" s="18"/>
      <c r="N34" s="18"/>
    </row>
    <row r="35" spans="1:14" x14ac:dyDescent="0.35">
      <c r="B35" s="11" t="s">
        <v>21</v>
      </c>
      <c r="C35" s="19">
        <v>103.45</v>
      </c>
      <c r="E35" s="28">
        <v>1250</v>
      </c>
      <c r="F35" s="24">
        <v>-22815.805229321712</v>
      </c>
      <c r="G35" s="24">
        <v>-7341.9051524188035</v>
      </c>
      <c r="H35" s="24">
        <v>-30157.710381740515</v>
      </c>
      <c r="J35" s="18"/>
      <c r="K35" s="18"/>
      <c r="L35" s="18"/>
      <c r="M35" s="18"/>
      <c r="N35" s="18"/>
    </row>
    <row r="36" spans="1:14" x14ac:dyDescent="0.35">
      <c r="B36" s="11" t="s">
        <v>25</v>
      </c>
      <c r="C36" s="23">
        <v>20</v>
      </c>
      <c r="E36" s="28">
        <v>1275</v>
      </c>
      <c r="F36" s="24">
        <v>-72815.805229321704</v>
      </c>
      <c r="G36" s="24">
        <v>42658.094847581197</v>
      </c>
      <c r="H36" s="24">
        <v>-30157.710381740508</v>
      </c>
      <c r="J36" s="18"/>
      <c r="K36" s="18"/>
      <c r="L36" s="18"/>
      <c r="M36" s="18"/>
      <c r="N36" s="18"/>
    </row>
    <row r="37" spans="1:14" x14ac:dyDescent="0.35">
      <c r="B37" s="11" t="s">
        <v>26</v>
      </c>
      <c r="C37" s="23">
        <v>100</v>
      </c>
      <c r="E37" s="28">
        <v>1300</v>
      </c>
      <c r="F37" s="24">
        <v>-122815.8052293217</v>
      </c>
      <c r="G37" s="24">
        <v>92658.094847581204</v>
      </c>
      <c r="H37" s="24">
        <v>-30157.7103817405</v>
      </c>
      <c r="J37" s="18"/>
      <c r="K37" s="18"/>
      <c r="L37" s="18"/>
      <c r="M37" s="18"/>
      <c r="N37" s="18"/>
    </row>
    <row r="38" spans="1:14" x14ac:dyDescent="0.35">
      <c r="B38" s="11" t="s">
        <v>33</v>
      </c>
      <c r="C38" s="38" t="s">
        <v>34</v>
      </c>
      <c r="E38" s="28">
        <v>1325</v>
      </c>
      <c r="F38" s="24">
        <v>-172815.8052293217</v>
      </c>
      <c r="G38" s="24">
        <v>142658.0948475812</v>
      </c>
      <c r="H38" s="24">
        <v>-30157.7103817405</v>
      </c>
      <c r="J38" s="18"/>
      <c r="K38" s="18"/>
      <c r="L38" s="18"/>
      <c r="M38" s="18"/>
      <c r="N38" s="18"/>
    </row>
    <row r="39" spans="1:14" x14ac:dyDescent="0.35">
      <c r="B39" s="11" t="s">
        <v>138</v>
      </c>
      <c r="C39" s="25">
        <f>(MAX(C22-C34,0)-(C35*EXP(C23*C20)))*(C36*C37)</f>
        <v>-207341.9051524188</v>
      </c>
      <c r="E39" s="28">
        <v>1350</v>
      </c>
      <c r="F39" s="24">
        <v>-222815.8052293217</v>
      </c>
      <c r="G39" s="24">
        <v>192658.0948475812</v>
      </c>
      <c r="H39" s="24">
        <v>-30157.7103817405</v>
      </c>
      <c r="J39" s="18"/>
      <c r="K39" s="18"/>
      <c r="L39" s="18"/>
      <c r="M39" s="18"/>
      <c r="N39" s="18"/>
    </row>
    <row r="40" spans="1:14" x14ac:dyDescent="0.35">
      <c r="E40" s="28">
        <v>1375</v>
      </c>
      <c r="F40" s="24">
        <v>-272815.8052293217</v>
      </c>
      <c r="G40" s="24">
        <v>242658.0948475812</v>
      </c>
      <c r="H40" s="24">
        <v>-30157.7103817405</v>
      </c>
      <c r="J40" s="18"/>
      <c r="K40" s="18"/>
      <c r="L40" s="18"/>
      <c r="M40" s="18"/>
      <c r="N40" s="18"/>
    </row>
    <row r="41" spans="1:14" x14ac:dyDescent="0.35">
      <c r="B41" s="12" t="s">
        <v>37</v>
      </c>
      <c r="C41" s="25">
        <f>SUM(C39,C31)</f>
        <v>9842.2896182594995</v>
      </c>
      <c r="E41" s="28">
        <v>1400</v>
      </c>
      <c r="F41" s="24">
        <v>-322815.8052293217</v>
      </c>
      <c r="G41" s="24">
        <v>292658.09484758117</v>
      </c>
      <c r="H41" s="24">
        <v>-30157.71038174053</v>
      </c>
    </row>
    <row r="42" spans="1:14" x14ac:dyDescent="0.35">
      <c r="E42" s="28">
        <v>1425</v>
      </c>
      <c r="F42" s="24">
        <v>-372815.8052293217</v>
      </c>
      <c r="G42" s="24">
        <v>342658.09484758117</v>
      </c>
      <c r="H42" s="24">
        <v>-30157.71038174053</v>
      </c>
    </row>
    <row r="43" spans="1:14" x14ac:dyDescent="0.35">
      <c r="E43" s="28">
        <v>1450</v>
      </c>
      <c r="F43" s="24">
        <v>-422815.8052293217</v>
      </c>
      <c r="G43" s="24">
        <v>392658.09484758117</v>
      </c>
      <c r="H43" s="24">
        <v>-30157.71038174053</v>
      </c>
    </row>
    <row r="44" spans="1:14" x14ac:dyDescent="0.35">
      <c r="E44" s="28">
        <v>1475</v>
      </c>
      <c r="F44" s="24">
        <v>-472815.8052293217</v>
      </c>
      <c r="G44" s="24">
        <v>442658.09484758117</v>
      </c>
      <c r="H44" s="24">
        <v>-30157.71038174053</v>
      </c>
    </row>
    <row r="45" spans="1:14" x14ac:dyDescent="0.35">
      <c r="E45" s="28">
        <v>1500</v>
      </c>
      <c r="F45" s="24">
        <v>-522815.80522932176</v>
      </c>
      <c r="G45" s="24">
        <v>492658.09484758117</v>
      </c>
      <c r="H45" s="24">
        <v>-30157.710381740588</v>
      </c>
    </row>
    <row r="46" spans="1:14" x14ac:dyDescent="0.35">
      <c r="E46" s="28">
        <v>1525</v>
      </c>
      <c r="F46" s="24">
        <v>-572815.80522932182</v>
      </c>
      <c r="G46" s="24">
        <v>542658.09484758123</v>
      </c>
      <c r="H46" s="24">
        <v>-30157.710381740588</v>
      </c>
    </row>
    <row r="47" spans="1:14" x14ac:dyDescent="0.35">
      <c r="E47" s="28">
        <v>1550</v>
      </c>
      <c r="F47" s="24">
        <v>-622815.80522932182</v>
      </c>
      <c r="G47" s="24">
        <v>592658.09484758123</v>
      </c>
      <c r="H47" s="24">
        <v>-30157.710381740588</v>
      </c>
    </row>
    <row r="48" spans="1:14" x14ac:dyDescent="0.35">
      <c r="E48" s="28">
        <v>1575</v>
      </c>
      <c r="F48" s="24">
        <v>-672815.80522932182</v>
      </c>
      <c r="G48" s="24">
        <v>642658.09484758123</v>
      </c>
      <c r="H48" s="24">
        <v>-30157.710381740588</v>
      </c>
    </row>
    <row r="1000" spans="648:648" x14ac:dyDescent="0.35">
      <c r="XX1000" s="86">
        <v>19016</v>
      </c>
    </row>
  </sheetData>
  <mergeCells count="1">
    <mergeCell ref="E18:H18"/>
  </mergeCells>
  <printOptions horizontalCentered="1" verticalCentered="1" headings="1"/>
  <pageMargins left="0.7" right="0.7" top="0.75" bottom="0.75" header="0.3" footer="0.3"/>
  <pageSetup scale="41" orientation="landscape" horizontalDpi="4294967295" verticalDpi="4294967295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8CD48B-C3BC-4DC6-BC07-B939ED6C04B7}">
          <x14:formula1>
            <xm:f>'Data Validation'!$A$3:$A$4</xm:f>
          </x14:formula1>
          <xm:sqref>C30 C38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995B-9019-4357-9DED-D986E320D849}">
  <sheetPr>
    <pageSetUpPr fitToPage="1"/>
  </sheetPr>
  <dimension ref="A1:XX1000"/>
  <sheetViews>
    <sheetView showGridLines="0" topLeftCell="A16" zoomScale="90" zoomScaleNormal="90" workbookViewId="0">
      <selection activeCell="C36" sqref="C36"/>
    </sheetView>
  </sheetViews>
  <sheetFormatPr defaultColWidth="9.09765625" defaultRowHeight="15.5" x14ac:dyDescent="0.35"/>
  <cols>
    <col min="1" max="1" width="1.75" style="79" customWidth="1"/>
    <col min="2" max="2" width="24.34765625" style="11" customWidth="1"/>
    <col min="3" max="3" width="9.09765625" style="11"/>
    <col min="4" max="4" width="14.296875" style="11" bestFit="1" customWidth="1"/>
    <col min="5" max="7" width="12.6484375" style="11" customWidth="1"/>
    <col min="8" max="8" width="1.69921875" style="11" customWidth="1"/>
    <col min="9" max="9" width="54" style="11" customWidth="1"/>
    <col min="10" max="10" width="12.6484375" style="11" customWidth="1"/>
    <col min="11" max="12" width="9.09765625" style="11"/>
    <col min="13" max="13" width="11.296875" style="11" customWidth="1"/>
    <col min="14" max="16384" width="9.09765625" style="11"/>
  </cols>
  <sheetData>
    <row r="1" spans="1:23" x14ac:dyDescent="0.35">
      <c r="B1" s="79"/>
    </row>
    <row r="2" spans="1:23" s="10" customFormat="1" ht="17.5" x14ac:dyDescent="0.35">
      <c r="A2" s="80"/>
      <c r="B2" s="9" t="s">
        <v>41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B3" s="11" t="s">
        <v>9</v>
      </c>
    </row>
    <row r="4" spans="1:23" x14ac:dyDescent="0.35">
      <c r="A4" s="79" t="s">
        <v>121</v>
      </c>
      <c r="B4" s="11" t="s">
        <v>141</v>
      </c>
    </row>
    <row r="5" spans="1:23" x14ac:dyDescent="0.35">
      <c r="B5" s="11" t="s">
        <v>142</v>
      </c>
    </row>
    <row r="6" spans="1:23" x14ac:dyDescent="0.35">
      <c r="B6" s="11" t="s">
        <v>143</v>
      </c>
    </row>
    <row r="7" spans="1:23" x14ac:dyDescent="0.35">
      <c r="B7" s="11" t="s">
        <v>144</v>
      </c>
    </row>
    <row r="9" spans="1:23" x14ac:dyDescent="0.35">
      <c r="B9" s="12" t="s">
        <v>145</v>
      </c>
      <c r="C9" s="12"/>
      <c r="D9" s="12"/>
      <c r="E9" s="12"/>
    </row>
    <row r="10" spans="1:23" x14ac:dyDescent="0.35">
      <c r="B10" s="11" t="s">
        <v>180</v>
      </c>
    </row>
    <row r="11" spans="1:23" x14ac:dyDescent="0.35">
      <c r="B11" s="11" t="s">
        <v>146</v>
      </c>
    </row>
    <row r="13" spans="1:23" x14ac:dyDescent="0.35">
      <c r="B13" s="11" t="s">
        <v>42</v>
      </c>
    </row>
    <row r="14" spans="1:23" x14ac:dyDescent="0.35">
      <c r="B14" s="11" t="s">
        <v>13</v>
      </c>
    </row>
    <row r="15" spans="1:23" x14ac:dyDescent="0.35">
      <c r="B15" s="11" t="s">
        <v>11</v>
      </c>
    </row>
    <row r="16" spans="1:23" x14ac:dyDescent="0.35">
      <c r="B16" s="11" t="s">
        <v>57</v>
      </c>
    </row>
    <row r="17" spans="1:14" x14ac:dyDescent="0.35">
      <c r="B17" s="11" t="s">
        <v>32</v>
      </c>
    </row>
    <row r="19" spans="1:14" x14ac:dyDescent="0.35">
      <c r="A19" s="79" t="s">
        <v>121</v>
      </c>
      <c r="B19" s="11" t="s">
        <v>14</v>
      </c>
      <c r="C19" s="13">
        <v>44501</v>
      </c>
      <c r="E19" s="14" t="s">
        <v>46</v>
      </c>
      <c r="F19" s="15"/>
      <c r="G19" s="15"/>
      <c r="I19" s="11" t="s">
        <v>31</v>
      </c>
    </row>
    <row r="20" spans="1:14" x14ac:dyDescent="0.35">
      <c r="B20" s="11" t="s">
        <v>15</v>
      </c>
      <c r="C20" s="13">
        <v>44638</v>
      </c>
      <c r="E20" s="32" t="s">
        <v>23</v>
      </c>
      <c r="F20" s="32" t="s">
        <v>47</v>
      </c>
      <c r="G20" s="32" t="s">
        <v>48</v>
      </c>
    </row>
    <row r="21" spans="1:14" x14ac:dyDescent="0.35">
      <c r="B21" s="11" t="s">
        <v>18</v>
      </c>
      <c r="C21" s="16">
        <f>YEARFRAC(C19,C20,3)</f>
        <v>0.37534246575342467</v>
      </c>
      <c r="F21" s="47">
        <f>C29</f>
        <v>7738.6254540309019</v>
      </c>
      <c r="G21" s="47">
        <f>C37</f>
        <v>3997.6060236560011</v>
      </c>
      <c r="H21" s="17"/>
      <c r="I21" s="18"/>
    </row>
    <row r="22" spans="1:14" x14ac:dyDescent="0.35">
      <c r="B22" s="11" t="s">
        <v>16</v>
      </c>
      <c r="C22" s="19">
        <v>120.23</v>
      </c>
      <c r="E22" s="20">
        <v>75</v>
      </c>
      <c r="F22" s="24">
        <f t="dataTable" ref="F22:G39" dt2D="0" dtr="0" r1="C23"/>
        <v>13738.625454030902</v>
      </c>
      <c r="G22" s="24">
        <v>9997.6060236560006</v>
      </c>
      <c r="H22" s="21"/>
      <c r="I22" s="18"/>
    </row>
    <row r="23" spans="1:14" x14ac:dyDescent="0.35">
      <c r="B23" s="11" t="s">
        <v>17</v>
      </c>
      <c r="C23" s="19">
        <v>95</v>
      </c>
      <c r="E23" s="20">
        <v>80</v>
      </c>
      <c r="F23" s="24">
        <v>12238.625454030902</v>
      </c>
      <c r="G23" s="24">
        <v>8497.6060236560006</v>
      </c>
      <c r="H23" s="21"/>
      <c r="I23" s="18"/>
      <c r="N23" s="11">
        <f>120-95</f>
        <v>25</v>
      </c>
    </row>
    <row r="24" spans="1:14" x14ac:dyDescent="0.35">
      <c r="B24" s="11" t="s">
        <v>19</v>
      </c>
      <c r="C24" s="22">
        <v>1.2500000000000001E-2</v>
      </c>
      <c r="E24" s="20">
        <v>85</v>
      </c>
      <c r="F24" s="24">
        <v>10738.625454030902</v>
      </c>
      <c r="G24" s="24">
        <v>6997.6060236560006</v>
      </c>
      <c r="H24" s="21"/>
      <c r="I24" s="18"/>
      <c r="N24" s="11">
        <f>N23-11.62</f>
        <v>13.38</v>
      </c>
    </row>
    <row r="25" spans="1:14" x14ac:dyDescent="0.35">
      <c r="E25" s="20">
        <v>90</v>
      </c>
      <c r="F25" s="24">
        <v>9238.6254540309019</v>
      </c>
      <c r="G25" s="24">
        <v>5497.6060236560006</v>
      </c>
      <c r="H25" s="21"/>
      <c r="I25" s="18"/>
      <c r="N25" s="11">
        <f>N24*300</f>
        <v>4014.0000000000005</v>
      </c>
    </row>
    <row r="26" spans="1:14" x14ac:dyDescent="0.35">
      <c r="A26" s="79" t="s">
        <v>121</v>
      </c>
      <c r="B26" s="29" t="s">
        <v>122</v>
      </c>
      <c r="E26" s="20">
        <v>95</v>
      </c>
      <c r="F26" s="24">
        <v>7738.6254540309019</v>
      </c>
      <c r="G26" s="24">
        <v>3997.6060236560011</v>
      </c>
      <c r="H26" s="21"/>
      <c r="I26" s="18"/>
    </row>
    <row r="27" spans="1:14" x14ac:dyDescent="0.35">
      <c r="B27" s="11" t="s">
        <v>43</v>
      </c>
      <c r="C27" s="23">
        <v>300</v>
      </c>
      <c r="D27" s="17"/>
      <c r="E27" s="20">
        <v>100</v>
      </c>
      <c r="F27" s="24">
        <v>6238.6254540309019</v>
      </c>
      <c r="G27" s="24">
        <v>2497.6060236560011</v>
      </c>
      <c r="H27" s="21"/>
      <c r="I27" s="18"/>
    </row>
    <row r="28" spans="1:14" x14ac:dyDescent="0.35">
      <c r="B28" s="11" t="s">
        <v>55</v>
      </c>
      <c r="C28" s="24">
        <f>(C22*EXP(C24*C21))*(C27)</f>
        <v>36238.625454030902</v>
      </c>
      <c r="D28" s="45" t="s">
        <v>170</v>
      </c>
      <c r="E28" s="20">
        <v>105</v>
      </c>
      <c r="F28" s="24">
        <v>4738.6254540309019</v>
      </c>
      <c r="G28" s="24">
        <v>997.60602365600107</v>
      </c>
      <c r="H28" s="21"/>
      <c r="I28" s="18"/>
    </row>
    <row r="29" spans="1:14" x14ac:dyDescent="0.35">
      <c r="B29" s="11" t="s">
        <v>44</v>
      </c>
      <c r="C29" s="25">
        <f>C28-(C23*C27)</f>
        <v>7738.6254540309019</v>
      </c>
      <c r="E29" s="20">
        <v>110</v>
      </c>
      <c r="F29" s="24">
        <v>3238.6254540309019</v>
      </c>
      <c r="G29" s="24">
        <v>-502.39397634399893</v>
      </c>
      <c r="H29" s="21"/>
      <c r="I29" s="18"/>
    </row>
    <row r="30" spans="1:14" x14ac:dyDescent="0.35">
      <c r="E30" s="20">
        <v>115</v>
      </c>
      <c r="F30" s="24">
        <v>1738.6254540309019</v>
      </c>
      <c r="G30" s="24">
        <v>-2002.3939763439989</v>
      </c>
      <c r="H30" s="21"/>
      <c r="I30" s="18"/>
    </row>
    <row r="31" spans="1:14" x14ac:dyDescent="0.35">
      <c r="A31" s="79" t="s">
        <v>121</v>
      </c>
      <c r="B31" s="29" t="s">
        <v>148</v>
      </c>
      <c r="D31" s="17"/>
      <c r="E31" s="20">
        <v>120</v>
      </c>
      <c r="F31" s="24">
        <v>238.62545403090189</v>
      </c>
      <c r="G31" s="24">
        <v>-3502.3939763439989</v>
      </c>
      <c r="H31" s="21"/>
      <c r="I31" s="18"/>
    </row>
    <row r="32" spans="1:14" x14ac:dyDescent="0.35">
      <c r="B32" s="11" t="s">
        <v>20</v>
      </c>
      <c r="C32" s="19">
        <v>120</v>
      </c>
      <c r="D32" s="17"/>
      <c r="E32" s="20">
        <v>125</v>
      </c>
      <c r="F32" s="24">
        <v>-1261.3745459690981</v>
      </c>
      <c r="G32" s="24">
        <v>-3502.3939763439989</v>
      </c>
      <c r="H32" s="21"/>
      <c r="I32" s="18"/>
    </row>
    <row r="33" spans="1:9" x14ac:dyDescent="0.35">
      <c r="B33" s="11" t="s">
        <v>92</v>
      </c>
      <c r="C33" s="95">
        <v>11.62</v>
      </c>
      <c r="E33" s="20">
        <v>130</v>
      </c>
      <c r="F33" s="24">
        <v>-2761.3745459690981</v>
      </c>
      <c r="G33" s="24">
        <v>-3502.3939763439989</v>
      </c>
      <c r="H33" s="21"/>
      <c r="I33" s="18"/>
    </row>
    <row r="34" spans="1:9" x14ac:dyDescent="0.35">
      <c r="B34" s="11" t="s">
        <v>25</v>
      </c>
      <c r="C34" s="23">
        <v>3</v>
      </c>
      <c r="E34" s="20">
        <v>135</v>
      </c>
      <c r="F34" s="24">
        <v>-4261.3745459690981</v>
      </c>
      <c r="G34" s="24">
        <v>-3502.3939763439989</v>
      </c>
      <c r="H34" s="21"/>
      <c r="I34" s="18"/>
    </row>
    <row r="35" spans="1:9" x14ac:dyDescent="0.35">
      <c r="B35" s="11" t="s">
        <v>26</v>
      </c>
      <c r="C35" s="23">
        <v>100</v>
      </c>
      <c r="E35" s="20">
        <v>140</v>
      </c>
      <c r="F35" s="24">
        <v>-5761.3745459690981</v>
      </c>
      <c r="G35" s="24">
        <v>-3502.3939763439989</v>
      </c>
      <c r="H35" s="21"/>
      <c r="I35" s="18"/>
    </row>
    <row r="36" spans="1:9" x14ac:dyDescent="0.35">
      <c r="B36" s="11" t="s">
        <v>93</v>
      </c>
      <c r="C36" s="24">
        <f>-(C33*EXP(C24*C21))*(C35*C34)</f>
        <v>-3502.3939763439989</v>
      </c>
      <c r="D36" s="45" t="s">
        <v>188</v>
      </c>
      <c r="E36" s="20">
        <v>145</v>
      </c>
      <c r="F36" s="24">
        <v>-7261.3745459690981</v>
      </c>
      <c r="G36" s="24">
        <v>-3502.3939763439989</v>
      </c>
      <c r="H36" s="21"/>
      <c r="I36" s="18"/>
    </row>
    <row r="37" spans="1:9" x14ac:dyDescent="0.35">
      <c r="B37" s="11" t="s">
        <v>45</v>
      </c>
      <c r="C37" s="25">
        <f>(MAX(C32-C23,0)*(C35*C34))+C36</f>
        <v>3997.6060236560011</v>
      </c>
      <c r="E37" s="20">
        <v>150</v>
      </c>
      <c r="F37" s="24">
        <v>-8761.3745459690981</v>
      </c>
      <c r="G37" s="24">
        <v>-3502.3939763439989</v>
      </c>
      <c r="H37" s="21"/>
      <c r="I37" s="18"/>
    </row>
    <row r="38" spans="1:9" x14ac:dyDescent="0.35">
      <c r="E38" s="20">
        <v>155</v>
      </c>
      <c r="F38" s="24">
        <v>-10261.374545969098</v>
      </c>
      <c r="G38" s="24">
        <v>-3502.3939763439989</v>
      </c>
      <c r="H38" s="21"/>
      <c r="I38" s="18"/>
    </row>
    <row r="39" spans="1:9" x14ac:dyDescent="0.35">
      <c r="A39" s="79" t="s">
        <v>121</v>
      </c>
      <c r="B39" s="10" t="s">
        <v>49</v>
      </c>
      <c r="E39" s="20">
        <v>160</v>
      </c>
      <c r="F39" s="24">
        <v>-11761.374545969098</v>
      </c>
      <c r="G39" s="24">
        <v>-3502.3939763439989</v>
      </c>
      <c r="H39" s="21"/>
      <c r="I39" s="18"/>
    </row>
    <row r="40" spans="1:9" x14ac:dyDescent="0.35">
      <c r="B40" s="11" t="s">
        <v>50</v>
      </c>
    </row>
    <row r="41" spans="1:9" x14ac:dyDescent="0.35">
      <c r="B41" s="18" t="s">
        <v>53</v>
      </c>
    </row>
    <row r="43" spans="1:9" x14ac:dyDescent="0.35">
      <c r="B43" s="11" t="s">
        <v>147</v>
      </c>
    </row>
    <row r="44" spans="1:9" x14ac:dyDescent="0.35">
      <c r="B44" s="18" t="s">
        <v>53</v>
      </c>
    </row>
    <row r="46" spans="1:9" x14ac:dyDescent="0.35">
      <c r="B46" s="11" t="s">
        <v>56</v>
      </c>
    </row>
    <row r="47" spans="1:9" x14ac:dyDescent="0.35">
      <c r="B47" s="18" t="s">
        <v>53</v>
      </c>
    </row>
    <row r="1000" spans="648:648" x14ac:dyDescent="0.35">
      <c r="XX1000" s="86">
        <v>19016</v>
      </c>
    </row>
  </sheetData>
  <printOptions headings="1"/>
  <pageMargins left="0.7" right="0.7" top="0.75" bottom="0.75" header="0.3" footer="0.3"/>
  <pageSetup scale="47" orientation="landscape" horizontalDpi="4294967295" verticalDpi="4294967295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D3D362-9B34-4804-8CBA-B051EE7DF527}">
          <x14:formula1>
            <xm:f>'Data Validation'!$A$8:$A$9</xm:f>
          </x14:formula1>
          <xm:sqref>B41 B44 B47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CBEC-97F1-4462-8ECB-52766653B954}">
  <sheetPr>
    <pageSetUpPr fitToPage="1"/>
  </sheetPr>
  <dimension ref="A1:XX1000"/>
  <sheetViews>
    <sheetView showGridLines="0" zoomScale="80" zoomScaleNormal="80" workbookViewId="0">
      <selection activeCell="D16" sqref="D16"/>
    </sheetView>
  </sheetViews>
  <sheetFormatPr defaultColWidth="9.09765625" defaultRowHeight="15.75" customHeight="1" x14ac:dyDescent="0.35"/>
  <cols>
    <col min="1" max="1" width="1.3984375" style="79" customWidth="1"/>
    <col min="2" max="2" width="19.046875" style="11" bestFit="1" customWidth="1"/>
    <col min="3" max="3" width="9.09765625" style="11"/>
    <col min="4" max="4" width="11.44921875" style="11" customWidth="1"/>
    <col min="5" max="5" width="13.69921875" style="11" customWidth="1"/>
    <col min="6" max="16384" width="9.09765625" style="11"/>
  </cols>
  <sheetData>
    <row r="1" spans="1:11" s="79" customFormat="1" ht="15.75" customHeight="1" x14ac:dyDescent="0.35"/>
    <row r="2" spans="1:11" ht="15.75" customHeight="1" x14ac:dyDescent="0.35">
      <c r="B2" s="9" t="s">
        <v>59</v>
      </c>
    </row>
    <row r="4" spans="1:11" ht="15.75" customHeight="1" x14ac:dyDescent="0.35">
      <c r="A4" s="79" t="s">
        <v>121</v>
      </c>
      <c r="B4" s="11" t="s">
        <v>154</v>
      </c>
      <c r="I4" s="11" t="s">
        <v>13</v>
      </c>
    </row>
    <row r="5" spans="1:11" ht="15.75" customHeight="1" x14ac:dyDescent="0.35">
      <c r="B5" s="11" t="s">
        <v>149</v>
      </c>
      <c r="I5" s="11" t="s">
        <v>11</v>
      </c>
    </row>
    <row r="6" spans="1:11" ht="15.75" customHeight="1" x14ac:dyDescent="0.35">
      <c r="B6" s="11" t="s">
        <v>181</v>
      </c>
      <c r="I6" s="11" t="s">
        <v>82</v>
      </c>
    </row>
    <row r="7" spans="1:11" ht="15.75" customHeight="1" x14ac:dyDescent="0.35">
      <c r="B7" s="11" t="s">
        <v>150</v>
      </c>
      <c r="I7" s="11" t="s">
        <v>32</v>
      </c>
    </row>
    <row r="8" spans="1:11" ht="15.75" customHeight="1" x14ac:dyDescent="0.35">
      <c r="B8" s="11" t="s">
        <v>151</v>
      </c>
    </row>
    <row r="9" spans="1:11" ht="15.75" customHeight="1" x14ac:dyDescent="0.35">
      <c r="B9" s="11" t="s">
        <v>152</v>
      </c>
    </row>
    <row r="10" spans="1:11" ht="15.75" customHeight="1" x14ac:dyDescent="0.35">
      <c r="B10" s="11" t="s">
        <v>153</v>
      </c>
    </row>
    <row r="12" spans="1:11" ht="15.75" customHeight="1" x14ac:dyDescent="0.35">
      <c r="B12" s="11" t="s">
        <v>60</v>
      </c>
    </row>
    <row r="13" spans="1:11" ht="15.75" customHeight="1" x14ac:dyDescent="0.35">
      <c r="B13" s="11" t="s">
        <v>171</v>
      </c>
    </row>
    <row r="14" spans="1:11" ht="16.5" customHeight="1" x14ac:dyDescent="0.35"/>
    <row r="15" spans="1:11" ht="15.75" customHeight="1" x14ac:dyDescent="0.35">
      <c r="A15" s="79" t="s">
        <v>121</v>
      </c>
      <c r="B15" s="11" t="s">
        <v>14</v>
      </c>
      <c r="C15" s="13">
        <v>44155</v>
      </c>
      <c r="G15" s="15" t="s">
        <v>81</v>
      </c>
      <c r="H15" s="15"/>
      <c r="I15" s="15"/>
      <c r="J15" s="15"/>
      <c r="K15" s="26"/>
    </row>
    <row r="16" spans="1:11" ht="15.75" customHeight="1" x14ac:dyDescent="0.45">
      <c r="B16" s="11" t="s">
        <v>61</v>
      </c>
      <c r="C16" s="13">
        <v>44501</v>
      </c>
      <c r="H16" s="87" t="s">
        <v>182</v>
      </c>
      <c r="I16" s="87" t="s">
        <v>183</v>
      </c>
      <c r="J16" s="87" t="s">
        <v>184</v>
      </c>
      <c r="K16" s="87" t="s">
        <v>185</v>
      </c>
    </row>
    <row r="17" spans="1:15" ht="15.75" customHeight="1" x14ac:dyDescent="0.35">
      <c r="B17" s="11" t="s">
        <v>62</v>
      </c>
      <c r="C17" s="13">
        <v>44665</v>
      </c>
      <c r="G17" s="88" t="str">
        <f>B21</f>
        <v>Stock price at T</v>
      </c>
      <c r="H17" s="47">
        <f>C26</f>
        <v>3226.8157740207989</v>
      </c>
      <c r="I17" s="47">
        <f>C39</f>
        <v>501.91324021808703</v>
      </c>
      <c r="J17" s="47">
        <f>C46</f>
        <v>467.97196536882768</v>
      </c>
      <c r="K17" s="47">
        <f>C48</f>
        <v>4196.7009796077136</v>
      </c>
    </row>
    <row r="18" spans="1:15" ht="15.75" customHeight="1" x14ac:dyDescent="0.35">
      <c r="B18" s="11" t="s">
        <v>18</v>
      </c>
      <c r="C18" s="16">
        <f>YEARFRAC(C16,C17,3)</f>
        <v>0.44931506849315067</v>
      </c>
      <c r="G18" s="31">
        <v>0</v>
      </c>
      <c r="H18" s="24">
        <f t="dataTable" ref="H18:K30" dt2D="0" dtr="0" r1="C21"/>
        <v>-18773.184225979199</v>
      </c>
      <c r="I18" s="24">
        <v>501.91324021808703</v>
      </c>
      <c r="J18" s="24">
        <v>22467.97196536883</v>
      </c>
      <c r="K18" s="24">
        <v>4196.7009796077182</v>
      </c>
    </row>
    <row r="19" spans="1:15" ht="15.75" customHeight="1" x14ac:dyDescent="0.35">
      <c r="B19" s="11" t="s">
        <v>16</v>
      </c>
      <c r="C19" s="19">
        <v>19.2</v>
      </c>
      <c r="G19" s="31">
        <v>5</v>
      </c>
      <c r="H19" s="24">
        <v>-13773.184225979201</v>
      </c>
      <c r="I19" s="24">
        <v>501.91324021808703</v>
      </c>
      <c r="J19" s="24">
        <v>17467.97196536883</v>
      </c>
      <c r="K19" s="24">
        <v>4196.7009796077164</v>
      </c>
    </row>
    <row r="20" spans="1:15" ht="15.75" customHeight="1" x14ac:dyDescent="0.35">
      <c r="B20" s="11" t="s">
        <v>63</v>
      </c>
      <c r="C20" s="19">
        <v>28.79</v>
      </c>
      <c r="G20" s="31">
        <v>10</v>
      </c>
      <c r="H20" s="24">
        <v>-8773.1842259792011</v>
      </c>
      <c r="I20" s="24">
        <v>501.91324021808703</v>
      </c>
      <c r="J20" s="24">
        <v>12467.971965368826</v>
      </c>
      <c r="K20" s="24">
        <v>4196.7009796077127</v>
      </c>
    </row>
    <row r="21" spans="1:15" ht="15.75" customHeight="1" x14ac:dyDescent="0.35">
      <c r="B21" s="11" t="s">
        <v>17</v>
      </c>
      <c r="C21" s="19">
        <v>22</v>
      </c>
      <c r="G21" s="31">
        <v>15</v>
      </c>
      <c r="H21" s="24">
        <v>-3773.1842259792015</v>
      </c>
      <c r="I21" s="24">
        <v>501.91324021808703</v>
      </c>
      <c r="J21" s="24">
        <v>7467.971965368828</v>
      </c>
      <c r="K21" s="24">
        <v>4196.7009796077127</v>
      </c>
      <c r="O21" s="17"/>
    </row>
    <row r="22" spans="1:15" ht="15.75" customHeight="1" x14ac:dyDescent="0.35">
      <c r="B22" s="11" t="s">
        <v>19</v>
      </c>
      <c r="C22" s="27">
        <v>8.5000000000000006E-3</v>
      </c>
      <c r="G22" s="31">
        <v>20</v>
      </c>
      <c r="H22" s="24">
        <v>1226.8157740207989</v>
      </c>
      <c r="I22" s="24">
        <v>501.91324021808703</v>
      </c>
      <c r="J22" s="24">
        <v>2467.971965368828</v>
      </c>
      <c r="K22" s="24">
        <v>4196.7009796077145</v>
      </c>
    </row>
    <row r="23" spans="1:15" ht="15.75" customHeight="1" x14ac:dyDescent="0.35">
      <c r="B23" s="11" t="s">
        <v>26</v>
      </c>
      <c r="C23" s="23">
        <v>100</v>
      </c>
      <c r="G23" s="31">
        <v>23</v>
      </c>
      <c r="H23" s="24">
        <v>4226.8157740207989</v>
      </c>
      <c r="I23" s="24">
        <v>501.91324021808703</v>
      </c>
      <c r="J23" s="24">
        <v>-532.02803463117232</v>
      </c>
      <c r="K23" s="24">
        <v>4196.7009796077136</v>
      </c>
    </row>
    <row r="24" spans="1:15" ht="15.75" customHeight="1" x14ac:dyDescent="0.35">
      <c r="G24" s="31">
        <v>29</v>
      </c>
      <c r="H24" s="24">
        <v>10226.815774020799</v>
      </c>
      <c r="I24" s="24">
        <v>501.91324021808703</v>
      </c>
      <c r="J24" s="24">
        <v>-532.02803463117232</v>
      </c>
      <c r="K24" s="24">
        <v>10196.700979607715</v>
      </c>
    </row>
    <row r="25" spans="1:15" ht="15.75" customHeight="1" x14ac:dyDescent="0.35">
      <c r="A25" s="79" t="s">
        <v>121</v>
      </c>
      <c r="B25" s="10" t="s">
        <v>186</v>
      </c>
      <c r="C25" s="81">
        <v>1000</v>
      </c>
      <c r="D25" s="11" t="s">
        <v>89</v>
      </c>
      <c r="E25" s="42">
        <f>YEARFRAC(C15,C17,3)</f>
        <v>1.3972602739726028</v>
      </c>
      <c r="G25" s="31">
        <v>35</v>
      </c>
      <c r="H25" s="24">
        <v>16226.815774020799</v>
      </c>
      <c r="I25" s="24">
        <v>501.91324021808703</v>
      </c>
      <c r="J25" s="24">
        <v>-532.02803463117232</v>
      </c>
      <c r="K25" s="24">
        <v>16196.700979607715</v>
      </c>
    </row>
    <row r="26" spans="1:15" ht="15.75" customHeight="1" x14ac:dyDescent="0.35">
      <c r="B26" s="11" t="s">
        <v>187</v>
      </c>
      <c r="C26" s="25">
        <f>(C21-(C19*EXP(C22*E25)))*(C25)+E32</f>
        <v>3226.8157740207989</v>
      </c>
      <c r="D26" s="17"/>
      <c r="E26" s="17"/>
      <c r="G26" s="31">
        <v>40</v>
      </c>
      <c r="H26" s="24">
        <v>21226.815774020801</v>
      </c>
      <c r="I26" s="24">
        <v>-4498.0867597819124</v>
      </c>
      <c r="J26" s="24">
        <v>-532.02803463117232</v>
      </c>
      <c r="K26" s="24">
        <v>16196.700979607716</v>
      </c>
    </row>
    <row r="27" spans="1:15" ht="15.75" customHeight="1" x14ac:dyDescent="0.35">
      <c r="G27" s="31">
        <v>45</v>
      </c>
      <c r="H27" s="24">
        <v>26226.815774020801</v>
      </c>
      <c r="I27" s="24">
        <v>-9498.0867597819124</v>
      </c>
      <c r="J27" s="24">
        <v>-532.02803463117232</v>
      </c>
      <c r="K27" s="24">
        <v>16196.700979607716</v>
      </c>
    </row>
    <row r="28" spans="1:15" ht="15.75" customHeight="1" x14ac:dyDescent="0.35">
      <c r="B28" s="11" t="s">
        <v>64</v>
      </c>
      <c r="C28" s="30" t="s">
        <v>65</v>
      </c>
      <c r="D28" s="30" t="s">
        <v>155</v>
      </c>
      <c r="E28" s="30" t="s">
        <v>156</v>
      </c>
      <c r="G28" s="31">
        <v>50</v>
      </c>
      <c r="H28" s="24">
        <v>31226.815774020801</v>
      </c>
      <c r="I28" s="24">
        <v>-14498.086759781912</v>
      </c>
      <c r="J28" s="24">
        <v>-532.02803463117232</v>
      </c>
      <c r="K28" s="24">
        <v>16196.700979607716</v>
      </c>
    </row>
    <row r="29" spans="1:15" ht="15.75" customHeight="1" x14ac:dyDescent="0.35">
      <c r="B29" s="34">
        <v>44554</v>
      </c>
      <c r="C29" s="33">
        <v>0.3276</v>
      </c>
      <c r="D29" s="16">
        <f>YEARFRAC(B29,$C$17,3)</f>
        <v>0.30410958904109592</v>
      </c>
      <c r="E29" s="24">
        <f>(C29*EXP(D29*$C$22))*(C25)</f>
        <v>328.44791899576717</v>
      </c>
      <c r="G29" s="31">
        <v>55</v>
      </c>
      <c r="H29" s="24">
        <v>36226.81577402079</v>
      </c>
      <c r="I29" s="24">
        <v>-19498.086759781912</v>
      </c>
      <c r="J29" s="24">
        <v>-532.02803463117232</v>
      </c>
      <c r="K29" s="24">
        <v>16196.700979607704</v>
      </c>
    </row>
    <row r="30" spans="1:15" ht="15.75" customHeight="1" x14ac:dyDescent="0.35">
      <c r="B30" s="34">
        <v>44644</v>
      </c>
      <c r="C30" s="33">
        <v>0.3276</v>
      </c>
      <c r="D30" s="16">
        <f>YEARFRAC(B30,$C$17,3)</f>
        <v>5.7534246575342465E-2</v>
      </c>
      <c r="E30" s="24">
        <f>(C30*EXP(D30*$C$22))*(C25)</f>
        <v>327.7602490440039</v>
      </c>
      <c r="G30" s="31">
        <v>60</v>
      </c>
      <c r="H30" s="24">
        <v>41226.81577402079</v>
      </c>
      <c r="I30" s="24">
        <v>-24498.086759781912</v>
      </c>
      <c r="J30" s="24">
        <v>-532.02803463117232</v>
      </c>
      <c r="K30" s="24">
        <v>16196.700979607704</v>
      </c>
    </row>
    <row r="31" spans="1:15" ht="15.75" customHeight="1" thickBot="1" x14ac:dyDescent="0.4">
      <c r="B31" s="89"/>
      <c r="C31" s="90"/>
      <c r="D31" s="91"/>
      <c r="E31" s="92"/>
    </row>
    <row r="32" spans="1:15" ht="15.75" customHeight="1" thickTop="1" x14ac:dyDescent="0.35">
      <c r="D32" s="36" t="s">
        <v>67</v>
      </c>
      <c r="E32" s="25">
        <f>SUM(E29:E30)</f>
        <v>656.20816803977107</v>
      </c>
    </row>
    <row r="33" spans="1:11" ht="15.75" customHeight="1" x14ac:dyDescent="0.35">
      <c r="G33" s="11" t="s">
        <v>31</v>
      </c>
    </row>
    <row r="34" spans="1:11" ht="15.75" customHeight="1" x14ac:dyDescent="0.35">
      <c r="A34" s="79" t="s">
        <v>121</v>
      </c>
      <c r="B34" s="10" t="s">
        <v>68</v>
      </c>
      <c r="G34" s="18"/>
      <c r="H34" s="18"/>
      <c r="I34" s="18"/>
      <c r="J34" s="18"/>
      <c r="K34" s="18"/>
    </row>
    <row r="35" spans="1:11" ht="15.75" customHeight="1" x14ac:dyDescent="0.35">
      <c r="B35" s="11" t="s">
        <v>69</v>
      </c>
      <c r="C35" s="23">
        <v>10</v>
      </c>
      <c r="G35" s="18"/>
      <c r="H35" s="18"/>
      <c r="I35" s="18"/>
      <c r="J35" s="18"/>
      <c r="K35" s="18"/>
    </row>
    <row r="36" spans="1:11" ht="15.75" customHeight="1" x14ac:dyDescent="0.35">
      <c r="B36" s="11" t="s">
        <v>70</v>
      </c>
      <c r="C36" s="37" t="s">
        <v>73</v>
      </c>
      <c r="G36" s="18"/>
      <c r="H36" s="18"/>
      <c r="I36" s="18"/>
      <c r="J36" s="18"/>
      <c r="K36" s="18"/>
    </row>
    <row r="37" spans="1:11" ht="15.75" customHeight="1" x14ac:dyDescent="0.35">
      <c r="B37" s="11" t="s">
        <v>74</v>
      </c>
      <c r="C37" s="19">
        <v>35</v>
      </c>
      <c r="G37" s="18"/>
      <c r="H37" s="18"/>
      <c r="I37" s="18"/>
      <c r="J37" s="18"/>
      <c r="K37" s="18"/>
    </row>
    <row r="38" spans="1:11" ht="15.75" customHeight="1" x14ac:dyDescent="0.35">
      <c r="B38" s="11" t="s">
        <v>90</v>
      </c>
      <c r="C38" s="19">
        <v>0.5</v>
      </c>
      <c r="D38" s="17"/>
      <c r="G38" s="18"/>
      <c r="H38" s="18"/>
      <c r="I38" s="18"/>
      <c r="J38" s="18"/>
      <c r="K38" s="18"/>
    </row>
    <row r="39" spans="1:11" ht="15.75" customHeight="1" x14ac:dyDescent="0.35">
      <c r="B39" s="11" t="s">
        <v>75</v>
      </c>
      <c r="C39" s="25">
        <f>(MIN(C37-C21,0)+(C38*EXP(C22*C18)))*(C35*C23)</f>
        <v>501.91324021808703</v>
      </c>
      <c r="G39" s="18"/>
      <c r="H39" s="18"/>
      <c r="I39" s="18"/>
      <c r="J39" s="18"/>
      <c r="K39" s="18"/>
    </row>
    <row r="40" spans="1:11" ht="15.75" customHeight="1" x14ac:dyDescent="0.35">
      <c r="G40" s="18"/>
      <c r="H40" s="18"/>
      <c r="I40" s="18"/>
      <c r="J40" s="18"/>
      <c r="K40" s="18"/>
    </row>
    <row r="41" spans="1:11" ht="15.75" customHeight="1" x14ac:dyDescent="0.35">
      <c r="A41" s="79" t="s">
        <v>121</v>
      </c>
      <c r="B41" s="10" t="s">
        <v>76</v>
      </c>
      <c r="G41" s="18"/>
      <c r="H41" s="18"/>
      <c r="I41" s="18"/>
      <c r="J41" s="18"/>
      <c r="K41" s="18"/>
    </row>
    <row r="42" spans="1:11" ht="15.75" customHeight="1" x14ac:dyDescent="0.35">
      <c r="B42" s="11" t="s">
        <v>77</v>
      </c>
      <c r="C42" s="23">
        <v>10</v>
      </c>
      <c r="G42" s="18"/>
      <c r="H42" s="18"/>
      <c r="I42" s="18"/>
      <c r="J42" s="18"/>
      <c r="K42" s="18"/>
    </row>
    <row r="43" spans="1:11" ht="15.75" customHeight="1" x14ac:dyDescent="0.35">
      <c r="B43" s="11" t="s">
        <v>78</v>
      </c>
      <c r="C43" s="37" t="s">
        <v>72</v>
      </c>
      <c r="G43" s="18"/>
      <c r="H43" s="18"/>
      <c r="I43" s="18"/>
      <c r="J43" s="18"/>
      <c r="K43" s="18"/>
    </row>
    <row r="44" spans="1:11" ht="15.75" customHeight="1" x14ac:dyDescent="0.35">
      <c r="B44" s="11" t="s">
        <v>74</v>
      </c>
      <c r="C44" s="19">
        <v>23</v>
      </c>
      <c r="G44" s="18"/>
      <c r="H44" s="18"/>
      <c r="I44" s="18"/>
      <c r="J44" s="18"/>
      <c r="K44" s="18"/>
    </row>
    <row r="45" spans="1:11" ht="15.75" customHeight="1" x14ac:dyDescent="0.35">
      <c r="B45" s="11" t="s">
        <v>91</v>
      </c>
      <c r="C45" s="19">
        <v>0.53</v>
      </c>
      <c r="G45" s="18"/>
      <c r="H45" s="18"/>
      <c r="I45" s="18"/>
      <c r="J45" s="18"/>
      <c r="K45" s="18"/>
    </row>
    <row r="46" spans="1:11" ht="15.75" customHeight="1" x14ac:dyDescent="0.35">
      <c r="B46" s="11" t="s">
        <v>79</v>
      </c>
      <c r="C46" s="25">
        <f>(MAX(C44-C21,0)-(C45*EXP(C22*C18)))*(C42*C23)</f>
        <v>467.97196536882768</v>
      </c>
      <c r="G46" s="18"/>
      <c r="H46" s="18"/>
      <c r="I46" s="18"/>
      <c r="J46" s="18"/>
      <c r="K46" s="18"/>
    </row>
    <row r="47" spans="1:11" ht="15.75" customHeight="1" x14ac:dyDescent="0.35">
      <c r="G47" s="18"/>
      <c r="H47" s="18"/>
      <c r="I47" s="18"/>
      <c r="J47" s="18"/>
      <c r="K47" s="18"/>
    </row>
    <row r="48" spans="1:11" ht="15.75" customHeight="1" x14ac:dyDescent="0.35">
      <c r="A48" s="79" t="s">
        <v>121</v>
      </c>
      <c r="B48" s="39" t="s">
        <v>80</v>
      </c>
      <c r="C48" s="25">
        <f>SUM(C46,C39,C26)</f>
        <v>4196.7009796077136</v>
      </c>
      <c r="G48" s="18"/>
      <c r="H48" s="18"/>
      <c r="I48" s="18"/>
      <c r="J48" s="18"/>
      <c r="K48" s="18"/>
    </row>
    <row r="49" spans="7:11" ht="15.75" customHeight="1" x14ac:dyDescent="0.35">
      <c r="G49" s="18"/>
      <c r="H49" s="18"/>
      <c r="I49" s="18"/>
      <c r="J49" s="18"/>
      <c r="K49" s="18"/>
    </row>
    <row r="50" spans="7:11" ht="15.75" customHeight="1" x14ac:dyDescent="0.35">
      <c r="G50" s="18"/>
      <c r="H50" s="18"/>
      <c r="I50" s="18"/>
      <c r="J50" s="18"/>
      <c r="K50" s="18"/>
    </row>
    <row r="51" spans="7:11" ht="15.75" customHeight="1" x14ac:dyDescent="0.35">
      <c r="G51" s="18"/>
      <c r="H51" s="18"/>
      <c r="I51" s="18"/>
      <c r="J51" s="18"/>
      <c r="K51" s="18"/>
    </row>
    <row r="52" spans="7:11" ht="15.75" customHeight="1" x14ac:dyDescent="0.35">
      <c r="G52" s="18"/>
      <c r="H52" s="18"/>
      <c r="I52" s="18"/>
      <c r="J52" s="18"/>
      <c r="K52" s="18"/>
    </row>
    <row r="53" spans="7:11" ht="15.75" customHeight="1" x14ac:dyDescent="0.35">
      <c r="G53" s="18"/>
      <c r="H53" s="18"/>
      <c r="I53" s="18"/>
      <c r="J53" s="18"/>
      <c r="K53" s="18"/>
    </row>
    <row r="54" spans="7:11" ht="15.75" customHeight="1" x14ac:dyDescent="0.35">
      <c r="G54" s="18"/>
      <c r="H54" s="18"/>
      <c r="I54" s="18"/>
      <c r="J54" s="18"/>
      <c r="K54" s="18"/>
    </row>
    <row r="55" spans="7:11" ht="15.75" customHeight="1" x14ac:dyDescent="0.35">
      <c r="G55" s="18"/>
      <c r="H55" s="18"/>
      <c r="I55" s="18"/>
      <c r="J55" s="18"/>
      <c r="K55" s="18"/>
    </row>
    <row r="1000" spans="648:648" ht="15.5" x14ac:dyDescent="0.35">
      <c r="XX1000" s="86">
        <v>19016</v>
      </c>
    </row>
  </sheetData>
  <printOptions headings="1"/>
  <pageMargins left="0.7" right="0.7" top="0.75" bottom="0.75" header="0.3" footer="0.3"/>
  <pageSetup scale="42" orientation="landscape" horizontalDpi="4294967295" verticalDpi="4294967295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44173B-AD4D-4B14-AB3D-1289903EBBA6}">
          <x14:formula1>
            <xm:f>'Data Validation'!$A$12:$A$13</xm:f>
          </x14:formula1>
          <xm:sqref>C36 C43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F620-CB7C-4677-B490-F784367E4C8B}">
  <sheetPr>
    <pageSetUpPr fitToPage="1"/>
  </sheetPr>
  <dimension ref="A1:XX1000"/>
  <sheetViews>
    <sheetView showGridLines="0" topLeftCell="A28" zoomScaleNormal="100" workbookViewId="0">
      <selection activeCell="D51" sqref="D51"/>
    </sheetView>
  </sheetViews>
  <sheetFormatPr defaultColWidth="9.09765625" defaultRowHeight="15.5" x14ac:dyDescent="0.35"/>
  <cols>
    <col min="1" max="1" width="1.6484375" style="79" customWidth="1"/>
    <col min="2" max="2" width="17.6484375" style="11" customWidth="1"/>
    <col min="3" max="3" width="11.75" style="11" customWidth="1"/>
    <col min="4" max="4" width="11.25" style="11" customWidth="1"/>
    <col min="5" max="5" width="13.69921875" style="11" customWidth="1"/>
    <col min="6" max="16384" width="9.09765625" style="11"/>
  </cols>
  <sheetData>
    <row r="1" spans="1:2" s="79" customFormat="1" x14ac:dyDescent="0.35"/>
    <row r="2" spans="1:2" ht="15.75" customHeight="1" x14ac:dyDescent="0.35">
      <c r="B2" s="9" t="s">
        <v>101</v>
      </c>
    </row>
    <row r="3" spans="1:2" ht="15.75" customHeight="1" x14ac:dyDescent="0.35"/>
    <row r="4" spans="1:2" ht="15.75" customHeight="1" x14ac:dyDescent="0.35">
      <c r="A4" s="79" t="s">
        <v>121</v>
      </c>
      <c r="B4" s="11" t="s">
        <v>190</v>
      </c>
    </row>
    <row r="5" spans="1:2" ht="15.75" customHeight="1" x14ac:dyDescent="0.35">
      <c r="B5" s="11" t="s">
        <v>192</v>
      </c>
    </row>
    <row r="6" spans="1:2" ht="15.75" customHeight="1" x14ac:dyDescent="0.35">
      <c r="B6" s="11" t="s">
        <v>83</v>
      </c>
    </row>
    <row r="7" spans="1:2" ht="15.75" customHeight="1" x14ac:dyDescent="0.35">
      <c r="B7" s="11" t="s">
        <v>85</v>
      </c>
    </row>
    <row r="8" spans="1:2" ht="15.75" customHeight="1" x14ac:dyDescent="0.35">
      <c r="B8" s="11" t="s">
        <v>84</v>
      </c>
    </row>
    <row r="9" spans="1:2" ht="15.75" customHeight="1" x14ac:dyDescent="0.35">
      <c r="B9" s="11" t="s">
        <v>177</v>
      </c>
    </row>
    <row r="10" spans="1:2" ht="15.75" customHeight="1" x14ac:dyDescent="0.35">
      <c r="B10" s="11" t="s">
        <v>191</v>
      </c>
    </row>
    <row r="11" spans="1:2" ht="15.75" customHeight="1" x14ac:dyDescent="0.35">
      <c r="B11" s="11" t="s">
        <v>172</v>
      </c>
    </row>
    <row r="12" spans="1:2" ht="15.75" customHeight="1" x14ac:dyDescent="0.35"/>
    <row r="13" spans="1:2" ht="15.75" customHeight="1" x14ac:dyDescent="0.35">
      <c r="B13" s="11" t="s">
        <v>13</v>
      </c>
    </row>
    <row r="14" spans="1:2" ht="15.75" customHeight="1" x14ac:dyDescent="0.35">
      <c r="B14" s="11" t="s">
        <v>11</v>
      </c>
    </row>
    <row r="15" spans="1:2" ht="15.75" customHeight="1" x14ac:dyDescent="0.35">
      <c r="B15" s="11" t="s">
        <v>82</v>
      </c>
    </row>
    <row r="16" spans="1:2" ht="15.75" customHeight="1" x14ac:dyDescent="0.35">
      <c r="B16" s="11" t="s">
        <v>32</v>
      </c>
    </row>
    <row r="17" spans="1:11" ht="15.75" customHeight="1" x14ac:dyDescent="0.35"/>
    <row r="18" spans="1:11" ht="15.75" customHeight="1" x14ac:dyDescent="0.35">
      <c r="A18" s="79" t="s">
        <v>121</v>
      </c>
      <c r="B18" s="12" t="s">
        <v>168</v>
      </c>
    </row>
    <row r="19" spans="1:11" ht="15.75" customHeight="1" x14ac:dyDescent="0.35">
      <c r="B19" s="51" t="s">
        <v>86</v>
      </c>
      <c r="C19" s="51" t="s">
        <v>87</v>
      </c>
      <c r="D19" s="51" t="s">
        <v>88</v>
      </c>
    </row>
    <row r="20" spans="1:11" ht="15.75" customHeight="1" x14ac:dyDescent="0.35">
      <c r="B20" s="52">
        <v>190</v>
      </c>
      <c r="C20" s="53">
        <v>94.25</v>
      </c>
      <c r="D20" s="54">
        <v>1.9434</v>
      </c>
    </row>
    <row r="21" spans="1:11" ht="15.75" customHeight="1" x14ac:dyDescent="0.35">
      <c r="B21" s="52">
        <v>195</v>
      </c>
      <c r="C21" s="53">
        <v>80.849999999999994</v>
      </c>
      <c r="D21" s="54">
        <v>1.9424999999999999</v>
      </c>
    </row>
    <row r="22" spans="1:11" ht="15.75" customHeight="1" x14ac:dyDescent="0.35">
      <c r="B22" s="52">
        <v>200</v>
      </c>
      <c r="C22" s="53">
        <v>75.87</v>
      </c>
      <c r="D22" s="54">
        <v>1.9402999999999999</v>
      </c>
      <c r="E22" s="17"/>
    </row>
    <row r="23" spans="1:11" ht="15.75" customHeight="1" x14ac:dyDescent="0.35">
      <c r="B23" s="52">
        <v>210</v>
      </c>
      <c r="C23" s="53">
        <v>73.45</v>
      </c>
      <c r="D23" s="54">
        <v>1.9238999999999999</v>
      </c>
    </row>
    <row r="24" spans="1:11" ht="15.75" customHeight="1" x14ac:dyDescent="0.35">
      <c r="B24" s="52">
        <v>220</v>
      </c>
      <c r="C24" s="53">
        <v>70.52</v>
      </c>
      <c r="D24" s="54">
        <v>1.9258000000000002</v>
      </c>
    </row>
    <row r="25" spans="1:11" ht="15.75" customHeight="1" x14ac:dyDescent="0.35">
      <c r="B25" s="52">
        <v>230</v>
      </c>
      <c r="C25" s="53">
        <v>67.97</v>
      </c>
      <c r="D25" s="54">
        <v>1.9213999999999998</v>
      </c>
    </row>
    <row r="26" spans="1:11" ht="15.75" customHeight="1" x14ac:dyDescent="0.35">
      <c r="B26" s="52">
        <v>240</v>
      </c>
      <c r="C26" s="53">
        <v>65.25</v>
      </c>
      <c r="D26" s="54">
        <v>1.9212</v>
      </c>
    </row>
    <row r="27" spans="1:11" ht="15.75" customHeight="1" x14ac:dyDescent="0.35">
      <c r="B27" s="52">
        <v>250</v>
      </c>
      <c r="C27" s="53">
        <v>63.87</v>
      </c>
      <c r="D27" s="54">
        <v>1.92</v>
      </c>
    </row>
    <row r="28" spans="1:11" ht="15.75" customHeight="1" x14ac:dyDescent="0.35">
      <c r="B28" s="52">
        <v>260</v>
      </c>
      <c r="C28" s="53">
        <v>62.57</v>
      </c>
      <c r="D28" s="54">
        <v>1.9158000000000002</v>
      </c>
    </row>
    <row r="29" spans="1:11" ht="15.75" customHeight="1" x14ac:dyDescent="0.35"/>
    <row r="30" spans="1:11" ht="15.75" customHeight="1" x14ac:dyDescent="0.35">
      <c r="A30" s="79" t="s">
        <v>121</v>
      </c>
      <c r="B30" s="11" t="s">
        <v>100</v>
      </c>
      <c r="G30" s="11" t="s">
        <v>31</v>
      </c>
    </row>
    <row r="31" spans="1:11" ht="15.75" customHeight="1" x14ac:dyDescent="0.35">
      <c r="B31" s="11" t="s">
        <v>99</v>
      </c>
      <c r="G31" s="18"/>
      <c r="H31" s="18"/>
      <c r="I31" s="18"/>
      <c r="J31" s="18"/>
      <c r="K31" s="18"/>
    </row>
    <row r="32" spans="1:11" ht="15.75" customHeight="1" x14ac:dyDescent="0.35">
      <c r="G32" s="18"/>
      <c r="H32" s="18"/>
      <c r="I32" s="18"/>
      <c r="J32" s="18"/>
      <c r="K32" s="18"/>
    </row>
    <row r="33" spans="1:11" ht="15.75" customHeight="1" x14ac:dyDescent="0.35">
      <c r="B33" s="11" t="s">
        <v>14</v>
      </c>
      <c r="C33" s="13">
        <v>44223</v>
      </c>
      <c r="G33" s="18"/>
      <c r="H33" s="18"/>
      <c r="I33" s="18"/>
      <c r="J33" s="18"/>
      <c r="K33" s="18"/>
    </row>
    <row r="34" spans="1:11" ht="15.75" customHeight="1" x14ac:dyDescent="0.35">
      <c r="B34" s="11" t="s">
        <v>61</v>
      </c>
      <c r="C34" s="13">
        <v>44281</v>
      </c>
      <c r="G34" s="18"/>
      <c r="H34" s="18"/>
      <c r="I34" s="18"/>
      <c r="J34" s="18"/>
      <c r="K34" s="18"/>
    </row>
    <row r="35" spans="1:11" ht="15.75" customHeight="1" x14ac:dyDescent="0.35">
      <c r="B35" s="11" t="s">
        <v>62</v>
      </c>
      <c r="C35" s="13">
        <v>44393</v>
      </c>
      <c r="G35" s="18"/>
      <c r="H35" s="18"/>
      <c r="I35" s="18"/>
      <c r="J35" s="18"/>
      <c r="K35" s="18"/>
    </row>
    <row r="36" spans="1:11" ht="15.75" customHeight="1" x14ac:dyDescent="0.35">
      <c r="B36" s="11" t="s">
        <v>18</v>
      </c>
      <c r="C36" s="16">
        <f>YEARFRAC(C34,C35,3)</f>
        <v>0.30684931506849317</v>
      </c>
      <c r="G36" s="18"/>
      <c r="H36" s="18"/>
      <c r="I36" s="18"/>
      <c r="J36" s="18"/>
      <c r="K36" s="18"/>
    </row>
    <row r="37" spans="1:11" ht="15.75" customHeight="1" x14ac:dyDescent="0.35">
      <c r="B37" s="11" t="s">
        <v>16</v>
      </c>
      <c r="C37" s="19">
        <v>342</v>
      </c>
      <c r="G37" s="18"/>
      <c r="H37" s="18"/>
      <c r="I37" s="18"/>
      <c r="J37" s="18"/>
      <c r="K37" s="18"/>
    </row>
    <row r="38" spans="1:11" ht="15.75" customHeight="1" x14ac:dyDescent="0.35">
      <c r="B38" s="11" t="s">
        <v>63</v>
      </c>
      <c r="C38" s="19">
        <v>175.5</v>
      </c>
      <c r="G38" s="18"/>
      <c r="H38" s="18"/>
      <c r="I38" s="18"/>
      <c r="J38" s="18"/>
      <c r="K38" s="18"/>
    </row>
    <row r="39" spans="1:11" ht="15.75" customHeight="1" x14ac:dyDescent="0.35">
      <c r="B39" s="11" t="s">
        <v>17</v>
      </c>
      <c r="C39" s="19">
        <v>500</v>
      </c>
      <c r="G39" s="18"/>
      <c r="H39" s="18"/>
      <c r="I39" s="18"/>
      <c r="J39" s="18"/>
      <c r="K39" s="18"/>
    </row>
    <row r="40" spans="1:11" ht="15.75" customHeight="1" x14ac:dyDescent="0.35">
      <c r="B40" s="11" t="s">
        <v>19</v>
      </c>
      <c r="C40" s="27">
        <v>2.2499999999999998E-3</v>
      </c>
      <c r="G40" s="18"/>
      <c r="H40" s="18"/>
      <c r="I40" s="18"/>
      <c r="J40" s="18"/>
      <c r="K40" s="18"/>
    </row>
    <row r="41" spans="1:11" ht="15.75" customHeight="1" x14ac:dyDescent="0.35">
      <c r="B41" s="11" t="s">
        <v>26</v>
      </c>
      <c r="C41" s="23">
        <v>100</v>
      </c>
      <c r="G41" s="18"/>
      <c r="H41" s="18"/>
      <c r="I41" s="18"/>
      <c r="J41" s="18"/>
      <c r="K41" s="18"/>
    </row>
    <row r="42" spans="1:11" ht="15.75" customHeight="1" x14ac:dyDescent="0.35">
      <c r="G42" s="18"/>
      <c r="H42" s="18"/>
      <c r="I42" s="18"/>
      <c r="J42" s="18"/>
      <c r="K42" s="18"/>
    </row>
    <row r="43" spans="1:11" ht="15.75" customHeight="1" x14ac:dyDescent="0.35">
      <c r="A43" s="79" t="s">
        <v>121</v>
      </c>
      <c r="B43" s="10" t="s">
        <v>169</v>
      </c>
      <c r="C43" s="43">
        <v>500</v>
      </c>
      <c r="D43" s="45" t="s">
        <v>170</v>
      </c>
      <c r="G43" s="18"/>
      <c r="H43" s="18"/>
      <c r="I43" s="18"/>
      <c r="J43" s="18"/>
      <c r="K43" s="18"/>
    </row>
    <row r="44" spans="1:11" ht="15.75" customHeight="1" x14ac:dyDescent="0.35">
      <c r="B44" s="11" t="s">
        <v>89</v>
      </c>
      <c r="C44" s="42">
        <f>YEARFRAC(C33,C35,3)</f>
        <v>0.46575342465753422</v>
      </c>
      <c r="D44" s="17"/>
      <c r="G44" s="18"/>
      <c r="H44" s="18"/>
      <c r="I44" s="18"/>
      <c r="J44" s="18"/>
      <c r="K44" s="18"/>
    </row>
    <row r="45" spans="1:11" ht="15.75" customHeight="1" x14ac:dyDescent="0.35">
      <c r="B45" s="11" t="s">
        <v>66</v>
      </c>
      <c r="C45" s="25">
        <f>((C37*EXP(C40*C44))-C39)*C43</f>
        <v>-78820.707441882769</v>
      </c>
    </row>
    <row r="46" spans="1:11" ht="15.75" customHeight="1" x14ac:dyDescent="0.35">
      <c r="G46" s="14" t="s">
        <v>98</v>
      </c>
      <c r="H46" s="15"/>
      <c r="I46" s="15"/>
      <c r="J46" s="15"/>
    </row>
    <row r="47" spans="1:11" ht="15.75" customHeight="1" x14ac:dyDescent="0.35">
      <c r="H47" s="32" t="s">
        <v>96</v>
      </c>
      <c r="I47" s="32" t="s">
        <v>97</v>
      </c>
      <c r="J47" s="32" t="s">
        <v>39</v>
      </c>
    </row>
    <row r="48" spans="1:11" ht="15.75" customHeight="1" x14ac:dyDescent="0.6">
      <c r="A48" s="79" t="s">
        <v>121</v>
      </c>
      <c r="B48" s="10" t="s">
        <v>68</v>
      </c>
      <c r="D48"/>
      <c r="E48"/>
      <c r="H48" s="47">
        <f>C45</f>
        <v>-78820.707441882769</v>
      </c>
      <c r="I48" s="47">
        <f>C54</f>
        <v>112038.80021700604</v>
      </c>
      <c r="J48" s="47">
        <f>C56</f>
        <v>33218.092775123267</v>
      </c>
    </row>
    <row r="49" spans="1:10" ht="15.75" customHeight="1" x14ac:dyDescent="0.6">
      <c r="B49" s="11" t="s">
        <v>69</v>
      </c>
      <c r="C49" s="84">
        <v>5</v>
      </c>
      <c r="D49" s="44"/>
      <c r="E49"/>
      <c r="G49" s="31">
        <v>0</v>
      </c>
      <c r="H49" s="24">
        <f t="dataTable" ref="H49:J69" dt2D="0" dtr="0" r1="C39"/>
        <v>171179.29255811722</v>
      </c>
      <c r="I49" s="24">
        <v>-37961.199782993965</v>
      </c>
      <c r="J49" s="24">
        <v>133218.09277512325</v>
      </c>
    </row>
    <row r="50" spans="1:10" ht="15.75" customHeight="1" x14ac:dyDescent="0.6">
      <c r="B50" s="11" t="s">
        <v>70</v>
      </c>
      <c r="C50" s="37" t="s">
        <v>72</v>
      </c>
      <c r="D50"/>
      <c r="E50"/>
      <c r="G50" s="31">
        <v>25</v>
      </c>
      <c r="H50" s="24">
        <v>158679.29255811722</v>
      </c>
      <c r="I50" s="24">
        <v>-37961.199782993965</v>
      </c>
      <c r="J50" s="24">
        <v>120718.09277512325</v>
      </c>
    </row>
    <row r="51" spans="1:10" ht="15.75" customHeight="1" x14ac:dyDescent="0.6">
      <c r="B51" s="11" t="s">
        <v>74</v>
      </c>
      <c r="C51" s="19">
        <v>200</v>
      </c>
      <c r="D51"/>
      <c r="E51"/>
      <c r="G51" s="31">
        <v>50</v>
      </c>
      <c r="H51" s="24">
        <v>146179.29255811722</v>
      </c>
      <c r="I51" s="24">
        <v>-37961.199782993965</v>
      </c>
      <c r="J51" s="24">
        <v>108218.09277512325</v>
      </c>
    </row>
    <row r="52" spans="1:10" ht="15.75" customHeight="1" x14ac:dyDescent="0.6">
      <c r="B52" s="11" t="s">
        <v>95</v>
      </c>
      <c r="C52" s="24">
        <f>INDEX(C20:C28,MATCH(C51,B20:B28))</f>
        <v>75.87</v>
      </c>
      <c r="D52" s="45" t="s">
        <v>123</v>
      </c>
      <c r="E52"/>
      <c r="G52" s="31">
        <v>75</v>
      </c>
      <c r="H52" s="24">
        <v>133679.29255811722</v>
      </c>
      <c r="I52" s="24">
        <v>-37961.199782993965</v>
      </c>
      <c r="J52" s="24">
        <v>95718.092775123252</v>
      </c>
    </row>
    <row r="53" spans="1:10" ht="15.75" customHeight="1" x14ac:dyDescent="0.6">
      <c r="B53" s="11" t="s">
        <v>173</v>
      </c>
      <c r="C53" s="24">
        <f>-(C52*C49*C41)</f>
        <v>-37935</v>
      </c>
      <c r="D53" s="45" t="s">
        <v>188</v>
      </c>
      <c r="E53"/>
      <c r="G53" s="31">
        <v>100</v>
      </c>
      <c r="H53" s="24">
        <v>121179.29255811723</v>
      </c>
      <c r="I53" s="24">
        <v>-37961.199782993965</v>
      </c>
      <c r="J53" s="24">
        <v>83218.092775123267</v>
      </c>
    </row>
    <row r="54" spans="1:10" ht="15.75" customHeight="1" x14ac:dyDescent="0.6">
      <c r="B54" s="11" t="s">
        <v>94</v>
      </c>
      <c r="C54" s="24">
        <f>(MAX(C39-C51,0)*(C49*C41))+(C53*EXP(C40*C36))</f>
        <v>112038.80021700604</v>
      </c>
      <c r="D54" s="46"/>
      <c r="E54"/>
      <c r="G54" s="31">
        <v>125</v>
      </c>
      <c r="H54" s="24">
        <v>108679.29255811723</v>
      </c>
      <c r="I54" s="24">
        <v>-37961.199782993965</v>
      </c>
      <c r="J54" s="24">
        <v>70718.092775123267</v>
      </c>
    </row>
    <row r="55" spans="1:10" ht="15.75" customHeight="1" x14ac:dyDescent="0.35">
      <c r="D55" s="45"/>
      <c r="G55" s="31">
        <v>150</v>
      </c>
      <c r="H55" s="24">
        <v>96179.292558117231</v>
      </c>
      <c r="I55" s="24">
        <v>-37961.199782993965</v>
      </c>
      <c r="J55" s="24">
        <v>58218.092775123267</v>
      </c>
    </row>
    <row r="56" spans="1:10" ht="15.75" customHeight="1" x14ac:dyDescent="0.6">
      <c r="A56" s="79" t="s">
        <v>121</v>
      </c>
      <c r="B56" s="39" t="s">
        <v>80</v>
      </c>
      <c r="C56" s="25">
        <f>SUM(C45,C54)</f>
        <v>33218.092775123267</v>
      </c>
      <c r="D56"/>
      <c r="G56" s="31">
        <v>175</v>
      </c>
      <c r="H56" s="24">
        <v>83679.292558117231</v>
      </c>
      <c r="I56" s="24">
        <v>-37961.199782993965</v>
      </c>
      <c r="J56" s="24">
        <v>45718.092775123267</v>
      </c>
    </row>
    <row r="57" spans="1:10" ht="15.75" customHeight="1" x14ac:dyDescent="0.6">
      <c r="B57"/>
      <c r="C57"/>
      <c r="D57"/>
      <c r="G57" s="31">
        <v>200</v>
      </c>
      <c r="H57" s="24">
        <v>71179.292558117231</v>
      </c>
      <c r="I57" s="24">
        <v>-37961.199782993965</v>
      </c>
      <c r="J57" s="24">
        <v>33218.092775123267</v>
      </c>
    </row>
    <row r="58" spans="1:10" ht="15.75" customHeight="1" x14ac:dyDescent="0.6">
      <c r="D58"/>
      <c r="G58" s="31">
        <v>225</v>
      </c>
      <c r="H58" s="24">
        <v>58679.292558117224</v>
      </c>
      <c r="I58" s="24">
        <v>-25461.199782993965</v>
      </c>
      <c r="J58" s="24">
        <v>33218.092775123259</v>
      </c>
    </row>
    <row r="59" spans="1:10" ht="15.75" customHeight="1" x14ac:dyDescent="0.6">
      <c r="B59"/>
      <c r="C59"/>
      <c r="D59"/>
      <c r="G59" s="31">
        <v>250</v>
      </c>
      <c r="H59" s="24">
        <v>46179.292558117224</v>
      </c>
      <c r="I59" s="24">
        <v>-12961.199782993965</v>
      </c>
      <c r="J59" s="24">
        <v>33218.092775123259</v>
      </c>
    </row>
    <row r="60" spans="1:10" ht="15.75" customHeight="1" x14ac:dyDescent="0.35">
      <c r="G60" s="31">
        <v>275</v>
      </c>
      <c r="H60" s="24">
        <v>33679.292558117224</v>
      </c>
      <c r="I60" s="24">
        <v>-461.19978299396462</v>
      </c>
      <c r="J60" s="24">
        <v>33218.092775123259</v>
      </c>
    </row>
    <row r="61" spans="1:10" ht="15.75" customHeight="1" x14ac:dyDescent="0.35">
      <c r="G61" s="31">
        <v>300</v>
      </c>
      <c r="H61" s="24">
        <v>21179.292558117224</v>
      </c>
      <c r="I61" s="24">
        <v>12038.800217006035</v>
      </c>
      <c r="J61" s="24">
        <v>33218.092775123259</v>
      </c>
    </row>
    <row r="62" spans="1:10" ht="15.75" customHeight="1" x14ac:dyDescent="0.35">
      <c r="G62" s="31">
        <v>325</v>
      </c>
      <c r="H62" s="24">
        <v>8679.2925581172258</v>
      </c>
      <c r="I62" s="24">
        <v>24538.800217006035</v>
      </c>
      <c r="J62" s="24">
        <v>33218.092775123259</v>
      </c>
    </row>
    <row r="63" spans="1:10" ht="15.75" customHeight="1" x14ac:dyDescent="0.35">
      <c r="G63" s="31">
        <v>350</v>
      </c>
      <c r="H63" s="24">
        <v>-3820.7074418827742</v>
      </c>
      <c r="I63" s="24">
        <v>37038.800217006035</v>
      </c>
      <c r="J63" s="24">
        <v>33218.092775123259</v>
      </c>
    </row>
    <row r="64" spans="1:10" ht="15.75" customHeight="1" x14ac:dyDescent="0.35">
      <c r="G64" s="31">
        <v>375</v>
      </c>
      <c r="H64" s="24">
        <v>-16320.707441882774</v>
      </c>
      <c r="I64" s="24">
        <v>49538.800217006035</v>
      </c>
      <c r="J64" s="24">
        <v>33218.092775123259</v>
      </c>
    </row>
    <row r="65" spans="7:10" ht="15.75" customHeight="1" x14ac:dyDescent="0.35">
      <c r="G65" s="31">
        <v>400</v>
      </c>
      <c r="H65" s="24">
        <v>-28820.707441882776</v>
      </c>
      <c r="I65" s="24">
        <v>62038.800217006035</v>
      </c>
      <c r="J65" s="24">
        <v>33218.092775123259</v>
      </c>
    </row>
    <row r="66" spans="7:10" ht="15.75" customHeight="1" x14ac:dyDescent="0.35">
      <c r="G66" s="31">
        <v>425</v>
      </c>
      <c r="H66" s="24">
        <v>-41320.707441882776</v>
      </c>
      <c r="I66" s="24">
        <v>74538.800217006035</v>
      </c>
      <c r="J66" s="24">
        <v>33218.092775123259</v>
      </c>
    </row>
    <row r="67" spans="7:10" ht="15.75" customHeight="1" x14ac:dyDescent="0.35">
      <c r="G67" s="31">
        <v>450</v>
      </c>
      <c r="H67" s="24">
        <v>-53820.707441882776</v>
      </c>
      <c r="I67" s="24">
        <v>87038.800217006035</v>
      </c>
      <c r="J67" s="24">
        <v>33218.092775123259</v>
      </c>
    </row>
    <row r="68" spans="7:10" ht="15.75" customHeight="1" x14ac:dyDescent="0.35">
      <c r="G68" s="31">
        <v>475</v>
      </c>
      <c r="H68" s="24">
        <v>-66320.707441882769</v>
      </c>
      <c r="I68" s="24">
        <v>99538.800217006035</v>
      </c>
      <c r="J68" s="24">
        <v>33218.092775123267</v>
      </c>
    </row>
    <row r="69" spans="7:10" ht="15.75" customHeight="1" x14ac:dyDescent="0.35">
      <c r="G69" s="31">
        <v>500</v>
      </c>
      <c r="H69" s="24">
        <v>-78820.707441882769</v>
      </c>
      <c r="I69" s="24">
        <v>112038.80021700604</v>
      </c>
      <c r="J69" s="24">
        <v>33218.092775123267</v>
      </c>
    </row>
    <row r="70" spans="7:10" ht="15.75" customHeight="1" x14ac:dyDescent="0.35"/>
    <row r="71" spans="7:10" ht="15.75" customHeight="1" x14ac:dyDescent="0.35"/>
    <row r="72" spans="7:10" ht="15.75" customHeight="1" x14ac:dyDescent="0.35"/>
    <row r="73" spans="7:10" ht="15.75" customHeight="1" x14ac:dyDescent="0.35"/>
    <row r="74" spans="7:10" ht="15.75" customHeight="1" x14ac:dyDescent="0.35"/>
    <row r="75" spans="7:10" ht="15.75" customHeight="1" x14ac:dyDescent="0.35"/>
    <row r="1000" spans="648:648" x14ac:dyDescent="0.35">
      <c r="XX1000" s="86">
        <v>19016</v>
      </c>
    </row>
  </sheetData>
  <printOptions horizontalCentered="1" verticalCentered="1" headings="1"/>
  <pageMargins left="0.25" right="0.25" top="0.75" bottom="0.75" header="0.3" footer="0.3"/>
  <pageSetup scale="46" orientation="landscape" horizontalDpi="4294967295" verticalDpi="4294967295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774A7E-E9A9-426F-9DDB-A25E1292E771}">
          <x14:formula1>
            <xm:f>'Data Validation'!$A$12:$A$13</xm:f>
          </x14:formula1>
          <xm:sqref>C50</xm:sqref>
        </x14:dataValidation>
        <x14:dataValidation type="list" allowBlank="1" showInputMessage="1" showErrorMessage="1" xr:uid="{84A68857-E9B5-4B00-9C0E-4F09052D1364}">
          <x14:formula1>
            <xm:f>'Data Validation'!$A$16:$A$24</xm:f>
          </x14:formula1>
          <xm:sqref>C51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5787-9C25-48A2-BC20-9EBECF8B0800}">
  <sheetPr>
    <pageSetUpPr fitToPage="1"/>
  </sheetPr>
  <dimension ref="A1:XX1000"/>
  <sheetViews>
    <sheetView showGridLines="0" topLeftCell="A25" zoomScale="70" zoomScaleNormal="70" workbookViewId="0">
      <selection activeCell="F57" sqref="F57"/>
    </sheetView>
  </sheetViews>
  <sheetFormatPr defaultColWidth="9.09765625" defaultRowHeight="15.5" x14ac:dyDescent="0.35"/>
  <cols>
    <col min="1" max="1" width="3" style="79" customWidth="1"/>
    <col min="2" max="2" width="15.75" style="11" customWidth="1"/>
    <col min="3" max="3" width="10.25" style="11" customWidth="1"/>
    <col min="4" max="4" width="15.3984375" style="11" customWidth="1"/>
    <col min="5" max="6" width="11.59765625" style="11" customWidth="1"/>
    <col min="7" max="8" width="10.59765625" style="11" customWidth="1"/>
    <col min="9" max="9" width="9.09765625" style="11"/>
    <col min="10" max="10" width="10" style="11" bestFit="1" customWidth="1"/>
    <col min="11" max="11" width="10.09765625" style="11" bestFit="1" customWidth="1"/>
    <col min="12" max="12" width="10.296875" style="11" bestFit="1" customWidth="1"/>
    <col min="13" max="13" width="10.34765625" style="11" bestFit="1" customWidth="1"/>
    <col min="14" max="14" width="10.34765625" style="11" customWidth="1"/>
    <col min="15" max="16384" width="9.09765625" style="11"/>
  </cols>
  <sheetData>
    <row r="1" spans="1:9" s="79" customFormat="1" x14ac:dyDescent="0.35"/>
    <row r="2" spans="1:9" s="9" customFormat="1" ht="17.5" x14ac:dyDescent="0.35">
      <c r="A2" s="77"/>
      <c r="B2" s="9" t="s">
        <v>102</v>
      </c>
    </row>
    <row r="4" spans="1:9" x14ac:dyDescent="0.35">
      <c r="A4" s="79" t="s">
        <v>121</v>
      </c>
      <c r="B4" s="11" t="s">
        <v>103</v>
      </c>
    </row>
    <row r="5" spans="1:9" x14ac:dyDescent="0.35">
      <c r="B5" s="11" t="s">
        <v>158</v>
      </c>
    </row>
    <row r="6" spans="1:9" x14ac:dyDescent="0.35">
      <c r="B6" s="11" t="s">
        <v>159</v>
      </c>
    </row>
    <row r="7" spans="1:9" x14ac:dyDescent="0.35">
      <c r="B7" s="11" t="s">
        <v>161</v>
      </c>
    </row>
    <row r="8" spans="1:9" x14ac:dyDescent="0.35">
      <c r="B8" s="11" t="s">
        <v>166</v>
      </c>
    </row>
    <row r="10" spans="1:9" x14ac:dyDescent="0.35">
      <c r="B10" s="11" t="s">
        <v>178</v>
      </c>
    </row>
    <row r="11" spans="1:9" x14ac:dyDescent="0.35">
      <c r="B11" s="11" t="s">
        <v>157</v>
      </c>
    </row>
    <row r="12" spans="1:9" x14ac:dyDescent="0.35">
      <c r="B12" s="11" t="s">
        <v>179</v>
      </c>
      <c r="I12" s="11" t="s">
        <v>239</v>
      </c>
    </row>
    <row r="14" spans="1:9" x14ac:dyDescent="0.35">
      <c r="B14" s="11" t="s">
        <v>13</v>
      </c>
    </row>
    <row r="15" spans="1:9" x14ac:dyDescent="0.35">
      <c r="B15" s="11" t="s">
        <v>11</v>
      </c>
    </row>
    <row r="16" spans="1:9" x14ac:dyDescent="0.35">
      <c r="B16" s="11" t="s">
        <v>82</v>
      </c>
    </row>
    <row r="17" spans="1:14" x14ac:dyDescent="0.35">
      <c r="B17" s="11" t="s">
        <v>32</v>
      </c>
    </row>
    <row r="19" spans="1:14" x14ac:dyDescent="0.35">
      <c r="B19" s="83" t="s">
        <v>167</v>
      </c>
    </row>
    <row r="20" spans="1:14" x14ac:dyDescent="0.35">
      <c r="B20" s="11" t="s">
        <v>160</v>
      </c>
    </row>
    <row r="21" spans="1:14" x14ac:dyDescent="0.35">
      <c r="B21" s="11" t="s">
        <v>189</v>
      </c>
      <c r="I21" s="14" t="s">
        <v>118</v>
      </c>
      <c r="J21" s="14"/>
      <c r="K21" s="14"/>
      <c r="L21" s="14"/>
      <c r="M21" s="14"/>
      <c r="N21" s="14"/>
    </row>
    <row r="22" spans="1:14" x14ac:dyDescent="0.35">
      <c r="J22" s="93" t="str">
        <f>B53</f>
        <v>Put A - lower strike</v>
      </c>
      <c r="K22" s="93" t="str">
        <f>$B$54</f>
        <v>Put B - higher strike</v>
      </c>
      <c r="L22" s="93" t="str">
        <f>$B$55</f>
        <v>Call A - lower strike</v>
      </c>
      <c r="M22" s="93" t="str">
        <f>$B$56</f>
        <v>Call B - higher strike</v>
      </c>
      <c r="N22" s="94" t="s">
        <v>39</v>
      </c>
    </row>
    <row r="23" spans="1:14" x14ac:dyDescent="0.35">
      <c r="J23" s="47">
        <f>G53</f>
        <v>-2027.2156789383814</v>
      </c>
      <c r="K23" s="47">
        <f>G54</f>
        <v>2664.6032057948505</v>
      </c>
      <c r="L23" s="47">
        <f>G55</f>
        <v>4054.4313578767628</v>
      </c>
      <c r="M23" s="47">
        <f>G56</f>
        <v>-2268.0729873271007</v>
      </c>
      <c r="N23" s="47">
        <f>G57</f>
        <v>2423.7458974061315</v>
      </c>
    </row>
    <row r="24" spans="1:14" x14ac:dyDescent="0.35">
      <c r="A24" s="79" t="s">
        <v>121</v>
      </c>
      <c r="B24" s="48" t="s">
        <v>86</v>
      </c>
      <c r="C24" s="48" t="s">
        <v>104</v>
      </c>
      <c r="D24" s="48" t="s">
        <v>107</v>
      </c>
      <c r="E24" s="48" t="s">
        <v>105</v>
      </c>
      <c r="F24" s="48" t="s">
        <v>106</v>
      </c>
      <c r="I24" s="31">
        <v>55</v>
      </c>
      <c r="J24" s="24">
        <f t="dataTable" ref="J24:N53" dt2D="0" dtr="0" r1="C49"/>
        <v>17972.784321061619</v>
      </c>
      <c r="K24" s="24">
        <v>-21335.396794205149</v>
      </c>
      <c r="L24" s="24">
        <v>4054.4313578767628</v>
      </c>
      <c r="M24" s="24">
        <v>-2268.0729873271007</v>
      </c>
      <c r="N24" s="24">
        <v>-1576.2541025938681</v>
      </c>
    </row>
    <row r="25" spans="1:14" x14ac:dyDescent="0.35">
      <c r="B25" s="49"/>
      <c r="C25" s="49"/>
      <c r="D25" s="50"/>
      <c r="E25" s="49"/>
      <c r="F25" s="50"/>
      <c r="I25" s="31">
        <v>60</v>
      </c>
      <c r="J25" s="24">
        <v>15972.784321061619</v>
      </c>
      <c r="K25" s="24">
        <v>-19335.396794205149</v>
      </c>
      <c r="L25" s="24">
        <v>4054.4313578767628</v>
      </c>
      <c r="M25" s="24">
        <v>-2268.0729873271007</v>
      </c>
      <c r="N25" s="24">
        <v>-1576.2541025938681</v>
      </c>
    </row>
    <row r="26" spans="1:14" x14ac:dyDescent="0.35">
      <c r="B26" s="49"/>
      <c r="C26" s="49"/>
      <c r="D26" s="50"/>
      <c r="E26" s="49"/>
      <c r="F26" s="50"/>
      <c r="I26" s="31">
        <v>65</v>
      </c>
      <c r="J26" s="24">
        <v>13972.784321061619</v>
      </c>
      <c r="K26" s="24">
        <v>-17335.396794205149</v>
      </c>
      <c r="L26" s="24">
        <v>4054.4313578767628</v>
      </c>
      <c r="M26" s="24">
        <v>-2268.0729873271007</v>
      </c>
      <c r="N26" s="24">
        <v>-1576.2541025938681</v>
      </c>
    </row>
    <row r="27" spans="1:14" x14ac:dyDescent="0.35">
      <c r="B27" s="49"/>
      <c r="C27" s="49"/>
      <c r="D27" s="50"/>
      <c r="E27" s="49"/>
      <c r="F27" s="50"/>
      <c r="I27" s="31">
        <v>70</v>
      </c>
      <c r="J27" s="24">
        <v>11972.784321061619</v>
      </c>
      <c r="K27" s="24">
        <v>-15335.396794205149</v>
      </c>
      <c r="L27" s="24">
        <v>4054.4313578767628</v>
      </c>
      <c r="M27" s="24">
        <v>-2268.0729873271007</v>
      </c>
      <c r="N27" s="24">
        <v>-1576.2541025938681</v>
      </c>
    </row>
    <row r="28" spans="1:14" x14ac:dyDescent="0.35">
      <c r="B28" s="49">
        <v>105</v>
      </c>
      <c r="C28" s="49">
        <v>20.5</v>
      </c>
      <c r="D28" s="50">
        <v>0.42130000000000001</v>
      </c>
      <c r="E28" s="49">
        <v>5.05</v>
      </c>
      <c r="F28" s="50">
        <v>0.40810000000000002</v>
      </c>
      <c r="I28" s="31">
        <v>75</v>
      </c>
      <c r="J28" s="24">
        <v>9972.7843210616193</v>
      </c>
      <c r="K28" s="24">
        <v>-13335.396794205149</v>
      </c>
      <c r="L28" s="24">
        <v>4054.4313578767628</v>
      </c>
      <c r="M28" s="24">
        <v>-2268.0729873271007</v>
      </c>
      <c r="N28" s="24">
        <v>-1576.2541025938681</v>
      </c>
    </row>
    <row r="29" spans="1:14" x14ac:dyDescent="0.35">
      <c r="B29" s="49"/>
      <c r="C29" s="49"/>
      <c r="D29" s="50"/>
      <c r="E29" s="49"/>
      <c r="F29" s="50"/>
      <c r="I29" s="31">
        <v>80</v>
      </c>
      <c r="J29" s="24">
        <v>7972.7843210616184</v>
      </c>
      <c r="K29" s="24">
        <v>-11335.396794205149</v>
      </c>
      <c r="L29" s="24">
        <v>4054.4313578767628</v>
      </c>
      <c r="M29" s="24">
        <v>-2268.0729873271007</v>
      </c>
      <c r="N29" s="24">
        <v>-1576.254102593869</v>
      </c>
    </row>
    <row r="30" spans="1:14" x14ac:dyDescent="0.35">
      <c r="B30" s="49">
        <v>110</v>
      </c>
      <c r="C30" s="49">
        <v>17.3</v>
      </c>
      <c r="D30" s="50">
        <v>0.4153</v>
      </c>
      <c r="E30" s="49">
        <v>6.9</v>
      </c>
      <c r="F30" s="50">
        <v>0.4052</v>
      </c>
      <c r="I30" s="31">
        <v>85</v>
      </c>
      <c r="J30" s="24">
        <v>5972.7843210616184</v>
      </c>
      <c r="K30" s="24">
        <v>-9335.3967942051495</v>
      </c>
      <c r="L30" s="24">
        <v>4054.4313578767628</v>
      </c>
      <c r="M30" s="24">
        <v>-2268.0729873271007</v>
      </c>
      <c r="N30" s="24">
        <v>-1576.254102593869</v>
      </c>
    </row>
    <row r="31" spans="1:14" x14ac:dyDescent="0.35">
      <c r="B31" s="49"/>
      <c r="C31" s="49"/>
      <c r="D31" s="50"/>
      <c r="E31" s="49"/>
      <c r="F31" s="50"/>
      <c r="I31" s="31">
        <v>90</v>
      </c>
      <c r="J31" s="24">
        <v>3972.7843210616184</v>
      </c>
      <c r="K31" s="24">
        <v>-7335.3967942051495</v>
      </c>
      <c r="L31" s="24">
        <v>4054.4313578767628</v>
      </c>
      <c r="M31" s="24">
        <v>-2268.0729873271007</v>
      </c>
      <c r="N31" s="24">
        <v>-1576.254102593869</v>
      </c>
    </row>
    <row r="32" spans="1:14" x14ac:dyDescent="0.35">
      <c r="B32" s="49">
        <v>115</v>
      </c>
      <c r="C32" s="49">
        <v>14.73</v>
      </c>
      <c r="D32" s="50">
        <v>0.41220000000000001</v>
      </c>
      <c r="E32" s="49">
        <v>8.9</v>
      </c>
      <c r="F32" s="50">
        <v>0.40279999999999999</v>
      </c>
      <c r="I32" s="31">
        <v>95</v>
      </c>
      <c r="J32" s="24">
        <v>1972.7843210616186</v>
      </c>
      <c r="K32" s="24">
        <v>-5335.3967942051495</v>
      </c>
      <c r="L32" s="24">
        <v>4054.4313578767628</v>
      </c>
      <c r="M32" s="24">
        <v>-2268.0729873271007</v>
      </c>
      <c r="N32" s="24">
        <v>-1576.254102593869</v>
      </c>
    </row>
    <row r="33" spans="1:14" x14ac:dyDescent="0.35">
      <c r="B33" s="49"/>
      <c r="C33" s="49"/>
      <c r="D33" s="50"/>
      <c r="E33" s="49"/>
      <c r="F33" s="50"/>
      <c r="I33" s="31">
        <v>100</v>
      </c>
      <c r="J33" s="24">
        <v>-27.215678938381416</v>
      </c>
      <c r="K33" s="24">
        <v>-3335.3967942051495</v>
      </c>
      <c r="L33" s="24">
        <v>4054.4313578767628</v>
      </c>
      <c r="M33" s="24">
        <v>-2268.0729873271007</v>
      </c>
      <c r="N33" s="24">
        <v>-1576.254102593869</v>
      </c>
    </row>
    <row r="34" spans="1:14" x14ac:dyDescent="0.35">
      <c r="B34" s="49">
        <v>120</v>
      </c>
      <c r="C34" s="49">
        <v>12.2</v>
      </c>
      <c r="D34" s="50">
        <v>0.40970000000000001</v>
      </c>
      <c r="E34" s="49">
        <v>11.62</v>
      </c>
      <c r="F34" s="50">
        <v>0.40050000000000002</v>
      </c>
      <c r="I34" s="31">
        <v>105</v>
      </c>
      <c r="J34" s="24">
        <v>-2027.2156789383814</v>
      </c>
      <c r="K34" s="24">
        <v>-1335.3967942051495</v>
      </c>
      <c r="L34" s="24">
        <v>4054.4313578767628</v>
      </c>
      <c r="M34" s="24">
        <v>-2268.0729873271007</v>
      </c>
      <c r="N34" s="24">
        <v>-1576.254102593869</v>
      </c>
    </row>
    <row r="35" spans="1:14" x14ac:dyDescent="0.35">
      <c r="B35" s="49"/>
      <c r="C35" s="49"/>
      <c r="D35" s="50"/>
      <c r="E35" s="49"/>
      <c r="F35" s="50"/>
      <c r="I35" s="31">
        <v>110</v>
      </c>
      <c r="J35" s="24">
        <v>-2027.2156789383814</v>
      </c>
      <c r="K35" s="24">
        <v>664.60320579485051</v>
      </c>
      <c r="L35" s="24">
        <v>4054.4313578767628</v>
      </c>
      <c r="M35" s="24">
        <v>-2268.0729873271007</v>
      </c>
      <c r="N35" s="24">
        <v>423.74589740613146</v>
      </c>
    </row>
    <row r="36" spans="1:14" x14ac:dyDescent="0.35">
      <c r="B36" s="49">
        <v>125</v>
      </c>
      <c r="C36" s="49">
        <v>10.1</v>
      </c>
      <c r="D36" s="50">
        <v>0.4098</v>
      </c>
      <c r="E36" s="49">
        <v>14.35</v>
      </c>
      <c r="F36" s="50">
        <v>0.40229999999999999</v>
      </c>
      <c r="I36" s="31">
        <v>115</v>
      </c>
      <c r="J36" s="24">
        <v>-2027.2156789383814</v>
      </c>
      <c r="K36" s="24">
        <v>2664.6032057948505</v>
      </c>
      <c r="L36" s="24">
        <v>4054.4313578767628</v>
      </c>
      <c r="M36" s="24">
        <v>-2268.0729873271007</v>
      </c>
      <c r="N36" s="24">
        <v>2423.7458974061315</v>
      </c>
    </row>
    <row r="37" spans="1:14" x14ac:dyDescent="0.35">
      <c r="B37" s="49"/>
      <c r="C37" s="49"/>
      <c r="D37" s="50"/>
      <c r="E37" s="49"/>
      <c r="F37" s="50"/>
      <c r="I37" s="31">
        <v>120</v>
      </c>
      <c r="J37" s="24">
        <v>-2027.2156789383814</v>
      </c>
      <c r="K37" s="24">
        <v>4664.6032057948505</v>
      </c>
      <c r="L37" s="24">
        <v>4054.4313578767628</v>
      </c>
      <c r="M37" s="24">
        <v>-2268.0729873271007</v>
      </c>
      <c r="N37" s="24">
        <v>4423.7458974061301</v>
      </c>
    </row>
    <row r="38" spans="1:14" x14ac:dyDescent="0.35">
      <c r="B38" s="49">
        <v>130</v>
      </c>
      <c r="C38" s="49">
        <v>8.35</v>
      </c>
      <c r="D38" s="50">
        <v>0.4133</v>
      </c>
      <c r="E38" s="49">
        <v>17.7</v>
      </c>
      <c r="F38" s="50">
        <v>0.40250000000000002</v>
      </c>
      <c r="I38" s="31">
        <v>125</v>
      </c>
      <c r="J38" s="24">
        <v>-2027.2156789383814</v>
      </c>
      <c r="K38" s="24">
        <v>4664.6032057948505</v>
      </c>
      <c r="L38" s="24">
        <v>4054.4313578767628</v>
      </c>
      <c r="M38" s="24">
        <v>-2268.0729873271007</v>
      </c>
      <c r="N38" s="24">
        <v>4423.7458974061301</v>
      </c>
    </row>
    <row r="39" spans="1:14" x14ac:dyDescent="0.35">
      <c r="B39" s="49"/>
      <c r="C39" s="49"/>
      <c r="D39" s="50"/>
      <c r="E39" s="49"/>
      <c r="F39" s="50"/>
      <c r="I39" s="31">
        <v>130</v>
      </c>
      <c r="J39" s="24">
        <v>-2027.2156789383814</v>
      </c>
      <c r="K39" s="24">
        <v>4664.6032057948505</v>
      </c>
      <c r="L39" s="24">
        <v>2054.4313578767628</v>
      </c>
      <c r="M39" s="24">
        <v>-2268.0729873271007</v>
      </c>
      <c r="N39" s="24">
        <v>2423.7458974061306</v>
      </c>
    </row>
    <row r="40" spans="1:14" x14ac:dyDescent="0.35">
      <c r="B40" s="49">
        <v>135</v>
      </c>
      <c r="C40" s="49">
        <v>7.05</v>
      </c>
      <c r="D40" s="50">
        <v>0.4143</v>
      </c>
      <c r="E40" s="49">
        <v>20.65</v>
      </c>
      <c r="F40" s="50">
        <v>0.40489999999999998</v>
      </c>
      <c r="I40" s="31">
        <v>135</v>
      </c>
      <c r="J40" s="24">
        <v>-2027.2156789383814</v>
      </c>
      <c r="K40" s="24">
        <v>4664.6032057948505</v>
      </c>
      <c r="L40" s="24">
        <v>54.431357876762831</v>
      </c>
      <c r="M40" s="24">
        <v>-2268.0729873271007</v>
      </c>
      <c r="N40" s="24">
        <v>423.74589740613101</v>
      </c>
    </row>
    <row r="41" spans="1:14" x14ac:dyDescent="0.35">
      <c r="B41" s="49"/>
      <c r="C41" s="49"/>
      <c r="D41" s="50"/>
      <c r="E41" s="49"/>
      <c r="F41" s="50"/>
      <c r="I41" s="31">
        <v>140</v>
      </c>
      <c r="J41" s="24">
        <v>-2027.2156789383814</v>
      </c>
      <c r="K41" s="24">
        <v>4664.6032057948505</v>
      </c>
      <c r="L41" s="24">
        <v>-1945.5686421232372</v>
      </c>
      <c r="M41" s="24">
        <v>-2268.0729873271007</v>
      </c>
      <c r="N41" s="24">
        <v>-1576.254102593869</v>
      </c>
    </row>
    <row r="42" spans="1:14" x14ac:dyDescent="0.35">
      <c r="B42" s="49">
        <v>140</v>
      </c>
      <c r="C42" s="49">
        <v>5.65</v>
      </c>
      <c r="D42" s="50">
        <v>0.41570000000000001</v>
      </c>
      <c r="E42" s="49">
        <v>24.5</v>
      </c>
      <c r="F42" s="50">
        <v>0.40570000000000001</v>
      </c>
      <c r="I42" s="31">
        <v>145</v>
      </c>
      <c r="J42" s="24">
        <v>-2027.2156789383814</v>
      </c>
      <c r="K42" s="24">
        <v>4664.6032057948505</v>
      </c>
      <c r="L42" s="24">
        <v>-3945.5686421232372</v>
      </c>
      <c r="M42" s="24">
        <v>-268.07298732710069</v>
      </c>
      <c r="N42" s="24">
        <v>-1576.254102593869</v>
      </c>
    </row>
    <row r="43" spans="1:14" x14ac:dyDescent="0.35">
      <c r="F43" s="40"/>
      <c r="I43" s="31">
        <v>150</v>
      </c>
      <c r="J43" s="24">
        <v>-2027.2156789383814</v>
      </c>
      <c r="K43" s="24">
        <v>4664.6032057948505</v>
      </c>
      <c r="L43" s="24">
        <v>-5945.5686421232367</v>
      </c>
      <c r="M43" s="24">
        <v>1731.9270126728993</v>
      </c>
      <c r="N43" s="24">
        <v>-1576.2541025938685</v>
      </c>
    </row>
    <row r="44" spans="1:14" x14ac:dyDescent="0.35">
      <c r="A44" s="79" t="s">
        <v>121</v>
      </c>
      <c r="B44" s="11" t="s">
        <v>108</v>
      </c>
      <c r="C44" s="13">
        <v>44501</v>
      </c>
      <c r="E44" s="61" t="s">
        <v>119</v>
      </c>
      <c r="F44" s="62"/>
      <c r="I44" s="31">
        <v>155</v>
      </c>
      <c r="J44" s="24">
        <v>-2027.2156789383814</v>
      </c>
      <c r="K44" s="24">
        <v>4664.6032057948505</v>
      </c>
      <c r="L44" s="24">
        <v>-7945.5686421232367</v>
      </c>
      <c r="M44" s="24">
        <v>3731.9270126728993</v>
      </c>
      <c r="N44" s="24">
        <v>-1576.2541025938685</v>
      </c>
    </row>
    <row r="45" spans="1:14" x14ac:dyDescent="0.35">
      <c r="B45" s="11" t="s">
        <v>109</v>
      </c>
      <c r="C45" s="13">
        <v>44638</v>
      </c>
      <c r="E45" s="11" t="s">
        <v>113</v>
      </c>
      <c r="F45" s="25">
        <f>-(D53*EXP(C46*C47))*(C50*E53)</f>
        <v>-2027.2156789383814</v>
      </c>
      <c r="I45" s="31">
        <v>160</v>
      </c>
      <c r="J45" s="24">
        <v>-2027.2156789383814</v>
      </c>
      <c r="K45" s="24">
        <v>4664.6032057948505</v>
      </c>
      <c r="L45" s="24">
        <v>-9945.5686421232367</v>
      </c>
      <c r="M45" s="24">
        <v>5731.9270126728989</v>
      </c>
      <c r="N45" s="24">
        <v>-1576.254102593869</v>
      </c>
    </row>
    <row r="46" spans="1:14" x14ac:dyDescent="0.35">
      <c r="B46" s="11" t="s">
        <v>110</v>
      </c>
      <c r="C46" s="16">
        <f>YEARFRAC(C44,C45,1)</f>
        <v>0.37534246575342467</v>
      </c>
      <c r="E46" s="11" t="s">
        <v>114</v>
      </c>
      <c r="F46" s="25">
        <f>(D54*EXP(C46*C47))*(E54*C50)</f>
        <v>4664.6032057948505</v>
      </c>
      <c r="I46" s="31">
        <v>165</v>
      </c>
      <c r="J46" s="24">
        <v>-2027.2156789383814</v>
      </c>
      <c r="K46" s="24">
        <v>4664.6032057948505</v>
      </c>
      <c r="L46" s="24">
        <v>-11945.568642123237</v>
      </c>
      <c r="M46" s="24">
        <v>7731.9270126728989</v>
      </c>
      <c r="N46" s="24">
        <v>-1576.2541025938699</v>
      </c>
    </row>
    <row r="47" spans="1:14" x14ac:dyDescent="0.35">
      <c r="B47" s="11" t="s">
        <v>111</v>
      </c>
      <c r="C47" s="27">
        <v>9.4999999999999998E-3</v>
      </c>
      <c r="E47" s="11" t="s">
        <v>162</v>
      </c>
      <c r="F47" s="25">
        <f>(D55*EXP(C46*C47))*(E55*C50)</f>
        <v>4054.4313578767628</v>
      </c>
      <c r="I47" s="31">
        <v>170</v>
      </c>
      <c r="J47" s="24">
        <v>-2027.2156789383814</v>
      </c>
      <c r="K47" s="24">
        <v>4664.6032057948505</v>
      </c>
      <c r="L47" s="24">
        <v>-13945.568642123237</v>
      </c>
      <c r="M47" s="24">
        <v>9731.9270126728989</v>
      </c>
      <c r="N47" s="24">
        <v>-1576.2541025938699</v>
      </c>
    </row>
    <row r="48" spans="1:14" ht="16" thickBot="1" x14ac:dyDescent="0.4">
      <c r="B48" s="11" t="s">
        <v>112</v>
      </c>
      <c r="C48" s="19">
        <v>120.23</v>
      </c>
      <c r="E48" s="60" t="s">
        <v>163</v>
      </c>
      <c r="F48" s="35">
        <f>-(D56*EXP(C46*C47))*(C50*E56)</f>
        <v>-2268.0729873271007</v>
      </c>
      <c r="I48" s="31">
        <v>175</v>
      </c>
      <c r="J48" s="24">
        <v>-2027.2156789383814</v>
      </c>
      <c r="K48" s="24">
        <v>4664.6032057948505</v>
      </c>
      <c r="L48" s="24">
        <v>-15945.568642123237</v>
      </c>
      <c r="M48" s="24">
        <v>11731.927012672899</v>
      </c>
      <c r="N48" s="24">
        <v>-1576.2541025938699</v>
      </c>
    </row>
    <row r="49" spans="1:14" ht="16" thickTop="1" x14ac:dyDescent="0.35">
      <c r="B49" s="11" t="s">
        <v>23</v>
      </c>
      <c r="C49" s="19">
        <v>115</v>
      </c>
      <c r="E49" s="11" t="s">
        <v>164</v>
      </c>
      <c r="F49" s="25">
        <f>SUM(F45:F48)</f>
        <v>4423.7458974061301</v>
      </c>
      <c r="G49" s="45"/>
      <c r="I49" s="31">
        <v>180</v>
      </c>
      <c r="J49" s="24">
        <v>-2027.2156789383814</v>
      </c>
      <c r="K49" s="24">
        <v>4664.6032057948505</v>
      </c>
      <c r="L49" s="24">
        <v>-17945.568642123239</v>
      </c>
      <c r="M49" s="24">
        <v>13731.927012672899</v>
      </c>
      <c r="N49" s="24">
        <v>-1576.2541025938699</v>
      </c>
    </row>
    <row r="50" spans="1:14" x14ac:dyDescent="0.35">
      <c r="B50" s="11" t="s">
        <v>26</v>
      </c>
      <c r="C50" s="23">
        <v>100</v>
      </c>
      <c r="I50" s="31">
        <v>185</v>
      </c>
      <c r="J50" s="24">
        <v>-2027.2156789383814</v>
      </c>
      <c r="K50" s="24">
        <v>4664.6032057948505</v>
      </c>
      <c r="L50" s="24">
        <v>-19945.568642123239</v>
      </c>
      <c r="M50" s="24">
        <v>15731.927012672899</v>
      </c>
      <c r="N50" s="24">
        <v>-1576.2541025938699</v>
      </c>
    </row>
    <row r="51" spans="1:14" x14ac:dyDescent="0.35">
      <c r="I51" s="31">
        <v>190</v>
      </c>
      <c r="J51" s="24">
        <v>-2027.2156789383814</v>
      </c>
      <c r="K51" s="24">
        <v>4664.6032057948505</v>
      </c>
      <c r="L51" s="24">
        <v>-21945.568642123239</v>
      </c>
      <c r="M51" s="24">
        <v>17731.927012672899</v>
      </c>
      <c r="N51" s="24">
        <v>-1576.2541025938699</v>
      </c>
    </row>
    <row r="52" spans="1:14" x14ac:dyDescent="0.35">
      <c r="A52" s="79" t="s">
        <v>121</v>
      </c>
      <c r="B52" s="51"/>
      <c r="C52" s="57" t="s">
        <v>86</v>
      </c>
      <c r="D52" s="57" t="s">
        <v>124</v>
      </c>
      <c r="E52" s="57" t="s">
        <v>115</v>
      </c>
      <c r="F52" s="57" t="s">
        <v>116</v>
      </c>
      <c r="G52" s="57" t="s">
        <v>117</v>
      </c>
      <c r="I52" s="31">
        <v>195</v>
      </c>
      <c r="J52" s="24">
        <v>-2027.2156789383814</v>
      </c>
      <c r="K52" s="24">
        <v>4664.6032057948505</v>
      </c>
      <c r="L52" s="24">
        <v>-23945.568642123239</v>
      </c>
      <c r="M52" s="24">
        <v>19731.927012672899</v>
      </c>
      <c r="N52" s="24">
        <v>-1576.2541025938699</v>
      </c>
    </row>
    <row r="53" spans="1:14" x14ac:dyDescent="0.35">
      <c r="B53" s="55" t="s">
        <v>193</v>
      </c>
      <c r="C53" s="56">
        <v>105</v>
      </c>
      <c r="D53" s="58">
        <f>INDEX($E$28:$E$42,MATCH(C53,$B$28:$B$42))</f>
        <v>5.05</v>
      </c>
      <c r="E53" s="59">
        <v>4</v>
      </c>
      <c r="F53" s="59" t="s">
        <v>72</v>
      </c>
      <c r="G53" s="56">
        <f>(MAX(C53-C49,0)*(E53*C50))+F45</f>
        <v>-2027.2156789383814</v>
      </c>
      <c r="H53" s="17"/>
      <c r="I53" s="31">
        <v>200</v>
      </c>
      <c r="J53" s="24">
        <v>-2027.2156789383814</v>
      </c>
      <c r="K53" s="24">
        <v>4664.6032057948505</v>
      </c>
      <c r="L53" s="24">
        <v>-25945.568642123239</v>
      </c>
      <c r="M53" s="24">
        <v>21731.927012672899</v>
      </c>
      <c r="N53" s="24">
        <v>-1576.2541025938699</v>
      </c>
    </row>
    <row r="54" spans="1:14" x14ac:dyDescent="0.35">
      <c r="B54" s="55" t="s">
        <v>194</v>
      </c>
      <c r="C54" s="56">
        <v>120</v>
      </c>
      <c r="D54" s="58">
        <f>INDEX($E$28:$E$42,MATCH(C54,$B$28:$B$42))</f>
        <v>11.62</v>
      </c>
      <c r="E54" s="59">
        <v>4</v>
      </c>
      <c r="F54" s="59" t="s">
        <v>73</v>
      </c>
      <c r="G54" s="56">
        <f>(MIN(C49-C54,0)*(C50*E54))+F46</f>
        <v>2664.6032057948505</v>
      </c>
      <c r="H54" s="17"/>
      <c r="I54" s="17"/>
      <c r="J54" s="17"/>
    </row>
    <row r="55" spans="1:14" x14ac:dyDescent="0.35">
      <c r="B55" s="55" t="s">
        <v>195</v>
      </c>
      <c r="C55" s="56">
        <v>125</v>
      </c>
      <c r="D55" s="58">
        <f>INDEX($C$28:$C$42,MATCH(C55,$B$28:$B$42))</f>
        <v>10.1</v>
      </c>
      <c r="E55" s="59">
        <v>4</v>
      </c>
      <c r="F55" s="59" t="s">
        <v>73</v>
      </c>
      <c r="G55" s="56">
        <f>(MIN(C55-C49,0)*(C50*E55))+F47</f>
        <v>4054.4313578767628</v>
      </c>
      <c r="H55" s="17"/>
    </row>
    <row r="56" spans="1:14" x14ac:dyDescent="0.35">
      <c r="B56" s="55" t="s">
        <v>196</v>
      </c>
      <c r="C56" s="56">
        <v>140</v>
      </c>
      <c r="D56" s="58">
        <f>INDEX($C$28:$C$42,MATCH(C56,$B$28:$B$42))</f>
        <v>5.65</v>
      </c>
      <c r="E56" s="59">
        <v>4</v>
      </c>
      <c r="F56" s="59" t="s">
        <v>72</v>
      </c>
      <c r="G56" s="56">
        <f>(MAX(C49-C56,0)*(C50*E56))+F48</f>
        <v>-2268.0729873271007</v>
      </c>
      <c r="H56" s="17"/>
    </row>
    <row r="57" spans="1:14" x14ac:dyDescent="0.35">
      <c r="D57" s="32" t="s">
        <v>165</v>
      </c>
      <c r="E57" s="82">
        <f>SUM(E53:E56)</f>
        <v>16</v>
      </c>
      <c r="F57" s="32" t="s">
        <v>39</v>
      </c>
      <c r="G57" s="25">
        <f>SUM(G53:G56)</f>
        <v>2423.7458974061315</v>
      </c>
    </row>
    <row r="59" spans="1:14" x14ac:dyDescent="0.35">
      <c r="A59" s="79" t="s">
        <v>121</v>
      </c>
      <c r="B59" s="14" t="s">
        <v>31</v>
      </c>
      <c r="C59" s="14"/>
      <c r="D59" s="14"/>
      <c r="E59" s="14"/>
      <c r="F59" s="14"/>
      <c r="G59" s="14"/>
    </row>
    <row r="60" spans="1:14" x14ac:dyDescent="0.35">
      <c r="B60" s="18"/>
      <c r="C60" s="18"/>
      <c r="D60" s="18"/>
      <c r="E60" s="18"/>
      <c r="F60" s="18"/>
      <c r="G60" s="18"/>
    </row>
    <row r="61" spans="1:14" x14ac:dyDescent="0.35">
      <c r="B61" s="18"/>
      <c r="C61" s="18"/>
      <c r="D61" s="18"/>
      <c r="E61" s="18"/>
      <c r="F61" s="18"/>
      <c r="G61" s="18"/>
    </row>
    <row r="62" spans="1:14" x14ac:dyDescent="0.35">
      <c r="B62" s="18"/>
      <c r="C62" s="18"/>
      <c r="D62" s="18"/>
      <c r="E62" s="18"/>
      <c r="F62" s="18"/>
      <c r="G62" s="18"/>
    </row>
    <row r="63" spans="1:14" x14ac:dyDescent="0.35">
      <c r="B63" s="18"/>
      <c r="C63" s="18"/>
      <c r="D63" s="18"/>
      <c r="E63" s="18"/>
      <c r="F63" s="18"/>
      <c r="G63" s="18"/>
    </row>
    <row r="64" spans="1:14" x14ac:dyDescent="0.35">
      <c r="B64" s="18"/>
      <c r="C64" s="18"/>
      <c r="D64" s="18"/>
      <c r="E64" s="18"/>
      <c r="F64" s="18"/>
      <c r="G64" s="18"/>
    </row>
    <row r="65" spans="2:7" x14ac:dyDescent="0.35">
      <c r="B65" s="18"/>
      <c r="C65" s="18"/>
      <c r="D65" s="18"/>
      <c r="E65" s="18"/>
      <c r="F65" s="18"/>
      <c r="G65" s="18"/>
    </row>
    <row r="66" spans="2:7" x14ac:dyDescent="0.35">
      <c r="B66" s="18"/>
      <c r="C66" s="18"/>
      <c r="D66" s="18"/>
      <c r="E66" s="18"/>
      <c r="F66" s="18"/>
      <c r="G66" s="18"/>
    </row>
    <row r="67" spans="2:7" x14ac:dyDescent="0.35">
      <c r="B67" s="18"/>
      <c r="C67" s="18"/>
      <c r="D67" s="18"/>
      <c r="E67" s="18"/>
      <c r="F67" s="18"/>
      <c r="G67" s="18"/>
    </row>
    <row r="68" spans="2:7" x14ac:dyDescent="0.35">
      <c r="B68" s="18"/>
      <c r="C68" s="18"/>
      <c r="D68" s="18"/>
      <c r="E68" s="18"/>
      <c r="F68" s="18"/>
      <c r="G68" s="18"/>
    </row>
    <row r="69" spans="2:7" x14ac:dyDescent="0.35">
      <c r="B69" s="18"/>
      <c r="C69" s="18"/>
      <c r="D69" s="18"/>
      <c r="E69" s="18"/>
      <c r="F69" s="18"/>
      <c r="G69" s="18"/>
    </row>
    <row r="70" spans="2:7" x14ac:dyDescent="0.35">
      <c r="B70" s="18"/>
      <c r="C70" s="18"/>
      <c r="D70" s="18"/>
      <c r="E70" s="18"/>
      <c r="F70" s="18"/>
      <c r="G70" s="18"/>
    </row>
    <row r="71" spans="2:7" x14ac:dyDescent="0.35">
      <c r="B71" s="18"/>
      <c r="C71" s="18"/>
      <c r="D71" s="18"/>
      <c r="E71" s="18"/>
      <c r="F71" s="18"/>
      <c r="G71" s="18"/>
    </row>
    <row r="72" spans="2:7" x14ac:dyDescent="0.35">
      <c r="B72" s="18"/>
      <c r="C72" s="18"/>
      <c r="D72" s="18"/>
      <c r="E72" s="18"/>
      <c r="F72" s="18"/>
      <c r="G72" s="18"/>
    </row>
    <row r="73" spans="2:7" x14ac:dyDescent="0.35">
      <c r="B73" s="18"/>
      <c r="C73" s="18"/>
      <c r="D73" s="18"/>
      <c r="E73" s="18"/>
      <c r="F73" s="18"/>
      <c r="G73" s="18"/>
    </row>
    <row r="74" spans="2:7" x14ac:dyDescent="0.35">
      <c r="B74" s="18"/>
      <c r="C74" s="18"/>
      <c r="D74" s="18"/>
      <c r="E74" s="18"/>
      <c r="F74" s="18"/>
      <c r="G74" s="18"/>
    </row>
    <row r="75" spans="2:7" x14ac:dyDescent="0.35">
      <c r="B75" s="18"/>
      <c r="C75" s="18"/>
      <c r="D75" s="18"/>
      <c r="E75" s="18"/>
      <c r="F75" s="18"/>
      <c r="G75" s="18"/>
    </row>
    <row r="76" spans="2:7" x14ac:dyDescent="0.35">
      <c r="B76" s="18"/>
      <c r="C76" s="18"/>
      <c r="D76" s="18"/>
      <c r="E76" s="18"/>
      <c r="F76" s="18"/>
      <c r="G76" s="18"/>
    </row>
    <row r="77" spans="2:7" x14ac:dyDescent="0.35">
      <c r="B77" s="18"/>
      <c r="C77" s="18"/>
      <c r="D77" s="18"/>
      <c r="E77" s="18"/>
      <c r="F77" s="18"/>
      <c r="G77" s="18"/>
    </row>
    <row r="1000" spans="648:648" x14ac:dyDescent="0.35">
      <c r="XX1000" s="86">
        <v>19016</v>
      </c>
    </row>
  </sheetData>
  <dataValidations count="1">
    <dataValidation type="list" allowBlank="1" showInputMessage="1" showErrorMessage="1" sqref="C53:C56" xr:uid="{7E6ECEC3-2ADD-4C37-AB8A-67AF333093A2}">
      <formula1>$B$25:$B$42</formula1>
    </dataValidation>
  </dataValidations>
  <printOptions horizontalCentered="1" verticalCentered="1" headings="1"/>
  <pageMargins left="0.7" right="0.7" top="0.75" bottom="0.75" header="0.3" footer="0.3"/>
  <pageSetup scale="41" orientation="landscape" horizontalDpi="4294967295" verticalDpi="4294967295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249EAE-8ADE-4D34-B1A2-34BFB484E6BA}">
          <x14:formula1>
            <xm:f>'Data Validation'!$A$12:$A$13</xm:f>
          </x14:formula1>
          <xm:sqref>F53:F56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7DA8-B467-469E-8C0E-9BBF771F1911}">
  <dimension ref="A1:XX1000"/>
  <sheetViews>
    <sheetView showGridLines="0" workbookViewId="0"/>
  </sheetViews>
  <sheetFormatPr defaultColWidth="9.09765625" defaultRowHeight="18" x14ac:dyDescent="0.4"/>
  <cols>
    <col min="1" max="16384" width="9.09765625" style="1"/>
  </cols>
  <sheetData>
    <row r="1" spans="1:1" ht="30" x14ac:dyDescent="0.6">
      <c r="A1" s="85" t="s">
        <v>175</v>
      </c>
    </row>
    <row r="2" spans="1:1" x14ac:dyDescent="0.4">
      <c r="A2" s="9" t="s">
        <v>51</v>
      </c>
    </row>
    <row r="3" spans="1:1" x14ac:dyDescent="0.4">
      <c r="A3" s="1" t="s">
        <v>34</v>
      </c>
    </row>
    <row r="4" spans="1:1" x14ac:dyDescent="0.4">
      <c r="A4" s="1" t="s">
        <v>35</v>
      </c>
    </row>
    <row r="7" spans="1:1" x14ac:dyDescent="0.4">
      <c r="A7" s="9" t="s">
        <v>52</v>
      </c>
    </row>
    <row r="8" spans="1:1" x14ac:dyDescent="0.4">
      <c r="A8" s="1" t="s">
        <v>53</v>
      </c>
    </row>
    <row r="9" spans="1:1" x14ac:dyDescent="0.4">
      <c r="A9" s="1" t="s">
        <v>54</v>
      </c>
    </row>
    <row r="11" spans="1:1" x14ac:dyDescent="0.4">
      <c r="A11" s="9" t="s">
        <v>71</v>
      </c>
    </row>
    <row r="12" spans="1:1" x14ac:dyDescent="0.4">
      <c r="A12" s="1" t="s">
        <v>72</v>
      </c>
    </row>
    <row r="13" spans="1:1" x14ac:dyDescent="0.4">
      <c r="A13" s="1" t="s">
        <v>73</v>
      </c>
    </row>
    <row r="15" spans="1:1" x14ac:dyDescent="0.4">
      <c r="A15" s="9"/>
    </row>
    <row r="16" spans="1:1" x14ac:dyDescent="0.4">
      <c r="A16" s="41">
        <v>190</v>
      </c>
    </row>
    <row r="17" spans="1:1" x14ac:dyDescent="0.4">
      <c r="A17" s="41">
        <v>195</v>
      </c>
    </row>
    <row r="18" spans="1:1" x14ac:dyDescent="0.4">
      <c r="A18" s="41">
        <v>200</v>
      </c>
    </row>
    <row r="19" spans="1:1" x14ac:dyDescent="0.4">
      <c r="A19" s="41">
        <v>210</v>
      </c>
    </row>
    <row r="20" spans="1:1" x14ac:dyDescent="0.4">
      <c r="A20" s="41">
        <v>220</v>
      </c>
    </row>
    <row r="21" spans="1:1" x14ac:dyDescent="0.4">
      <c r="A21" s="41">
        <v>230</v>
      </c>
    </row>
    <row r="22" spans="1:1" x14ac:dyDescent="0.4">
      <c r="A22" s="41">
        <v>240</v>
      </c>
    </row>
    <row r="23" spans="1:1" x14ac:dyDescent="0.4">
      <c r="A23" s="41">
        <v>250</v>
      </c>
    </row>
    <row r="24" spans="1:1" x14ac:dyDescent="0.4">
      <c r="A24" s="41">
        <v>260</v>
      </c>
    </row>
    <row r="1000" spans="648:648" x14ac:dyDescent="0.4">
      <c r="XX1000" s="86">
        <v>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Honor Code</vt:lpstr>
      <vt:lpstr>Q1</vt:lpstr>
      <vt:lpstr>Q2</vt:lpstr>
      <vt:lpstr>Q3</vt:lpstr>
      <vt:lpstr>Q4</vt:lpstr>
      <vt:lpstr>Q5</vt:lpstr>
      <vt:lpstr>Q6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Spicer</dc:creator>
  <cp:lastModifiedBy>David Corcoran</cp:lastModifiedBy>
  <cp:lastPrinted>2021-10-31T14:45:08Z</cp:lastPrinted>
  <dcterms:created xsi:type="dcterms:W3CDTF">2021-03-25T18:12:12Z</dcterms:created>
  <dcterms:modified xsi:type="dcterms:W3CDTF">2022-08-22T21:41:54Z</dcterms:modified>
</cp:coreProperties>
</file>