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bec91a8651c45/Documents/Virginia Tech/4 - Senior - 1st Semester/Fin Modeling In Excel/3. Options Strategies/"/>
    </mc:Choice>
  </mc:AlternateContent>
  <xr:revisionPtr revIDLastSave="180" documentId="8_{A58CBB97-DCD1-4D5E-8924-E6451965A973}" xr6:coauthVersionLast="47" xr6:coauthVersionMax="47" xr10:uidLastSave="{3FAE3A8C-9333-442F-AFA7-8786C22060F0}"/>
  <bookViews>
    <workbookView xWindow="-110" yWindow="-110" windowWidth="22780" windowHeight="14660" activeTab="4" xr2:uid="{4E48C44E-C3E4-4527-A07F-BBE5E4F6FB98}"/>
  </bookViews>
  <sheets>
    <sheet name="Gold " sheetId="1" r:id="rId1"/>
    <sheet name="Long Call" sheetId="2" r:id="rId2"/>
    <sheet name="Long Stock with Long Put" sheetId="3" r:id="rId3"/>
    <sheet name="Short Call" sheetId="4" r:id="rId4"/>
    <sheet name="Short Put" sheetId="5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5" l="1"/>
  <c r="B16" i="5" s="1"/>
  <c r="B18" i="3"/>
  <c r="B21" i="1"/>
  <c r="B22" i="3"/>
  <c r="B24" i="3" s="1"/>
  <c r="B26" i="3" s="1"/>
  <c r="B15" i="2"/>
  <c r="B34" i="5"/>
  <c r="B7" i="5"/>
  <c r="B13" i="4"/>
  <c r="B16" i="4" s="1"/>
  <c r="B34" i="4"/>
  <c r="B12" i="3"/>
  <c r="B46" i="3"/>
  <c r="B8" i="3"/>
  <c r="B9" i="3"/>
  <c r="B7" i="4"/>
  <c r="B20" i="3"/>
  <c r="B33" i="2"/>
  <c r="B17" i="2"/>
  <c r="B20" i="2" s="1"/>
  <c r="B7" i="2"/>
  <c r="B25" i="1"/>
  <c r="B24" i="1"/>
  <c r="B23" i="1"/>
  <c r="B22" i="1"/>
  <c r="B16" i="1"/>
  <c r="B17" i="1" s="1"/>
  <c r="B18" i="1" s="1"/>
  <c r="B15" i="1"/>
  <c r="B14" i="1"/>
  <c r="B10" i="1"/>
  <c r="C24" i="3"/>
  <c r="C21" i="1"/>
  <c r="C33" i="2"/>
  <c r="C20" i="2"/>
  <c r="C34" i="5"/>
  <c r="C23" i="1"/>
  <c r="C17" i="1"/>
  <c r="C26" i="1"/>
  <c r="C13" i="4"/>
  <c r="C7" i="5"/>
  <c r="C27" i="3"/>
  <c r="C24" i="1"/>
  <c r="C13" i="5"/>
  <c r="C15" i="1"/>
  <c r="C33" i="5"/>
  <c r="C26" i="3"/>
  <c r="C18" i="1"/>
  <c r="C22" i="1"/>
  <c r="C17" i="4"/>
  <c r="C16" i="4"/>
  <c r="C14" i="1"/>
  <c r="C7" i="4"/>
  <c r="C34" i="4"/>
  <c r="C46" i="3"/>
  <c r="C20" i="3"/>
  <c r="C7" i="2"/>
  <c r="C15" i="2"/>
  <c r="C16" i="1"/>
  <c r="C12" i="3"/>
  <c r="C18" i="3"/>
  <c r="C22" i="3"/>
  <c r="C17" i="2"/>
  <c r="C25" i="1"/>
  <c r="C9" i="3"/>
  <c r="B26" i="1" l="1"/>
  <c r="F4" i="1"/>
  <c r="G4" i="1"/>
</calcChain>
</file>

<file path=xl/sharedStrings.xml><?xml version="1.0" encoding="utf-8"?>
<sst xmlns="http://schemas.openxmlformats.org/spreadsheetml/2006/main" count="156" uniqueCount="120">
  <si>
    <t>Options in EXCEL</t>
  </si>
  <si>
    <t>Strike</t>
  </si>
  <si>
    <t>Inputs</t>
  </si>
  <si>
    <t>Time to Maturity</t>
  </si>
  <si>
    <t>Time to Maturity (yr.)</t>
  </si>
  <si>
    <t>Savings</t>
  </si>
  <si>
    <t>Long (buy) spot gold at t=0</t>
  </si>
  <si>
    <t>Cost of long position at T</t>
  </si>
  <si>
    <t>Sale of gold at T</t>
  </si>
  <si>
    <t>Profit/Loss</t>
  </si>
  <si>
    <t>Choice A</t>
  </si>
  <si>
    <t>Choice B</t>
  </si>
  <si>
    <t>Buy how many gold calls at t=0</t>
  </si>
  <si>
    <t>Cost of purchasing calls at t=0</t>
  </si>
  <si>
    <t>Cost of purchasing calls at T</t>
  </si>
  <si>
    <t>Check</t>
  </si>
  <si>
    <t>Return</t>
  </si>
  <si>
    <t>Peacemount Call Options</t>
  </si>
  <si>
    <t>t=0</t>
  </si>
  <si>
    <t>T (maturity)</t>
  </si>
  <si>
    <t>Ce</t>
  </si>
  <si>
    <t>X (strike)</t>
  </si>
  <si>
    <t>Risk Free Rate (continuously compounded)</t>
  </si>
  <si>
    <t>Risk free rate c.c.= r</t>
  </si>
  <si>
    <t>Stock Price at T</t>
  </si>
  <si>
    <t>Option Payoff at T</t>
  </si>
  <si>
    <t>Number of Options</t>
  </si>
  <si>
    <t>Option  P&amp;L at T</t>
  </si>
  <si>
    <t xml:space="preserve">Data Table </t>
  </si>
  <si>
    <t>Strike = X</t>
  </si>
  <si>
    <t>Buy # of Shares at t=0</t>
  </si>
  <si>
    <t>Profit/Loss of Share Position at T</t>
  </si>
  <si>
    <t>Total Position P&amp;L at T</t>
  </si>
  <si>
    <t>Peacemount Long Stock Position with Put Option</t>
  </si>
  <si>
    <t>Put Option Payoff at T</t>
  </si>
  <si>
    <t>Put Option  P&amp;L at T</t>
  </si>
  <si>
    <t>Put Premium = Pe</t>
  </si>
  <si>
    <r>
      <t>Stock Price = S</t>
    </r>
    <r>
      <rPr>
        <vertAlign val="subscript"/>
        <sz val="16"/>
        <color theme="1"/>
        <rFont val="Arial"/>
        <family val="2"/>
      </rPr>
      <t>0</t>
    </r>
  </si>
  <si>
    <r>
      <t>Stock Price at T = S</t>
    </r>
    <r>
      <rPr>
        <vertAlign val="subscript"/>
        <sz val="16"/>
        <color theme="1"/>
        <rFont val="Arial"/>
        <family val="2"/>
      </rPr>
      <t>T</t>
    </r>
  </si>
  <si>
    <r>
      <t>Q</t>
    </r>
    <r>
      <rPr>
        <vertAlign val="subscript"/>
        <sz val="16"/>
        <color theme="1"/>
        <rFont val="Arial"/>
        <family val="2"/>
      </rPr>
      <t>O</t>
    </r>
    <r>
      <rPr>
        <sz val="16"/>
        <color theme="1"/>
        <rFont val="Arial"/>
        <family val="2"/>
      </rPr>
      <t xml:space="preserve"> - quantity underlying  option</t>
    </r>
  </si>
  <si>
    <r>
      <t>max(strike-underlying,0)*#options*Q</t>
    </r>
    <r>
      <rPr>
        <i/>
        <vertAlign val="subscript"/>
        <sz val="16"/>
        <color theme="1"/>
        <rFont val="Arial"/>
        <family val="2"/>
      </rPr>
      <t>O</t>
    </r>
  </si>
  <si>
    <r>
      <t>(max(strike-underlying,0)-FVpremium)*#options*Q</t>
    </r>
    <r>
      <rPr>
        <i/>
        <vertAlign val="subscript"/>
        <sz val="16"/>
        <color theme="1"/>
        <rFont val="Arial"/>
        <family val="2"/>
      </rPr>
      <t>O</t>
    </r>
  </si>
  <si>
    <r>
      <t>max(underlying-strike,0)*#options*Q</t>
    </r>
    <r>
      <rPr>
        <i/>
        <vertAlign val="subscript"/>
        <sz val="16"/>
        <color theme="1"/>
        <rFont val="Arial"/>
        <family val="2"/>
      </rPr>
      <t>O</t>
    </r>
  </si>
  <si>
    <r>
      <t>(max(underlying-strike,0)-FVpremium)*#options*Q</t>
    </r>
    <r>
      <rPr>
        <i/>
        <vertAlign val="subscript"/>
        <sz val="16"/>
        <color theme="1"/>
        <rFont val="Arial"/>
        <family val="2"/>
      </rPr>
      <t>O</t>
    </r>
  </si>
  <si>
    <r>
      <t xml:space="preserve">Spot Gold $/ounce t=0 = </t>
    </r>
    <r>
      <rPr>
        <sz val="16"/>
        <color rgb="FFFF0000"/>
        <rFont val="Arial"/>
        <family val="2"/>
      </rPr>
      <t>S</t>
    </r>
    <r>
      <rPr>
        <vertAlign val="subscript"/>
        <sz val="16"/>
        <color rgb="FFFF0000"/>
        <rFont val="Arial"/>
        <family val="2"/>
      </rPr>
      <t>0</t>
    </r>
  </si>
  <si>
    <r>
      <t xml:space="preserve">Strike = </t>
    </r>
    <r>
      <rPr>
        <sz val="16"/>
        <color rgb="FFFF0000"/>
        <rFont val="Arial"/>
        <family val="2"/>
      </rPr>
      <t>X</t>
    </r>
  </si>
  <si>
    <r>
      <t xml:space="preserve">Call option </t>
    </r>
    <r>
      <rPr>
        <sz val="16"/>
        <color rgb="FFFF0000"/>
        <rFont val="Arial"/>
        <family val="2"/>
      </rPr>
      <t>Ce</t>
    </r>
  </si>
  <si>
    <r>
      <t xml:space="preserve">Quantity underlying option (oz.)= </t>
    </r>
    <r>
      <rPr>
        <sz val="16"/>
        <color rgb="FFFF0000"/>
        <rFont val="Arial"/>
        <family val="2"/>
      </rPr>
      <t>Q</t>
    </r>
    <r>
      <rPr>
        <vertAlign val="subscript"/>
        <sz val="16"/>
        <color rgb="FFFF0000"/>
        <rFont val="Arial"/>
        <family val="2"/>
      </rPr>
      <t>O</t>
    </r>
  </si>
  <si>
    <r>
      <t xml:space="preserve">Gold Prices at T (maturity) = </t>
    </r>
    <r>
      <rPr>
        <sz val="16"/>
        <color rgb="FFFF0000"/>
        <rFont val="Arial"/>
        <family val="2"/>
      </rPr>
      <t>S</t>
    </r>
    <r>
      <rPr>
        <vertAlign val="subscript"/>
        <sz val="16"/>
        <color rgb="FFFF0000"/>
        <rFont val="Arial"/>
        <family val="2"/>
      </rPr>
      <t>T</t>
    </r>
  </si>
  <si>
    <t>Short Call Option (Selling/Writing a Call)</t>
  </si>
  <si>
    <t>Stock Price at t=0</t>
  </si>
  <si>
    <t>Today</t>
  </si>
  <si>
    <t>Maturity</t>
  </si>
  <si>
    <t>Premium = Ce</t>
  </si>
  <si>
    <t xml:space="preserve">Stock </t>
  </si>
  <si>
    <t>bp</t>
  </si>
  <si>
    <t>Profit/Loss at T</t>
  </si>
  <si>
    <t>Data Table</t>
  </si>
  <si>
    <t>Number of Options sold</t>
  </si>
  <si>
    <r>
      <t>Q</t>
    </r>
    <r>
      <rPr>
        <vertAlign val="subscript"/>
        <sz val="16"/>
        <color theme="1"/>
        <rFont val="Arial"/>
        <family val="2"/>
      </rPr>
      <t>O</t>
    </r>
  </si>
  <si>
    <t>Short Put Option (Selling/Writing a Put)</t>
  </si>
  <si>
    <t>MIN</t>
  </si>
  <si>
    <t>MAX</t>
  </si>
  <si>
    <t>To protect the position, 1 put option is on</t>
  </si>
  <si>
    <t>100 shares.  Divide the number of shares by</t>
  </si>
  <si>
    <t>the number of options in one put.</t>
  </si>
  <si>
    <t xml:space="preserve">You can see from this graph that </t>
  </si>
  <si>
    <t xml:space="preserve">the combination of a long </t>
  </si>
  <si>
    <t>underlying position and a long put</t>
  </si>
  <si>
    <t>plus the premium outlay for the put</t>
  </si>
  <si>
    <t>is the equivalent of being long a call.</t>
  </si>
  <si>
    <t xml:space="preserve">will is the purchase price of the stock </t>
  </si>
  <si>
    <t xml:space="preserve">The strike of the "synthetic call" if you </t>
  </si>
  <si>
    <t>This is the point on the graph of the Strike (X) of the option</t>
  </si>
  <si>
    <t xml:space="preserve">This is the break-even point, which is the </t>
  </si>
  <si>
    <t>strike of the call option + the strike (with TVM).</t>
  </si>
  <si>
    <r>
      <t>= 36.00 + 3.00e</t>
    </r>
    <r>
      <rPr>
        <i/>
        <vertAlign val="superscript"/>
        <sz val="16"/>
        <color rgb="FFFF0000"/>
        <rFont val="Arial"/>
        <family val="2"/>
      </rPr>
      <t>0.01*0.1863</t>
    </r>
    <r>
      <rPr>
        <i/>
        <sz val="16"/>
        <color rgb="FFFF0000"/>
        <rFont val="Arial"/>
        <family val="2"/>
      </rPr>
      <t xml:space="preserve"> </t>
    </r>
    <r>
      <rPr>
        <i/>
        <vertAlign val="superscript"/>
        <sz val="16"/>
        <color rgb="FFFF0000"/>
        <rFont val="Arial"/>
        <family val="2"/>
      </rPr>
      <t>=</t>
    </r>
    <r>
      <rPr>
        <i/>
        <sz val="16"/>
        <color rgb="FFFF0000"/>
        <rFont val="Arial"/>
        <family val="2"/>
      </rPr>
      <t xml:space="preserve"> 39.0056</t>
    </r>
  </si>
  <si>
    <t xml:space="preserve">You can see the leverage </t>
  </si>
  <si>
    <t>achieved by the option.</t>
  </si>
  <si>
    <t xml:space="preserve">For the same investment, the </t>
  </si>
  <si>
    <t xml:space="preserve">call option will give you a much </t>
  </si>
  <si>
    <t>higher rate of return.  However,</t>
  </si>
  <si>
    <t xml:space="preserve">there is NO free lunch.  </t>
  </si>
  <si>
    <t xml:space="preserve">On the call option, you will </t>
  </si>
  <si>
    <t xml:space="preserve">lose all the investment if the </t>
  </si>
  <si>
    <t>stock price remains at or</t>
  </si>
  <si>
    <t>below the strike.</t>
  </si>
  <si>
    <t>plus TVM</t>
  </si>
  <si>
    <t>This is the strike of the call option</t>
  </si>
  <si>
    <t>The most you will ever make is the Premium + TVM</t>
  </si>
  <si>
    <t xml:space="preserve">Potential loss is infinite as the </t>
  </si>
  <si>
    <t>price of the stock has no cap.</t>
  </si>
  <si>
    <t>received plus TVM</t>
  </si>
  <si>
    <t xml:space="preserve">but in the case of commodities, we saw that crude oil traded to </t>
  </si>
  <si>
    <t>a negative ~$38.00, which left  option traders scrambling!</t>
  </si>
  <si>
    <t xml:space="preserve">so on certain options, the old theory that the underlying could not </t>
  </si>
  <si>
    <t>trade for less than zero has been debunked and the down side</t>
  </si>
  <si>
    <t>here could conceivably be unknown if the underlying was a</t>
  </si>
  <si>
    <t>consumption asset.</t>
  </si>
  <si>
    <t>Losses are limited in stock in that the stock will only trade to zero</t>
  </si>
  <si>
    <t>This is the strike (X) = $24.00</t>
  </si>
  <si>
    <t>Profit is limited to the premium</t>
  </si>
  <si>
    <r>
      <t>=(0.76e</t>
    </r>
    <r>
      <rPr>
        <b/>
        <i/>
        <vertAlign val="superscript"/>
        <sz val="16"/>
        <color rgb="FFFF0000"/>
        <rFont val="Arial"/>
        <family val="2"/>
      </rPr>
      <t>0.02*0.45</t>
    </r>
    <r>
      <rPr>
        <b/>
        <i/>
        <sz val="16"/>
        <color rgb="FFFF0000"/>
        <rFont val="Arial"/>
        <family val="2"/>
      </rPr>
      <t>)*1*100</t>
    </r>
  </si>
  <si>
    <r>
      <t>=(1.66e</t>
    </r>
    <r>
      <rPr>
        <i/>
        <vertAlign val="superscript"/>
        <sz val="16"/>
        <color rgb="FFFF0000"/>
        <rFont val="Arial"/>
        <family val="2"/>
      </rPr>
      <t>0.02*0.45</t>
    </r>
    <r>
      <rPr>
        <i/>
        <sz val="16"/>
        <color rgb="FFFF0000"/>
        <rFont val="Arial"/>
        <family val="2"/>
      </rPr>
      <t>)*1*100</t>
    </r>
  </si>
  <si>
    <t xml:space="preserve">put.  This will limit the downside </t>
  </si>
  <si>
    <t xml:space="preserve">risk if the stock price falls. </t>
  </si>
  <si>
    <t>In this case you are long the stock</t>
  </si>
  <si>
    <t xml:space="preserve">and have purchased a protective </t>
  </si>
  <si>
    <t>The short call obligates the seller/writer of the call to sell the stock at the strike</t>
  </si>
  <si>
    <t>The short put (sell the put) obligates the seller/writer of the put to purchase the stock at the strike</t>
  </si>
  <si>
    <t>The LONG put (buying the put) option gives the holder/buyer the right but not the obligation to sell the stock at the strike</t>
  </si>
  <si>
    <t>The LONG call (buying the call) option gives the holder/buyer the right but not the obligation to purchase the stock at the strike</t>
  </si>
  <si>
    <t>Riks/Reward</t>
  </si>
  <si>
    <t>-Call Options: If they expire at the money or out of the money, you lose $1,200</t>
  </si>
  <si>
    <t>-Buying Gold: risk of gold value going down</t>
  </si>
  <si>
    <t>t=0 Options</t>
  </si>
  <si>
    <t>infinite</t>
  </si>
  <si>
    <t>Time to Maturity stock</t>
  </si>
  <si>
    <t>Infinite</t>
  </si>
  <si>
    <t>Inifinite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</si>
</sst>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&quot;$&quot;#,##0.00"/>
  </numFmts>
  <fonts count="19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vertAlign val="subscript"/>
      <sz val="16"/>
      <color theme="1"/>
      <name val="Arial"/>
      <family val="2"/>
    </font>
    <font>
      <sz val="16"/>
      <color rgb="FF0070C0"/>
      <name val="Arial"/>
      <family val="2"/>
    </font>
    <font>
      <i/>
      <sz val="16"/>
      <color rgb="FFFF0000"/>
      <name val="Arial"/>
      <family val="2"/>
    </font>
    <font>
      <i/>
      <sz val="16"/>
      <color theme="1"/>
      <name val="Arial"/>
      <family val="2"/>
    </font>
    <font>
      <i/>
      <vertAlign val="subscript"/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FF0000"/>
      <name val="Arial"/>
      <family val="2"/>
    </font>
    <font>
      <vertAlign val="subscript"/>
      <sz val="16"/>
      <color rgb="FFFF0000"/>
      <name val="Arial"/>
      <family val="2"/>
    </font>
    <font>
      <sz val="16"/>
      <color theme="9" tint="-0.249977111117893"/>
      <name val="Arial"/>
      <family val="2"/>
    </font>
    <font>
      <sz val="16"/>
      <name val="Arial"/>
      <family val="2"/>
    </font>
    <font>
      <b/>
      <sz val="20"/>
      <color theme="8" tint="-0.499984740745262"/>
      <name val="Arial"/>
      <family val="2"/>
    </font>
    <font>
      <b/>
      <sz val="16"/>
      <color theme="0"/>
      <name val="Arial"/>
      <family val="2"/>
    </font>
    <font>
      <b/>
      <i/>
      <sz val="16"/>
      <color rgb="FFFF0000"/>
      <name val="Arial"/>
      <family val="2"/>
    </font>
    <font>
      <i/>
      <vertAlign val="superscript"/>
      <sz val="16"/>
      <color rgb="FFFF0000"/>
      <name val="Arial"/>
      <family val="2"/>
    </font>
    <font>
      <b/>
      <i/>
      <vertAlign val="superscript"/>
      <sz val="16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44" fontId="5" fillId="0" borderId="0" xfId="2" applyFont="1"/>
    <xf numFmtId="14" fontId="5" fillId="0" borderId="0" xfId="0" applyNumberFormat="1" applyFont="1"/>
    <xf numFmtId="165" fontId="3" fillId="3" borderId="0" xfId="1" applyNumberFormat="1" applyFont="1" applyFill="1"/>
    <xf numFmtId="0" fontId="6" fillId="0" borderId="0" xfId="0" applyFont="1"/>
    <xf numFmtId="0" fontId="5" fillId="0" borderId="0" xfId="0" applyFont="1"/>
    <xf numFmtId="44" fontId="3" fillId="3" borderId="0" xfId="0" applyNumberFormat="1" applyFont="1" applyFill="1"/>
    <xf numFmtId="10" fontId="5" fillId="0" borderId="0" xfId="3" applyNumberFormat="1" applyFont="1"/>
    <xf numFmtId="0" fontId="3" fillId="3" borderId="0" xfId="0" applyFont="1" applyFill="1"/>
    <xf numFmtId="0" fontId="7" fillId="0" borderId="0" xfId="0" applyFont="1"/>
    <xf numFmtId="44" fontId="3" fillId="0" borderId="0" xfId="0" applyNumberFormat="1" applyFont="1"/>
    <xf numFmtId="0" fontId="9" fillId="0" borderId="0" xfId="0" applyFont="1"/>
    <xf numFmtId="44" fontId="9" fillId="3" borderId="0" xfId="0" applyNumberFormat="1" applyFont="1" applyFill="1"/>
    <xf numFmtId="44" fontId="3" fillId="5" borderId="0" xfId="0" applyNumberFormat="1" applyFont="1" applyFill="1"/>
    <xf numFmtId="166" fontId="5" fillId="0" borderId="0" xfId="2" applyNumberFormat="1" applyFont="1" applyAlignment="1">
      <alignment horizontal="right"/>
    </xf>
    <xf numFmtId="44" fontId="3" fillId="3" borderId="0" xfId="2" applyFont="1" applyFill="1"/>
    <xf numFmtId="0" fontId="3" fillId="2" borderId="0" xfId="0" applyFont="1" applyFill="1"/>
    <xf numFmtId="0" fontId="2" fillId="2" borderId="0" xfId="0" applyFont="1" applyFill="1"/>
    <xf numFmtId="44" fontId="3" fillId="4" borderId="0" xfId="0" applyNumberFormat="1" applyFont="1" applyFill="1"/>
    <xf numFmtId="164" fontId="5" fillId="0" borderId="0" xfId="1" applyNumberFormat="1" applyFont="1"/>
    <xf numFmtId="0" fontId="12" fillId="0" borderId="0" xfId="0" applyFont="1"/>
    <xf numFmtId="44" fontId="13" fillId="3" borderId="0" xfId="0" applyNumberFormat="1" applyFont="1" applyFill="1"/>
    <xf numFmtId="0" fontId="3" fillId="0" borderId="1" xfId="0" applyFont="1" applyBorder="1"/>
    <xf numFmtId="44" fontId="13" fillId="3" borderId="1" xfId="0" applyNumberFormat="1" applyFont="1" applyFill="1" applyBorder="1"/>
    <xf numFmtId="10" fontId="13" fillId="3" borderId="0" xfId="3" applyNumberFormat="1" applyFont="1" applyFill="1"/>
    <xf numFmtId="164" fontId="3" fillId="3" borderId="0" xfId="1" applyNumberFormat="1" applyFont="1" applyFill="1"/>
    <xf numFmtId="10" fontId="3" fillId="3" borderId="0" xfId="3" applyNumberFormat="1" applyFont="1" applyFill="1"/>
    <xf numFmtId="43" fontId="3" fillId="3" borderId="0" xfId="1" applyFont="1" applyFill="1"/>
    <xf numFmtId="0" fontId="3" fillId="0" borderId="0" xfId="0" applyFont="1" applyAlignment="1">
      <alignment horizontal="center"/>
    </xf>
    <xf numFmtId="44" fontId="3" fillId="6" borderId="0" xfId="0" applyNumberFormat="1" applyFont="1" applyFill="1"/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14" fillId="0" borderId="0" xfId="0" applyFont="1"/>
    <xf numFmtId="0" fontId="3" fillId="3" borderId="0" xfId="0" applyFont="1" applyFill="1" applyAlignment="1">
      <alignment horizontal="center"/>
    </xf>
    <xf numFmtId="44" fontId="3" fillId="3" borderId="0" xfId="0" applyNumberFormat="1" applyFont="1" applyFill="1" applyAlignment="1">
      <alignment horizontal="center"/>
    </xf>
    <xf numFmtId="166" fontId="5" fillId="7" borderId="0" xfId="2" applyNumberFormat="1" applyFont="1" applyFill="1" applyAlignment="1">
      <alignment horizontal="right"/>
    </xf>
    <xf numFmtId="44" fontId="3" fillId="8" borderId="0" xfId="0" applyNumberFormat="1" applyFont="1" applyFill="1"/>
    <xf numFmtId="0" fontId="6" fillId="0" borderId="0" xfId="0" quotePrefix="1" applyFont="1"/>
    <xf numFmtId="0" fontId="3" fillId="8" borderId="0" xfId="0" applyFont="1" applyFill="1"/>
    <xf numFmtId="0" fontId="16" fillId="0" borderId="0" xfId="0" quotePrefix="1" applyFont="1"/>
    <xf numFmtId="0" fontId="7" fillId="8" borderId="0" xfId="0" applyFont="1" applyFill="1"/>
    <xf numFmtId="0" fontId="9" fillId="9" borderId="0" xfId="0" applyFont="1" applyFill="1"/>
    <xf numFmtId="0" fontId="3" fillId="0" borderId="0" xfId="0" quotePrefix="1" applyFont="1"/>
    <xf numFmtId="0" fontId="2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Choice A &amp; B Profit/Loss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Choice 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'Gold '!$E$5:$E$20</c:f>
              <c:numCache>
                <c:formatCode>_("$"* #,##0.00_);_("$"* \(#,##0.00\);_("$"* "-"??_);_(@_)</c:formatCode>
                <c:ptCount val="1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</c:numCache>
            </c:numRef>
          </c:cat>
          <c:val>
            <c:numRef>
              <c:f>'Gold '!$F$5:$F$20</c:f>
              <c:numCache>
                <c:formatCode>_("$"* #,##0.00_);_("$"* \(#,##0.00\);_("$"* "-"??_);_(@_)</c:formatCode>
                <c:ptCount val="16"/>
                <c:pt idx="0">
                  <c:v>-701.50093789074708</c:v>
                </c:pt>
                <c:pt idx="1">
                  <c:v>-601.50093789074708</c:v>
                </c:pt>
                <c:pt idx="2">
                  <c:v>-501.50093789074708</c:v>
                </c:pt>
                <c:pt idx="3">
                  <c:v>-401.50093789074708</c:v>
                </c:pt>
                <c:pt idx="4">
                  <c:v>-301.50093789074708</c:v>
                </c:pt>
                <c:pt idx="5">
                  <c:v>-201.50093789074708</c:v>
                </c:pt>
                <c:pt idx="6">
                  <c:v>-101.50093789074708</c:v>
                </c:pt>
                <c:pt idx="7">
                  <c:v>-1.5009378907470818</c:v>
                </c:pt>
                <c:pt idx="8">
                  <c:v>98.499062109252918</c:v>
                </c:pt>
                <c:pt idx="9">
                  <c:v>198.49906210925292</c:v>
                </c:pt>
                <c:pt idx="10">
                  <c:v>298.49906210925292</c:v>
                </c:pt>
                <c:pt idx="11">
                  <c:v>398.49906210925292</c:v>
                </c:pt>
                <c:pt idx="12">
                  <c:v>498.49906210925292</c:v>
                </c:pt>
                <c:pt idx="13">
                  <c:v>598.49906210925292</c:v>
                </c:pt>
                <c:pt idx="14">
                  <c:v>698.49906210925292</c:v>
                </c:pt>
                <c:pt idx="15">
                  <c:v>798.49906210925292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7-40E1-B255-7DF785EFD1A8}"/>
            </c:ext>
          </c:extLst>
        </c:ser>
        <c:ser>
          <c:idx val="1"/>
          <c:order val="1"/>
          <c:tx>
            <c:v>Choice B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'Gold '!$E$5:$E$20</c:f>
              <c:numCache>
                <c:formatCode>_("$"* #,##0.00_);_("$"* \(#,##0.00\);_("$"* "-"??_);_(@_)</c:formatCode>
                <c:ptCount val="1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</c:numCache>
            </c:numRef>
          </c:cat>
          <c:val>
            <c:numRef>
              <c:f>'Gold '!$G$5:$G$20</c:f>
              <c:numCache>
                <c:formatCode>_("$"* #,##0.00_);_("$"* \(#,##0.00\);_("$"* "-"??_);_(@_)</c:formatCode>
                <c:ptCount val="16"/>
                <c:pt idx="0">
                  <c:v>-1201.5009378907471</c:v>
                </c:pt>
                <c:pt idx="1">
                  <c:v>-1201.5009378907471</c:v>
                </c:pt>
                <c:pt idx="2">
                  <c:v>-1201.5009378907471</c:v>
                </c:pt>
                <c:pt idx="3">
                  <c:v>-1201.5009378907471</c:v>
                </c:pt>
                <c:pt idx="4">
                  <c:v>-1201.5009378907471</c:v>
                </c:pt>
                <c:pt idx="5">
                  <c:v>-1201.5009378907471</c:v>
                </c:pt>
                <c:pt idx="6">
                  <c:v>-1201.5009378907471</c:v>
                </c:pt>
                <c:pt idx="7">
                  <c:v>-1201.5009378907471</c:v>
                </c:pt>
                <c:pt idx="8">
                  <c:v>-1.5009378907470818</c:v>
                </c:pt>
                <c:pt idx="9">
                  <c:v>1198.4990621092529</c:v>
                </c:pt>
                <c:pt idx="10">
                  <c:v>2398.4990621092529</c:v>
                </c:pt>
                <c:pt idx="11">
                  <c:v>3598.4990621092529</c:v>
                </c:pt>
                <c:pt idx="12">
                  <c:v>4798.4990621092529</c:v>
                </c:pt>
                <c:pt idx="13">
                  <c:v>5998.4990621092529</c:v>
                </c:pt>
                <c:pt idx="14">
                  <c:v>7198.4990621092529</c:v>
                </c:pt>
                <c:pt idx="15">
                  <c:v>8398.4990621092529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37-40E1-B255-7DF785EFD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252208"/>
        <c:axId val="645242368"/>
      </c:lineChart>
      <c:catAx>
        <c:axId val="64525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Gold Prices at 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42368"/>
        <c:crosses val="autoZero"/>
        <c:auto val="1"/>
        <c:lblAlgn val="ctr"/>
        <c:lblOffset val="100"/>
        <c:noMultiLvlLbl val="0"/>
      </c:catAx>
      <c:valAx>
        <c:axId val="64524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Profit/Loss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5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28561060705431"/>
          <c:y val="0.1145328290194484"/>
          <c:w val="0.80914612969733535"/>
          <c:h val="0.79738871842266301"/>
        </c:manualLayout>
      </c:layout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'Long Call'!$A$21:$A$31</c:f>
              <c:numCache>
                <c:formatCode>"$"#,##0.00</c:formatCode>
                <c:ptCount val="11"/>
                <c:pt idx="0">
                  <c:v>0</c:v>
                </c:pt>
                <c:pt idx="1">
                  <c:v>10.5</c:v>
                </c:pt>
                <c:pt idx="2">
                  <c:v>15.5</c:v>
                </c:pt>
                <c:pt idx="3">
                  <c:v>20.5</c:v>
                </c:pt>
                <c:pt idx="4">
                  <c:v>25.5</c:v>
                </c:pt>
                <c:pt idx="5">
                  <c:v>30.5</c:v>
                </c:pt>
                <c:pt idx="6">
                  <c:v>35.5</c:v>
                </c:pt>
                <c:pt idx="7">
                  <c:v>40.5</c:v>
                </c:pt>
                <c:pt idx="8">
                  <c:v>45.5</c:v>
                </c:pt>
                <c:pt idx="9">
                  <c:v>50.5</c:v>
                </c:pt>
                <c:pt idx="10">
                  <c:v>55.5</c:v>
                </c:pt>
              </c:numCache>
            </c:numRef>
          </c:xVal>
          <c:yVal>
            <c:numRef>
              <c:f>'Long Call'!$B$21:$B$31</c:f>
              <c:numCache>
                <c:formatCode>_("$"* #,##0.00_);_("$"* \(#,##0.00\);_("$"* "-"??_);_(@_)</c:formatCode>
                <c:ptCount val="11"/>
                <c:pt idx="0">
                  <c:v>-300.55942505605515</c:v>
                </c:pt>
                <c:pt idx="1">
                  <c:v>-300.55942505605515</c:v>
                </c:pt>
                <c:pt idx="2">
                  <c:v>-300.55942505605515</c:v>
                </c:pt>
                <c:pt idx="3">
                  <c:v>-300.55942505605515</c:v>
                </c:pt>
                <c:pt idx="4">
                  <c:v>-300.55942505605515</c:v>
                </c:pt>
                <c:pt idx="5">
                  <c:v>-300.55942505605515</c:v>
                </c:pt>
                <c:pt idx="6">
                  <c:v>-300.55942505605515</c:v>
                </c:pt>
                <c:pt idx="7">
                  <c:v>149.44057494394488</c:v>
                </c:pt>
                <c:pt idx="8">
                  <c:v>649.44057494394485</c:v>
                </c:pt>
                <c:pt idx="9">
                  <c:v>1149.4405749439447</c:v>
                </c:pt>
                <c:pt idx="10">
                  <c:v>1649.4405749439447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66-4006-B3E4-D57A35058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817664"/>
        <c:axId val="646816680"/>
      </c:scatterChart>
      <c:valAx>
        <c:axId val="64681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 at Maturity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16680"/>
        <c:crosses val="autoZero"/>
        <c:crossBetween val="midCat"/>
      </c:valAx>
      <c:valAx>
        <c:axId val="64681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Profit/Loss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1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 Stock + Put Option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76009958538644"/>
          <c:y val="6.4559283247374269E-2"/>
          <c:w val="0.81133121832082633"/>
          <c:h val="0.87511623405157923"/>
        </c:manualLayout>
      </c:layout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'Long Stock with Long Put'!$A$27:$A$44</c:f>
              <c:numCache>
                <c:formatCode>"$"#,##0.00</c:formatCode>
                <c:ptCount val="1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</c:numCache>
            </c:numRef>
          </c:xVal>
          <c:yVal>
            <c:numRef>
              <c:f>'Long Stock with Long Put'!$B$27:$B$44</c:f>
              <c:numCache>
                <c:formatCode>_("$"* #,##0.00_);_("$"* \(#,##0.00\);_("$"* "-"??_);_(@_)</c:formatCode>
                <c:ptCount val="18"/>
                <c:pt idx="0">
                  <c:v>-206.94884655704254</c:v>
                </c:pt>
                <c:pt idx="1">
                  <c:v>-206.94884655704254</c:v>
                </c:pt>
                <c:pt idx="2">
                  <c:v>-206.94884655704254</c:v>
                </c:pt>
                <c:pt idx="3">
                  <c:v>-206.94884655704254</c:v>
                </c:pt>
                <c:pt idx="4">
                  <c:v>-206.94884655704277</c:v>
                </c:pt>
                <c:pt idx="5">
                  <c:v>-206.94884655704277</c:v>
                </c:pt>
                <c:pt idx="6">
                  <c:v>-206.94884655704277</c:v>
                </c:pt>
                <c:pt idx="7">
                  <c:v>-206.94884655704266</c:v>
                </c:pt>
                <c:pt idx="8">
                  <c:v>-206.94884655704266</c:v>
                </c:pt>
                <c:pt idx="9">
                  <c:v>-206.94884655704266</c:v>
                </c:pt>
                <c:pt idx="10">
                  <c:v>-206.94884655704266</c:v>
                </c:pt>
                <c:pt idx="11">
                  <c:v>-206.94884655704263</c:v>
                </c:pt>
                <c:pt idx="12">
                  <c:v>93.051153442957343</c:v>
                </c:pt>
                <c:pt idx="13">
                  <c:v>393.05115344295734</c:v>
                </c:pt>
                <c:pt idx="14">
                  <c:v>693.05115344295734</c:v>
                </c:pt>
                <c:pt idx="15">
                  <c:v>993.05115344295734</c:v>
                </c:pt>
                <c:pt idx="16">
                  <c:v>1293.0511534429575</c:v>
                </c:pt>
                <c:pt idx="17">
                  <c:v>1593.0511534429575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5-48B0-BD39-A37B6AC37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00616"/>
        <c:axId val="650701928"/>
      </c:scatterChart>
      <c:valAx>
        <c:axId val="650700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 at Maturity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01928"/>
        <c:crosses val="autoZero"/>
        <c:crossBetween val="midCat"/>
      </c:valAx>
      <c:valAx>
        <c:axId val="65070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Profit/Loss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00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Short Call P&amp;L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'Short Call'!$A$17:$A$31</c:f>
              <c:numCache>
                <c:formatCode>_("$"* #,##0.00_);_("$"* \(#,##0.00\);_("$"* "-"??_);_(@_)</c:formatCode>
                <c:ptCount val="15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'Short Call'!$B$17:$B$31</c:f>
              <c:numCache>
                <c:formatCode>_("$"* #,##0.00_);_("$"* \(#,##0.00\);_("$"* "-"??_);_(@_)</c:formatCode>
                <c:ptCount val="15"/>
                <c:pt idx="0">
                  <c:v>167.48927095370735</c:v>
                </c:pt>
                <c:pt idx="1">
                  <c:v>167.48927095370735</c:v>
                </c:pt>
                <c:pt idx="2">
                  <c:v>167.48927095370735</c:v>
                </c:pt>
                <c:pt idx="3">
                  <c:v>167.48927095370735</c:v>
                </c:pt>
                <c:pt idx="4">
                  <c:v>167.48927095370735</c:v>
                </c:pt>
                <c:pt idx="5">
                  <c:v>-332.51072904629268</c:v>
                </c:pt>
                <c:pt idx="6">
                  <c:v>-832.51072904629257</c:v>
                </c:pt>
                <c:pt idx="7">
                  <c:v>-1332.5107290462927</c:v>
                </c:pt>
                <c:pt idx="8">
                  <c:v>-1832.5107290462927</c:v>
                </c:pt>
                <c:pt idx="9">
                  <c:v>-2332.5107290462929</c:v>
                </c:pt>
                <c:pt idx="10">
                  <c:v>-2832.5107290462929</c:v>
                </c:pt>
                <c:pt idx="11">
                  <c:v>-3332.5107290462925</c:v>
                </c:pt>
                <c:pt idx="12">
                  <c:v>-3832.5107290462925</c:v>
                </c:pt>
                <c:pt idx="13">
                  <c:v>-4332.510729046292</c:v>
                </c:pt>
                <c:pt idx="14">
                  <c:v>-4832.510729046292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DF-4F00-91D2-988CBBE81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282712"/>
        <c:axId val="645281400"/>
      </c:scatterChart>
      <c:valAx>
        <c:axId val="64528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 at 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81400"/>
        <c:crosses val="autoZero"/>
        <c:crossBetween val="midCat"/>
      </c:valAx>
      <c:valAx>
        <c:axId val="64528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Profit/Loss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8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Short PUT</a:t>
            </a:r>
          </a:p>
          <a:p>
            <a:pPr>
              <a:defRPr/>
            </a:pPr>
            <a:r>
              <a:rPr lang="en-US"/>
              <a:t> P&amp;L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'Short Put'!$A$17:$A$31</c:f>
              <c:numCache>
                <c:formatCode>_("$"* #,##0.00_);_("$"* \(#,##0.00\);_("$"* "-"??_);_(@_)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'Short Put'!$B$17:$B$31</c:f>
              <c:numCache>
                <c:formatCode>_("$"* #,##0.00_);_("$"* \(#,##0.00\);_("$"* "-"??_);_(@_)</c:formatCode>
                <c:ptCount val="15"/>
                <c:pt idx="0">
                  <c:v>-2323.3181651055315</c:v>
                </c:pt>
                <c:pt idx="1">
                  <c:v>-1823.3181651055315</c:v>
                </c:pt>
                <c:pt idx="2">
                  <c:v>-1323.3181651055315</c:v>
                </c:pt>
                <c:pt idx="3">
                  <c:v>-823.31816510553165</c:v>
                </c:pt>
                <c:pt idx="4">
                  <c:v>-323.31816510553153</c:v>
                </c:pt>
                <c:pt idx="5">
                  <c:v>76.681834894468423</c:v>
                </c:pt>
                <c:pt idx="6">
                  <c:v>76.681834894468423</c:v>
                </c:pt>
                <c:pt idx="7">
                  <c:v>76.681834894468423</c:v>
                </c:pt>
                <c:pt idx="8">
                  <c:v>76.681834894468423</c:v>
                </c:pt>
                <c:pt idx="9">
                  <c:v>76.681834894468423</c:v>
                </c:pt>
                <c:pt idx="10">
                  <c:v>76.681834894468423</c:v>
                </c:pt>
                <c:pt idx="11">
                  <c:v>76.681834894468423</c:v>
                </c:pt>
                <c:pt idx="12">
                  <c:v>76.681834894468423</c:v>
                </c:pt>
                <c:pt idx="13">
                  <c:v>76.681834894468423</c:v>
                </c:pt>
                <c:pt idx="14">
                  <c:v>76.681834894468423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7C-4710-BE51-65ACEF399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282712"/>
        <c:axId val="645281400"/>
      </c:scatterChart>
      <c:valAx>
        <c:axId val="64528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 at 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81400"/>
        <c:crosses val="autoZero"/>
        <c:crossBetween val="midCat"/>
      </c:valAx>
      <c:valAx>
        <c:axId val="64528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Profit/Loss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8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319087</xdr:colOff>
      <xdr:row>2</xdr:row>
      <xdr:rowOff>4761</xdr:rowOff>
    </xdr:from>
    <xdr:to>
      <xdr:col>12</xdr:col>
      <xdr:colOff>676275</xdr:colOff>
      <xdr:row>20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CDD210-9C39-4839-A1D3-E0B656F59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1365778</xdr:colOff>
      <xdr:row>18</xdr:row>
      <xdr:rowOff>95250</xdr:rowOff>
    </xdr:from>
    <xdr:to>
      <xdr:col>3</xdr:col>
      <xdr:colOff>1108604</xdr:colOff>
      <xdr:row>31</xdr:row>
      <xdr:rowOff>148166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BB396B-C87F-404D-B9E2-E2EC677B8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4159250</xdr:colOff>
      <xdr:row>29</xdr:row>
      <xdr:rowOff>211666</xdr:rowOff>
    </xdr:from>
    <xdr:to>
      <xdr:col>2</xdr:col>
      <xdr:colOff>5080000</xdr:colOff>
      <xdr:row>34</xdr:row>
      <xdr:rowOff>63501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B8409DE-E4A3-4B53-926E-C4E2D58CEBD4}"/>
            </a:ext>
          </a:extLst>
        </xdr:cNvPr>
        <xdr:cNvCxnSpPr/>
      </xdr:nvCxnSpPr>
      <xdr:spPr>
        <a:xfrm flipV="1">
          <a:off x="10477500" y="7789333"/>
          <a:ext cx="920750" cy="1121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5461001</xdr:colOff>
      <xdr:row>28</xdr:row>
      <xdr:rowOff>10584</xdr:rowOff>
    </xdr:from>
    <xdr:to>
      <xdr:col>3</xdr:col>
      <xdr:colOff>455083</xdr:colOff>
      <xdr:row>34</xdr:row>
      <xdr:rowOff>42333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9A7CFB6-0BCE-46A2-87E9-1CD5195E7309}"/>
            </a:ext>
          </a:extLst>
        </xdr:cNvPr>
        <xdr:cNvCxnSpPr/>
      </xdr:nvCxnSpPr>
      <xdr:spPr>
        <a:xfrm flipH="1" flipV="1">
          <a:off x="11779251" y="7334251"/>
          <a:ext cx="1291165" cy="155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1571623</xdr:colOff>
      <xdr:row>24</xdr:row>
      <xdr:rowOff>223836</xdr:rowOff>
    </xdr:from>
    <xdr:to>
      <xdr:col>6</xdr:col>
      <xdr:colOff>238125</xdr:colOff>
      <xdr:row>43</xdr:row>
      <xdr:rowOff>202406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059B04-BF39-4816-96A2-59E787353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976312</xdr:colOff>
      <xdr:row>17</xdr:row>
      <xdr:rowOff>166687</xdr:rowOff>
    </xdr:from>
    <xdr:to>
      <xdr:col>2</xdr:col>
      <xdr:colOff>5548312</xdr:colOff>
      <xdr:row>17</xdr:row>
      <xdr:rowOff>166687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973B14-BF60-4855-B7DC-A179B25E602D}"/>
            </a:ext>
          </a:extLst>
        </xdr:cNvPr>
        <xdr:cNvCxnSpPr/>
      </xdr:nvCxnSpPr>
      <xdr:spPr>
        <a:xfrm flipH="1">
          <a:off x="5929312" y="4202906"/>
          <a:ext cx="457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1500187</xdr:colOff>
      <xdr:row>14</xdr:row>
      <xdr:rowOff>242886</xdr:rowOff>
    </xdr:from>
    <xdr:to>
      <xdr:col>7</xdr:col>
      <xdr:colOff>733425</xdr:colOff>
      <xdr:row>31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BCD4E-6B28-42CD-B65C-11F9F29DF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13</xdr:row>
      <xdr:rowOff>148166</xdr:rowOff>
    </xdr:from>
    <xdr:to>
      <xdr:col>4</xdr:col>
      <xdr:colOff>42333</xdr:colOff>
      <xdr:row>18</xdr:row>
      <xdr:rowOff>42334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EB1782D-764D-41BB-BE56-7512AA229F96}"/>
            </a:ext>
          </a:extLst>
        </xdr:cNvPr>
        <xdr:cNvCxnSpPr/>
      </xdr:nvCxnSpPr>
      <xdr:spPr>
        <a:xfrm flipH="1">
          <a:off x="8075083" y="3534833"/>
          <a:ext cx="783167" cy="1164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2857500</xdr:colOff>
      <xdr:row>10</xdr:row>
      <xdr:rowOff>42333</xdr:rowOff>
    </xdr:from>
    <xdr:to>
      <xdr:col>3</xdr:col>
      <xdr:colOff>232834</xdr:colOff>
      <xdr:row>18</xdr:row>
      <xdr:rowOff>105834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3E4DF0C-DED7-49D1-A2FF-93AEADE9003B}"/>
            </a:ext>
          </a:extLst>
        </xdr:cNvPr>
        <xdr:cNvCxnSpPr/>
      </xdr:nvCxnSpPr>
      <xdr:spPr>
        <a:xfrm flipH="1">
          <a:off x="6212417" y="2582333"/>
          <a:ext cx="1619250" cy="2137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27</xdr:row>
      <xdr:rowOff>232834</xdr:rowOff>
    </xdr:from>
    <xdr:to>
      <xdr:col>8</xdr:col>
      <xdr:colOff>222250</xdr:colOff>
      <xdr:row>29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25AF83D-B5CE-439D-9FED-D95D2C2EAA37}"/>
            </a:ext>
          </a:extLst>
        </xdr:cNvPr>
        <xdr:cNvCxnSpPr/>
      </xdr:nvCxnSpPr>
      <xdr:spPr>
        <a:xfrm>
          <a:off x="12530667" y="7133167"/>
          <a:ext cx="1375833" cy="275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309562</xdr:colOff>
      <xdr:row>14</xdr:row>
      <xdr:rowOff>195261</xdr:rowOff>
    </xdr:from>
    <xdr:to>
      <xdr:col>6</xdr:col>
      <xdr:colOff>762000</xdr:colOff>
      <xdr:row>31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16BB4-AEDD-4BDA-9A10-45FCA133A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3598333</xdr:colOff>
      <xdr:row>11</xdr:row>
      <xdr:rowOff>201083</xdr:rowOff>
    </xdr:from>
    <xdr:to>
      <xdr:col>3</xdr:col>
      <xdr:colOff>719666</xdr:colOff>
      <xdr:row>18</xdr:row>
      <xdr:rowOff>190500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B6735A8-7F59-4603-AD34-47B4919103AD}"/>
            </a:ext>
          </a:extLst>
        </xdr:cNvPr>
        <xdr:cNvCxnSpPr/>
      </xdr:nvCxnSpPr>
      <xdr:spPr>
        <a:xfrm flipH="1">
          <a:off x="6953250" y="2995083"/>
          <a:ext cx="1566333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730251</xdr:colOff>
      <xdr:row>19</xdr:row>
      <xdr:rowOff>137584</xdr:rowOff>
    </xdr:from>
    <xdr:to>
      <xdr:col>7</xdr:col>
      <xdr:colOff>10583</xdr:colOff>
      <xdr:row>19</xdr:row>
      <xdr:rowOff>148167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6C191AE-F3FE-4FA6-A073-A40864B040D8}"/>
            </a:ext>
          </a:extLst>
        </xdr:cNvPr>
        <xdr:cNvCxnSpPr/>
      </xdr:nvCxnSpPr>
      <xdr:spPr>
        <a:xfrm flipV="1">
          <a:off x="10964334" y="5005917"/>
          <a:ext cx="1714499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1344083</xdr:colOff>
      <xdr:row>29</xdr:row>
      <xdr:rowOff>74083</xdr:rowOff>
    </xdr:from>
    <xdr:to>
      <xdr:col>2</xdr:col>
      <xdr:colOff>4381500</xdr:colOff>
      <xdr:row>32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9768864-96CF-44EE-8B06-250D91DD3AF4}"/>
            </a:ext>
          </a:extLst>
        </xdr:cNvPr>
        <xdr:cNvCxnSpPr/>
      </xdr:nvCxnSpPr>
      <xdr:spPr>
        <a:xfrm>
          <a:off x="4699000" y="7482416"/>
          <a:ext cx="3037417" cy="846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376C-EAD9-49CC-BE30-F350575CEF85}">
  <dimension ref="A1:P31"/>
  <sheetViews>
    <sheetView showGridLines="0" zoomScale="70" zoomScaleNormal="70" workbookViewId="0">
      <selection activeCell="C10" sqref="C10"/>
    </sheetView>
  </sheetViews>
  <sheetFormatPr defaultColWidth="9.1484375" defaultRowHeight="20" x14ac:dyDescent="0.4"/>
  <cols>
    <col min="1" max="1" width="34.546875" style="1" bestFit="1" customWidth="1"/>
    <col min="2" max="2" width="12.546875" style="1" bestFit="1" customWidth="1"/>
    <col min="3" max="4" width="9.1484375" style="1"/>
    <col min="5" max="5" width="10.69921875" style="1" bestFit="1" customWidth="1"/>
    <col min="6" max="6" width="9.69921875" style="1" bestFit="1" customWidth="1"/>
    <col min="7" max="7" width="11.34765625" style="1" bestFit="1" customWidth="1"/>
    <col min="8" max="12" width="9.1484375" style="1"/>
    <col min="13" max="13" width="6.84765625" style="1" customWidth="1"/>
    <col min="14" max="16384" width="9.1484375" style="1"/>
  </cols>
  <sheetData>
    <row r="1" spans="1:16" ht="25" x14ac:dyDescent="0.5">
      <c r="A1" s="33" t="s">
        <v>0</v>
      </c>
    </row>
    <row r="3" spans="1:16" x14ac:dyDescent="0.4">
      <c r="A3" s="44" t="s">
        <v>2</v>
      </c>
      <c r="B3" s="44"/>
      <c r="E3" s="17"/>
      <c r="F3" s="18" t="s">
        <v>10</v>
      </c>
      <c r="G3" s="18" t="s">
        <v>11</v>
      </c>
    </row>
    <row r="4" spans="1:16" x14ac:dyDescent="0.4">
      <c r="A4" s="1" t="s">
        <v>5</v>
      </c>
      <c r="B4" s="2">
        <v>1200</v>
      </c>
      <c r="F4" s="19">
        <f>$B$17</f>
        <v>-601.50093789074708</v>
      </c>
      <c r="G4" s="19">
        <f>$B$24</f>
        <v>-1201.5009378907471</v>
      </c>
    </row>
    <row r="5" spans="1:16" ht="24" x14ac:dyDescent="0.6">
      <c r="A5" s="1" t="s">
        <v>44</v>
      </c>
      <c r="B5" s="2">
        <v>1200</v>
      </c>
      <c r="E5" s="2">
        <v>500</v>
      </c>
      <c r="F5" s="16">
        <f t="dataTable" ref="F5:G20" dt2D="0" dtr="0" r1="B11"/>
        <v>-701.50093789074708</v>
      </c>
      <c r="G5" s="16">
        <v>-1201.5009378907471</v>
      </c>
    </row>
    <row r="6" spans="1:16" ht="20.5" x14ac:dyDescent="0.45">
      <c r="A6" s="1" t="s">
        <v>45</v>
      </c>
      <c r="B6" s="2">
        <v>1200</v>
      </c>
      <c r="E6" s="2">
        <v>600</v>
      </c>
      <c r="F6" s="16">
        <v>-601.50093789074708</v>
      </c>
      <c r="G6" s="16">
        <v>-1201.5009378907471</v>
      </c>
      <c r="N6" s="5" t="s">
        <v>77</v>
      </c>
      <c r="O6" s="5"/>
      <c r="P6" s="5"/>
    </row>
    <row r="7" spans="1:16" ht="20.5" x14ac:dyDescent="0.45">
      <c r="A7" s="1" t="s">
        <v>46</v>
      </c>
      <c r="B7" s="2">
        <v>100</v>
      </c>
      <c r="E7" s="2">
        <v>700</v>
      </c>
      <c r="F7" s="16">
        <v>-501.50093789074708</v>
      </c>
      <c r="G7" s="16">
        <v>-1201.5009378907471</v>
      </c>
      <c r="N7" s="5" t="s">
        <v>78</v>
      </c>
      <c r="O7" s="5"/>
      <c r="P7" s="5"/>
    </row>
    <row r="8" spans="1:16" ht="24" x14ac:dyDescent="0.6">
      <c r="A8" s="1" t="s">
        <v>47</v>
      </c>
      <c r="B8" s="20">
        <v>1</v>
      </c>
      <c r="E8" s="2">
        <v>800</v>
      </c>
      <c r="F8" s="16">
        <v>-401.50093789074708</v>
      </c>
      <c r="G8" s="16">
        <v>-1201.5009378907471</v>
      </c>
      <c r="N8" s="5" t="s">
        <v>79</v>
      </c>
      <c r="O8" s="5"/>
      <c r="P8" s="5"/>
    </row>
    <row r="9" spans="1:16" ht="20.5" x14ac:dyDescent="0.45">
      <c r="A9" s="1" t="s">
        <v>22</v>
      </c>
      <c r="B9" s="8">
        <v>5.0000000000000001E-3</v>
      </c>
      <c r="E9" s="2">
        <v>900</v>
      </c>
      <c r="F9" s="16">
        <v>-301.50093789074708</v>
      </c>
      <c r="G9" s="16">
        <v>-1201.5009378907471</v>
      </c>
      <c r="N9" s="5" t="s">
        <v>80</v>
      </c>
      <c r="O9" s="5"/>
      <c r="P9" s="5"/>
    </row>
    <row r="10" spans="1:16" ht="20.5" x14ac:dyDescent="0.45">
      <c r="A10" s="1" t="s">
        <v>4</v>
      </c>
      <c r="B10" s="21">
        <f>3/12</f>
        <v>0.25</v>
      </c>
      <c r="E10" s="2">
        <v>1000</v>
      </c>
      <c r="F10" s="16">
        <v>-201.50093789074708</v>
      </c>
      <c r="G10" s="16">
        <v>-1201.5009378907471</v>
      </c>
      <c r="N10" s="5" t="s">
        <v>81</v>
      </c>
      <c r="O10" s="5"/>
      <c r="P10" s="5"/>
    </row>
    <row r="11" spans="1:16" ht="24" x14ac:dyDescent="0.6">
      <c r="A11" s="1" t="s">
        <v>48</v>
      </c>
      <c r="B11" s="2">
        <v>600</v>
      </c>
      <c r="E11" s="2">
        <v>1100</v>
      </c>
      <c r="F11" s="16">
        <v>-101.50093789074708</v>
      </c>
      <c r="G11" s="16">
        <v>-1201.5009378907471</v>
      </c>
      <c r="N11" s="5" t="s">
        <v>82</v>
      </c>
      <c r="O11" s="5"/>
      <c r="P11" s="5"/>
    </row>
    <row r="12" spans="1:16" ht="20.5" x14ac:dyDescent="0.45">
      <c r="E12" s="2">
        <v>1200</v>
      </c>
      <c r="F12" s="16">
        <v>-1.5009378907470818</v>
      </c>
      <c r="G12" s="16">
        <v>-1201.5009378907471</v>
      </c>
      <c r="N12" s="5" t="s">
        <v>83</v>
      </c>
      <c r="O12" s="5"/>
      <c r="P12" s="5"/>
    </row>
    <row r="13" spans="1:16" ht="20.5" x14ac:dyDescent="0.45">
      <c r="A13" s="44" t="s">
        <v>10</v>
      </c>
      <c r="B13" s="44"/>
      <c r="E13" s="2">
        <v>1300</v>
      </c>
      <c r="F13" s="16">
        <v>98.499062109252918</v>
      </c>
      <c r="G13" s="16">
        <v>-1.5009378907470818</v>
      </c>
      <c r="N13" s="5" t="s">
        <v>84</v>
      </c>
      <c r="O13" s="5"/>
      <c r="P13" s="5"/>
    </row>
    <row r="14" spans="1:16" ht="20.5" x14ac:dyDescent="0.45">
      <c r="A14" s="1" t="s">
        <v>6</v>
      </c>
      <c r="B14" s="22">
        <f>-B5</f>
        <v>-1200</v>
      </c>
      <c r="C14" s="5" t="str">
        <f ca="1">_xlfn.FORMULATEXT(B14)</f>
        <v>=-B5</v>
      </c>
      <c r="E14" s="2">
        <v>1400</v>
      </c>
      <c r="F14" s="16">
        <v>198.49906210925292</v>
      </c>
      <c r="G14" s="16">
        <v>1198.4990621092529</v>
      </c>
      <c r="N14" s="5" t="s">
        <v>85</v>
      </c>
      <c r="O14" s="5"/>
      <c r="P14" s="5"/>
    </row>
    <row r="15" spans="1:16" ht="20.5" x14ac:dyDescent="0.45">
      <c r="A15" s="1" t="s">
        <v>7</v>
      </c>
      <c r="B15" s="22">
        <f>B14*EXP(B9*B10)</f>
        <v>-1201.5009378907471</v>
      </c>
      <c r="C15" s="5" t="str">
        <f t="shared" ref="C15:C18" ca="1" si="0">_xlfn.FORMULATEXT(B15)</f>
        <v>=B14*EXP(B9*B10)</v>
      </c>
      <c r="E15" s="2">
        <v>1500</v>
      </c>
      <c r="F15" s="16">
        <v>298.49906210925292</v>
      </c>
      <c r="G15" s="16">
        <v>2398.4990621092529</v>
      </c>
      <c r="N15" s="5" t="s">
        <v>86</v>
      </c>
      <c r="O15" s="5"/>
      <c r="P15" s="5"/>
    </row>
    <row r="16" spans="1:16" ht="21" thickBot="1" x14ac:dyDescent="0.5">
      <c r="A16" s="23" t="s">
        <v>8</v>
      </c>
      <c r="B16" s="24">
        <f>B11</f>
        <v>600</v>
      </c>
      <c r="C16" s="5" t="str">
        <f t="shared" ca="1" si="0"/>
        <v>=B11</v>
      </c>
      <c r="E16" s="2">
        <v>1600</v>
      </c>
      <c r="F16" s="16">
        <v>398.49906210925292</v>
      </c>
      <c r="G16" s="16">
        <v>3598.4990621092529</v>
      </c>
      <c r="N16" s="5"/>
      <c r="O16" s="5"/>
      <c r="P16" s="5"/>
    </row>
    <row r="17" spans="1:7" ht="21" thickTop="1" x14ac:dyDescent="0.45">
      <c r="A17" s="1" t="s">
        <v>9</v>
      </c>
      <c r="B17" s="22">
        <f>SUM(B15:B16)</f>
        <v>-601.50093789074708</v>
      </c>
      <c r="C17" s="5" t="str">
        <f t="shared" ca="1" si="0"/>
        <v>=SUM(B15:B16)</v>
      </c>
      <c r="E17" s="2">
        <v>1700</v>
      </c>
      <c r="F17" s="16">
        <v>498.49906210925292</v>
      </c>
      <c r="G17" s="16">
        <v>4798.4990621092529</v>
      </c>
    </row>
    <row r="18" spans="1:7" ht="20.5" x14ac:dyDescent="0.45">
      <c r="A18" s="1" t="s">
        <v>16</v>
      </c>
      <c r="B18" s="25">
        <f>-B17/B15</f>
        <v>-0.5006246095377096</v>
      </c>
      <c r="C18" s="5" t="str">
        <f t="shared" ca="1" si="0"/>
        <v>=-B17/B15</v>
      </c>
      <c r="E18" s="2">
        <v>1800</v>
      </c>
      <c r="F18" s="16">
        <v>598.49906210925292</v>
      </c>
      <c r="G18" s="16">
        <v>5998.4990621092529</v>
      </c>
    </row>
    <row r="19" spans="1:7" x14ac:dyDescent="0.4">
      <c r="E19" s="2">
        <v>1900</v>
      </c>
      <c r="F19" s="16">
        <v>698.49906210925292</v>
      </c>
      <c r="G19" s="16">
        <v>7198.4990621092529</v>
      </c>
    </row>
    <row r="20" spans="1:7" x14ac:dyDescent="0.4">
      <c r="A20" s="44" t="s">
        <v>11</v>
      </c>
      <c r="B20" s="44"/>
      <c r="E20" s="2">
        <v>2000</v>
      </c>
      <c r="F20" s="16">
        <v>798.49906210925292</v>
      </c>
      <c r="G20" s="16">
        <v>8398.4990621092529</v>
      </c>
    </row>
    <row r="21" spans="1:7" ht="20.5" x14ac:dyDescent="0.45">
      <c r="A21" s="1" t="s">
        <v>12</v>
      </c>
      <c r="B21" s="26">
        <f>B4/B7</f>
        <v>12</v>
      </c>
      <c r="C21" s="5" t="str">
        <f t="shared" ref="C21:C26" ca="1" si="1">_xlfn.FORMULATEXT(B21)</f>
        <v>=B4/B7</v>
      </c>
    </row>
    <row r="22" spans="1:7" ht="20.5" x14ac:dyDescent="0.45">
      <c r="A22" s="1" t="s">
        <v>13</v>
      </c>
      <c r="B22" s="7">
        <f>B21*-B7</f>
        <v>-1200</v>
      </c>
      <c r="C22" s="5" t="str">
        <f t="shared" ca="1" si="1"/>
        <v>=B21*-B7</v>
      </c>
    </row>
    <row r="23" spans="1:7" ht="20.5" x14ac:dyDescent="0.45">
      <c r="A23" s="1" t="s">
        <v>14</v>
      </c>
      <c r="B23" s="7">
        <f>B22*EXP(B9*B10)</f>
        <v>-1201.5009378907471</v>
      </c>
      <c r="C23" s="5" t="str">
        <f t="shared" ca="1" si="1"/>
        <v>=B22*EXP(B9*B10)</v>
      </c>
    </row>
    <row r="24" spans="1:7" ht="20.5" x14ac:dyDescent="0.45">
      <c r="A24" s="1" t="s">
        <v>9</v>
      </c>
      <c r="B24" s="16">
        <f>(MAX($B$11-$B$6,0)*$B$21*$B$8)+$B$23</f>
        <v>-1201.5009378907471</v>
      </c>
      <c r="C24" s="5" t="str">
        <f t="shared" ca="1" si="1"/>
        <v>=(MAX($B$11-$B$6,0)*$B$21*$B$8)+$B$23</v>
      </c>
    </row>
    <row r="25" spans="1:7" ht="20.5" x14ac:dyDescent="0.45">
      <c r="A25" s="1" t="s">
        <v>15</v>
      </c>
      <c r="B25" s="7">
        <f>(MAX($B$11-$B$6,0)-(B7*EXP(B9*B10)))*($B$21*$B$8)</f>
        <v>-1201.5009378907471</v>
      </c>
      <c r="C25" s="5" t="str">
        <f t="shared" ca="1" si="1"/>
        <v>=(MAX($B$11-$B$6,0)-(B7*EXP(B9*B10)))*($B$21*$B$8)</v>
      </c>
    </row>
    <row r="26" spans="1:7" ht="20.5" x14ac:dyDescent="0.45">
      <c r="A26" s="1" t="s">
        <v>16</v>
      </c>
      <c r="B26" s="27" t="b">
        <f>B24=B25</f>
        <v>1</v>
      </c>
      <c r="C26" s="5" t="str">
        <f t="shared" ca="1" si="1"/>
        <v>=B24=B25</v>
      </c>
    </row>
    <row r="29" spans="1:7" x14ac:dyDescent="0.4">
      <c r="A29" s="1" t="s">
        <v>112</v>
      </c>
    </row>
    <row r="30" spans="1:7" x14ac:dyDescent="0.4">
      <c r="A30" s="43" t="s">
        <v>113</v>
      </c>
    </row>
    <row r="31" spans="1:7" x14ac:dyDescent="0.4">
      <c r="A31" s="43" t="s">
        <v>114</v>
      </c>
    </row>
  </sheetData>
  <mergeCells count="3">
    <mergeCell ref="A3:B3"/>
    <mergeCell ref="A13:B13"/>
    <mergeCell ref="A20:B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26DC-0B04-4B5B-ABFF-4D484C6096D7}">
  <dimension ref="A1:G37"/>
  <sheetViews>
    <sheetView showGridLines="0" zoomScale="70" zoomScaleNormal="70" workbookViewId="0">
      <selection activeCell="B12" sqref="B12"/>
    </sheetView>
  </sheetViews>
  <sheetFormatPr defaultColWidth="9.1484375" defaultRowHeight="20" x14ac:dyDescent="0.4"/>
  <cols>
    <col min="1" max="1" width="22" style="1" customWidth="1"/>
    <col min="2" max="2" width="25.3984375" style="1" customWidth="1"/>
    <col min="3" max="3" width="47.19921875" style="1" customWidth="1"/>
    <col min="4" max="16384" width="9.1484375" style="1"/>
  </cols>
  <sheetData>
    <row r="1" spans="1:3" x14ac:dyDescent="0.4">
      <c r="A1" s="45" t="s">
        <v>17</v>
      </c>
      <c r="B1" s="45"/>
      <c r="C1" s="45"/>
    </row>
    <row r="2" spans="1:3" ht="20.5" x14ac:dyDescent="0.45">
      <c r="A2" s="41" t="s">
        <v>111</v>
      </c>
      <c r="B2" s="41"/>
      <c r="C2" s="41"/>
    </row>
    <row r="3" spans="1:3" ht="24" x14ac:dyDescent="0.6">
      <c r="A3" s="1" t="s">
        <v>37</v>
      </c>
      <c r="B3" s="2">
        <v>35.5</v>
      </c>
    </row>
    <row r="4" spans="1:3" ht="24" x14ac:dyDescent="0.6">
      <c r="A4" s="1" t="s">
        <v>38</v>
      </c>
      <c r="B4" s="2">
        <v>50</v>
      </c>
    </row>
    <row r="5" spans="1:3" x14ac:dyDescent="0.4">
      <c r="A5" s="1" t="s">
        <v>18</v>
      </c>
      <c r="B5" s="3">
        <v>44202</v>
      </c>
    </row>
    <row r="6" spans="1:3" x14ac:dyDescent="0.4">
      <c r="A6" s="1" t="s">
        <v>19</v>
      </c>
      <c r="B6" s="3">
        <v>44270</v>
      </c>
    </row>
    <row r="7" spans="1:3" ht="20.5" x14ac:dyDescent="0.45">
      <c r="A7" s="1" t="s">
        <v>3</v>
      </c>
      <c r="B7" s="4">
        <f>YEARFRAC(B5,B6,1)</f>
        <v>0.18630136986301371</v>
      </c>
      <c r="C7" s="5" t="str">
        <f ca="1">_xlfn.FORMULATEXT(B7)</f>
        <v>=YEARFRAC(B5,B6,1)</v>
      </c>
    </row>
    <row r="8" spans="1:3" x14ac:dyDescent="0.4">
      <c r="A8" s="1" t="s">
        <v>20</v>
      </c>
      <c r="B8" s="2">
        <v>3</v>
      </c>
    </row>
    <row r="9" spans="1:3" x14ac:dyDescent="0.4">
      <c r="A9" s="1" t="s">
        <v>21</v>
      </c>
      <c r="B9" s="2">
        <v>36</v>
      </c>
    </row>
    <row r="10" spans="1:3" ht="24" x14ac:dyDescent="0.6">
      <c r="A10" s="1" t="s">
        <v>39</v>
      </c>
      <c r="B10" s="6">
        <v>100</v>
      </c>
    </row>
    <row r="11" spans="1:3" x14ac:dyDescent="0.4">
      <c r="A11" s="1" t="s">
        <v>23</v>
      </c>
      <c r="B11" s="8">
        <v>0.01</v>
      </c>
    </row>
    <row r="12" spans="1:3" x14ac:dyDescent="0.4">
      <c r="A12" s="1" t="s">
        <v>26</v>
      </c>
      <c r="B12" s="6">
        <v>1</v>
      </c>
    </row>
    <row r="13" spans="1:3" x14ac:dyDescent="0.4">
      <c r="C13" s="11"/>
    </row>
    <row r="14" spans="1:3" ht="23.5" x14ac:dyDescent="0.6">
      <c r="C14" s="10" t="s">
        <v>42</v>
      </c>
    </row>
    <row r="15" spans="1:3" ht="20.5" x14ac:dyDescent="0.45">
      <c r="A15" s="1" t="s">
        <v>25</v>
      </c>
      <c r="B15" s="7">
        <f>(MAX($B$4-$B$9,0)*($B$10*$B$12))</f>
        <v>1400</v>
      </c>
      <c r="C15" s="5" t="str">
        <f ca="1">_xlfn.FORMULATEXT(B15)</f>
        <v>=(MAX($B$4-$B$9,0)*($B$10*$B$12))</v>
      </c>
    </row>
    <row r="16" spans="1:3" ht="23.5" x14ac:dyDescent="0.6">
      <c r="B16" s="11"/>
      <c r="C16" s="10" t="s">
        <v>43</v>
      </c>
    </row>
    <row r="17" spans="1:3" ht="20.5" x14ac:dyDescent="0.45">
      <c r="A17" s="12" t="s">
        <v>27</v>
      </c>
      <c r="B17" s="7">
        <f>(MAX($B$4-$B$9,0)-($B$8*EXP($B$11*$B$7)))*($B$10*$B$12)</f>
        <v>1099.4405749439447</v>
      </c>
      <c r="C17" s="5" t="str">
        <f ca="1">_xlfn.FORMULATEXT(B17)</f>
        <v>=(MAX($B$4-$B$9,0)-($B$8*EXP($B$11*$B$7)))*($B$10*$B$12)</v>
      </c>
    </row>
    <row r="20" spans="1:3" ht="20.5" x14ac:dyDescent="0.45">
      <c r="A20" s="12" t="s">
        <v>28</v>
      </c>
      <c r="B20" s="14">
        <f>$B$17</f>
        <v>1099.4405749439447</v>
      </c>
      <c r="C20" s="5" t="str">
        <f ca="1">_xlfn.FORMULATEXT(B20)</f>
        <v>=$B$17</v>
      </c>
    </row>
    <row r="21" spans="1:3" x14ac:dyDescent="0.4">
      <c r="A21" s="36">
        <v>0</v>
      </c>
      <c r="B21" s="16">
        <f t="dataTable" ref="B21:B31" dt2D="0" dtr="0" r1="B4"/>
        <v>-300.55942505605515</v>
      </c>
    </row>
    <row r="22" spans="1:3" x14ac:dyDescent="0.4">
      <c r="A22" s="15">
        <v>10.5</v>
      </c>
      <c r="B22" s="16">
        <v>-300.55942505605515</v>
      </c>
    </row>
    <row r="23" spans="1:3" x14ac:dyDescent="0.4">
      <c r="A23" s="15">
        <v>15.5</v>
      </c>
      <c r="B23" s="16">
        <v>-300.55942505605515</v>
      </c>
    </row>
    <row r="24" spans="1:3" x14ac:dyDescent="0.4">
      <c r="A24" s="15">
        <v>20.5</v>
      </c>
      <c r="B24" s="16">
        <v>-300.55942505605515</v>
      </c>
    </row>
    <row r="25" spans="1:3" x14ac:dyDescent="0.4">
      <c r="A25" s="15">
        <v>25.5</v>
      </c>
      <c r="B25" s="16">
        <v>-300.55942505605515</v>
      </c>
    </row>
    <row r="26" spans="1:3" x14ac:dyDescent="0.4">
      <c r="A26" s="15">
        <v>30.5</v>
      </c>
      <c r="B26" s="16">
        <v>-300.55942505605515</v>
      </c>
    </row>
    <row r="27" spans="1:3" x14ac:dyDescent="0.4">
      <c r="A27" s="15">
        <v>35.5</v>
      </c>
      <c r="B27" s="16">
        <v>-300.55942505605515</v>
      </c>
    </row>
    <row r="28" spans="1:3" x14ac:dyDescent="0.4">
      <c r="A28" s="15">
        <v>40.5</v>
      </c>
      <c r="B28" s="16">
        <v>149.44057494394488</v>
      </c>
    </row>
    <row r="29" spans="1:3" x14ac:dyDescent="0.4">
      <c r="A29" s="15">
        <v>45.5</v>
      </c>
      <c r="B29" s="16">
        <v>649.44057494394485</v>
      </c>
    </row>
    <row r="30" spans="1:3" x14ac:dyDescent="0.4">
      <c r="A30" s="15">
        <v>50.5</v>
      </c>
      <c r="B30" s="16">
        <v>1149.4405749439447</v>
      </c>
    </row>
    <row r="31" spans="1:3" x14ac:dyDescent="0.4">
      <c r="A31" s="15">
        <v>55.5</v>
      </c>
      <c r="B31" s="16">
        <v>1649.4405749439447</v>
      </c>
    </row>
    <row r="33" spans="1:7" ht="20.5" x14ac:dyDescent="0.45">
      <c r="A33" s="32" t="s">
        <v>61</v>
      </c>
      <c r="B33" s="7">
        <f>MIN(B21:B31)</f>
        <v>-300.55942505605515</v>
      </c>
      <c r="C33" s="5" t="str">
        <f t="shared" ref="C33" ca="1" si="0">_xlfn.FORMULATEXT(B33)</f>
        <v>=MIN(B21:B31)</v>
      </c>
    </row>
    <row r="34" spans="1:7" ht="20.5" x14ac:dyDescent="0.45">
      <c r="A34" s="32" t="s">
        <v>62</v>
      </c>
      <c r="B34" s="35" t="s">
        <v>118</v>
      </c>
      <c r="C34" s="5"/>
    </row>
    <row r="35" spans="1:7" ht="20.5" x14ac:dyDescent="0.45">
      <c r="C35" s="5" t="s">
        <v>73</v>
      </c>
      <c r="D35" s="5" t="s">
        <v>74</v>
      </c>
      <c r="E35" s="5"/>
      <c r="F35" s="5"/>
      <c r="G35" s="5"/>
    </row>
    <row r="36" spans="1:7" ht="20.5" x14ac:dyDescent="0.45">
      <c r="D36" s="5" t="s">
        <v>75</v>
      </c>
      <c r="E36" s="5"/>
      <c r="F36" s="5"/>
      <c r="G36" s="5"/>
    </row>
    <row r="37" spans="1:7" ht="23.5" x14ac:dyDescent="0.45">
      <c r="D37" s="38" t="s">
        <v>76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3A73-7D68-47A4-9584-F31758340983}">
  <dimension ref="A1:J47"/>
  <sheetViews>
    <sheetView showGridLines="0" zoomScale="70" zoomScaleNormal="70" workbookViewId="0">
      <selection activeCell="C16" sqref="C16"/>
    </sheetView>
  </sheetViews>
  <sheetFormatPr defaultColWidth="9.1484375" defaultRowHeight="20" x14ac:dyDescent="0.4"/>
  <cols>
    <col min="1" max="1" width="25.796875" style="1" bestFit="1" customWidth="1"/>
    <col min="2" max="2" width="11.34765625" style="1" bestFit="1" customWidth="1"/>
    <col min="3" max="3" width="43.296875" style="1" customWidth="1"/>
    <col min="4" max="6" width="9.1484375" style="1"/>
    <col min="7" max="7" width="4.84765625" style="1" customWidth="1"/>
    <col min="8" max="16384" width="9.1484375" style="1"/>
  </cols>
  <sheetData>
    <row r="1" spans="1:3" x14ac:dyDescent="0.4">
      <c r="A1" s="45" t="s">
        <v>33</v>
      </c>
      <c r="B1" s="45"/>
      <c r="C1" s="45"/>
    </row>
    <row r="2" spans="1:3" ht="20.5" x14ac:dyDescent="0.45">
      <c r="A2" s="41" t="s">
        <v>110</v>
      </c>
      <c r="B2" s="39"/>
      <c r="C2" s="39"/>
    </row>
    <row r="3" spans="1:3" ht="24" x14ac:dyDescent="0.6">
      <c r="A3" s="1" t="s">
        <v>37</v>
      </c>
      <c r="B3" s="2">
        <v>35.5</v>
      </c>
    </row>
    <row r="4" spans="1:3" ht="24" x14ac:dyDescent="0.6">
      <c r="A4" s="1" t="s">
        <v>38</v>
      </c>
      <c r="B4" s="2">
        <v>20</v>
      </c>
    </row>
    <row r="5" spans="1:3" x14ac:dyDescent="0.4">
      <c r="A5" s="1" t="s">
        <v>18</v>
      </c>
      <c r="B5" s="3">
        <v>44202</v>
      </c>
    </row>
    <row r="6" spans="1:3" x14ac:dyDescent="0.4">
      <c r="A6" s="1" t="s">
        <v>115</v>
      </c>
      <c r="B6" s="3">
        <v>44222</v>
      </c>
    </row>
    <row r="7" spans="1:3" x14ac:dyDescent="0.4">
      <c r="A7" s="1" t="s">
        <v>19</v>
      </c>
      <c r="B7" s="3">
        <v>44270</v>
      </c>
    </row>
    <row r="8" spans="1:3" x14ac:dyDescent="0.4">
      <c r="A8" s="1" t="s">
        <v>117</v>
      </c>
      <c r="B8" s="4">
        <f>YEARFRAC($B$6,B7,1)</f>
        <v>0.13150684931506848</v>
      </c>
    </row>
    <row r="9" spans="1:3" ht="20.5" x14ac:dyDescent="0.45">
      <c r="A9" s="1" t="s">
        <v>3</v>
      </c>
      <c r="B9" s="4">
        <f>YEARFRAC($B$5,B7,1)</f>
        <v>0.18630136986301371</v>
      </c>
      <c r="C9" s="5" t="str">
        <f ca="1">_xlfn.FORMULATEXT(B9)</f>
        <v>=YEARFRAC($B$5,B7,1)</v>
      </c>
    </row>
    <row r="10" spans="1:3" ht="20.5" x14ac:dyDescent="0.45">
      <c r="C10" s="5"/>
    </row>
    <row r="11" spans="1:3" x14ac:dyDescent="0.4">
      <c r="A11" s="1" t="s">
        <v>30</v>
      </c>
      <c r="B11" s="6">
        <v>100</v>
      </c>
    </row>
    <row r="12" spans="1:3" ht="20.5" x14ac:dyDescent="0.45">
      <c r="A12" s="1" t="s">
        <v>31</v>
      </c>
      <c r="B12" s="7">
        <f>($B$4-($B$3*EXP($B$17*$B$9)))*$B$11</f>
        <v>-1556.6198631633192</v>
      </c>
      <c r="C12" s="5" t="str">
        <f ca="1">_xlfn.FORMULATEXT(B12)</f>
        <v>=($B$4-($B$3*EXP($B$17*$B$9)))*$B$11</v>
      </c>
    </row>
    <row r="13" spans="1:3" ht="20.5" x14ac:dyDescent="0.45">
      <c r="C13" s="5"/>
    </row>
    <row r="14" spans="1:3" x14ac:dyDescent="0.4">
      <c r="A14" s="1" t="s">
        <v>36</v>
      </c>
      <c r="B14" s="2">
        <v>2.5</v>
      </c>
    </row>
    <row r="15" spans="1:3" x14ac:dyDescent="0.4">
      <c r="A15" s="1" t="s">
        <v>29</v>
      </c>
      <c r="B15" s="2">
        <v>36</v>
      </c>
    </row>
    <row r="16" spans="1:3" ht="24" x14ac:dyDescent="0.6">
      <c r="A16" s="1" t="s">
        <v>39</v>
      </c>
      <c r="B16" s="6">
        <v>100</v>
      </c>
    </row>
    <row r="17" spans="1:10" x14ac:dyDescent="0.4">
      <c r="A17" s="1" t="s">
        <v>23</v>
      </c>
      <c r="B17" s="8">
        <v>0.01</v>
      </c>
    </row>
    <row r="18" spans="1:10" ht="20.5" x14ac:dyDescent="0.45">
      <c r="A18" s="1" t="s">
        <v>26</v>
      </c>
      <c r="B18" s="9">
        <f>B11/B16</f>
        <v>1</v>
      </c>
      <c r="C18" s="5" t="str">
        <f ca="1">_xlfn.FORMULATEXT(B18)</f>
        <v>=B11/B16</v>
      </c>
      <c r="D18" s="5" t="s">
        <v>63</v>
      </c>
      <c r="E18" s="5"/>
      <c r="F18" s="5"/>
      <c r="G18" s="5"/>
    </row>
    <row r="19" spans="1:10" ht="23.5" x14ac:dyDescent="0.6">
      <c r="C19" s="10" t="s">
        <v>40</v>
      </c>
      <c r="D19" s="5" t="s">
        <v>64</v>
      </c>
      <c r="E19" s="5"/>
      <c r="F19" s="5"/>
      <c r="G19" s="5"/>
    </row>
    <row r="20" spans="1:10" ht="20.5" x14ac:dyDescent="0.45">
      <c r="A20" s="1" t="s">
        <v>34</v>
      </c>
      <c r="B20" s="7">
        <f>MAX($B$15-$B$4)*($B$18*$B$16)</f>
        <v>1600</v>
      </c>
      <c r="C20" s="5" t="str">
        <f ca="1">_xlfn.FORMULATEXT(B20)</f>
        <v>=MAX($B$15-$B$4)*($B$18*$B$16)</v>
      </c>
      <c r="D20" s="5" t="s">
        <v>65</v>
      </c>
      <c r="E20" s="5"/>
      <c r="F20" s="5"/>
      <c r="G20" s="5"/>
    </row>
    <row r="21" spans="1:10" ht="23.5" x14ac:dyDescent="0.6">
      <c r="B21" s="11"/>
      <c r="C21" s="10" t="s">
        <v>41</v>
      </c>
    </row>
    <row r="22" spans="1:10" ht="20.5" x14ac:dyDescent="0.45">
      <c r="A22" s="1" t="s">
        <v>35</v>
      </c>
      <c r="B22" s="7">
        <f>(MAX($B$15-$B$4,0)-($B$14*EXP($B$17*$B$8)))*($B$18*$B$16)</f>
        <v>1349.6710166062765</v>
      </c>
      <c r="C22" s="5" t="str">
        <f ca="1">_xlfn.FORMULATEXT(B22)</f>
        <v>=(MAX($B$15-$B$4,0)-($B$14*EXP($B$17*$B$8)))*($B$18*$B$16)</v>
      </c>
    </row>
    <row r="23" spans="1:10" ht="20.5" x14ac:dyDescent="0.45">
      <c r="C23" s="11"/>
      <c r="D23" s="5"/>
    </row>
    <row r="24" spans="1:10" ht="20.5" x14ac:dyDescent="0.45">
      <c r="A24" s="12" t="s">
        <v>32</v>
      </c>
      <c r="B24" s="13">
        <f>SUM(B22,B12)</f>
        <v>-206.94884655704277</v>
      </c>
      <c r="C24" s="5" t="str">
        <f ca="1">_xlfn.FORMULATEXT(B24)</f>
        <v>=SUM(B22,B12)</v>
      </c>
    </row>
    <row r="26" spans="1:10" ht="20.5" x14ac:dyDescent="0.45">
      <c r="A26" s="12" t="s">
        <v>28</v>
      </c>
      <c r="B26" s="37">
        <f>B24</f>
        <v>-206.94884655704277</v>
      </c>
      <c r="C26" s="5" t="str">
        <f t="shared" ref="C26:C27" ca="1" si="0">_xlfn.FORMULATEXT(B26)</f>
        <v>=B24</v>
      </c>
    </row>
    <row r="27" spans="1:10" ht="20.5" x14ac:dyDescent="0.45">
      <c r="A27" s="15">
        <v>3</v>
      </c>
      <c r="B27" s="16">
        <f t="dataTable" ref="B27:B44" dt2D="0" dtr="0" r1="B4"/>
        <v>-206.94884655704254</v>
      </c>
      <c r="C27" s="5" t="str">
        <f t="shared" ca="1" si="0"/>
        <v>{=TABLE(,B4)}</v>
      </c>
      <c r="H27" s="5" t="s">
        <v>66</v>
      </c>
      <c r="I27" s="5"/>
      <c r="J27" s="5"/>
    </row>
    <row r="28" spans="1:10" ht="20.5" x14ac:dyDescent="0.45">
      <c r="A28" s="15">
        <v>6</v>
      </c>
      <c r="B28" s="16">
        <v>-206.94884655704254</v>
      </c>
      <c r="H28" s="5" t="s">
        <v>67</v>
      </c>
      <c r="I28" s="5"/>
      <c r="J28" s="5"/>
    </row>
    <row r="29" spans="1:10" ht="20.5" x14ac:dyDescent="0.45">
      <c r="A29" s="15">
        <v>9</v>
      </c>
      <c r="B29" s="16">
        <v>-206.94884655704254</v>
      </c>
      <c r="H29" s="5" t="s">
        <v>68</v>
      </c>
      <c r="I29" s="5"/>
      <c r="J29" s="5"/>
    </row>
    <row r="30" spans="1:10" ht="20.5" x14ac:dyDescent="0.45">
      <c r="A30" s="15">
        <v>12</v>
      </c>
      <c r="B30" s="16">
        <v>-206.94884655704254</v>
      </c>
      <c r="H30" s="5" t="s">
        <v>70</v>
      </c>
      <c r="I30" s="5"/>
      <c r="J30" s="5"/>
    </row>
    <row r="31" spans="1:10" ht="20.5" x14ac:dyDescent="0.45">
      <c r="A31" s="15">
        <v>15</v>
      </c>
      <c r="B31" s="16">
        <v>-206.94884655704277</v>
      </c>
      <c r="H31" s="5" t="s">
        <v>72</v>
      </c>
      <c r="I31" s="5"/>
      <c r="J31" s="5"/>
    </row>
    <row r="32" spans="1:10" ht="20.5" x14ac:dyDescent="0.45">
      <c r="A32" s="15">
        <v>18</v>
      </c>
      <c r="B32" s="16">
        <v>-206.94884655704277</v>
      </c>
      <c r="H32" s="5" t="s">
        <v>71</v>
      </c>
      <c r="I32" s="5"/>
      <c r="J32" s="5"/>
    </row>
    <row r="33" spans="1:10" ht="20.5" x14ac:dyDescent="0.45">
      <c r="A33" s="15">
        <v>21</v>
      </c>
      <c r="B33" s="16">
        <v>-206.94884655704277</v>
      </c>
      <c r="H33" s="5" t="s">
        <v>69</v>
      </c>
      <c r="I33" s="5"/>
      <c r="J33" s="5"/>
    </row>
    <row r="34" spans="1:10" ht="20.5" x14ac:dyDescent="0.45">
      <c r="A34" s="15">
        <v>24</v>
      </c>
      <c r="B34" s="16">
        <v>-206.94884655704266</v>
      </c>
      <c r="H34" s="5" t="s">
        <v>87</v>
      </c>
      <c r="I34" s="5"/>
      <c r="J34" s="5"/>
    </row>
    <row r="35" spans="1:10" x14ac:dyDescent="0.4">
      <c r="A35" s="15">
        <v>27</v>
      </c>
      <c r="B35" s="16">
        <v>-206.94884655704266</v>
      </c>
    </row>
    <row r="36" spans="1:10" ht="20.5" x14ac:dyDescent="0.45">
      <c r="A36" s="15">
        <v>30</v>
      </c>
      <c r="B36" s="16">
        <v>-206.94884655704266</v>
      </c>
      <c r="H36" s="5" t="s">
        <v>106</v>
      </c>
      <c r="I36" s="5"/>
      <c r="J36" s="5"/>
    </row>
    <row r="37" spans="1:10" ht="20.5" x14ac:dyDescent="0.45">
      <c r="A37" s="15">
        <v>33</v>
      </c>
      <c r="B37" s="16">
        <v>-206.94884655704266</v>
      </c>
      <c r="H37" s="5" t="s">
        <v>107</v>
      </c>
      <c r="I37" s="5"/>
      <c r="J37" s="5"/>
    </row>
    <row r="38" spans="1:10" ht="20.5" x14ac:dyDescent="0.45">
      <c r="A38" s="15">
        <v>36</v>
      </c>
      <c r="B38" s="16">
        <v>-206.94884655704263</v>
      </c>
      <c r="H38" s="5" t="s">
        <v>104</v>
      </c>
      <c r="I38" s="5"/>
      <c r="J38" s="5"/>
    </row>
    <row r="39" spans="1:10" ht="20.5" x14ac:dyDescent="0.45">
      <c r="A39" s="15">
        <v>39</v>
      </c>
      <c r="B39" s="16">
        <v>93.051153442957343</v>
      </c>
      <c r="H39" s="5" t="s">
        <v>105</v>
      </c>
      <c r="I39" s="5"/>
      <c r="J39" s="5"/>
    </row>
    <row r="40" spans="1:10" x14ac:dyDescent="0.4">
      <c r="A40" s="15">
        <v>42</v>
      </c>
      <c r="B40" s="16">
        <v>393.05115344295734</v>
      </c>
    </row>
    <row r="41" spans="1:10" x14ac:dyDescent="0.4">
      <c r="A41" s="15">
        <v>45</v>
      </c>
      <c r="B41" s="16">
        <v>693.05115344295734</v>
      </c>
    </row>
    <row r="42" spans="1:10" x14ac:dyDescent="0.4">
      <c r="A42" s="15">
        <v>48</v>
      </c>
      <c r="B42" s="16">
        <v>993.05115344295734</v>
      </c>
    </row>
    <row r="43" spans="1:10" x14ac:dyDescent="0.4">
      <c r="A43" s="15">
        <v>51</v>
      </c>
      <c r="B43" s="16">
        <v>1293.0511534429575</v>
      </c>
    </row>
    <row r="44" spans="1:10" x14ac:dyDescent="0.4">
      <c r="A44" s="15">
        <v>54</v>
      </c>
      <c r="B44" s="16">
        <v>1593.0511534429575</v>
      </c>
    </row>
    <row r="46" spans="1:10" ht="20.5" x14ac:dyDescent="0.45">
      <c r="A46" s="32" t="s">
        <v>61</v>
      </c>
      <c r="B46" s="35">
        <f>MIN(B27:B44)</f>
        <v>-206.94884655704277</v>
      </c>
      <c r="C46" s="5" t="str">
        <f t="shared" ref="C46" ca="1" si="1">_xlfn.FORMULATEXT(B46)</f>
        <v>=MIN(B27:B44)</v>
      </c>
    </row>
    <row r="47" spans="1:10" ht="20.5" x14ac:dyDescent="0.45">
      <c r="A47" s="32" t="s">
        <v>62</v>
      </c>
      <c r="B47" s="34" t="s">
        <v>116</v>
      </c>
      <c r="C47" s="5"/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1606-66F8-4D06-A880-883C495713D2}">
  <dimension ref="A1:I34"/>
  <sheetViews>
    <sheetView showGridLines="0" zoomScale="80" zoomScaleNormal="80" workbookViewId="0">
      <selection activeCell="B12" sqref="B12"/>
    </sheetView>
  </sheetViews>
  <sheetFormatPr defaultColWidth="9.1484375" defaultRowHeight="20" x14ac:dyDescent="0.4"/>
  <cols>
    <col min="1" max="1" width="16.19921875" style="1" bestFit="1" customWidth="1"/>
    <col min="2" max="2" width="9.5" style="1" bestFit="1" customWidth="1"/>
    <col min="3" max="3" width="31.796875" style="1" customWidth="1"/>
    <col min="4" max="16384" width="9.1484375" style="1"/>
  </cols>
  <sheetData>
    <row r="1" spans="1:7" x14ac:dyDescent="0.4">
      <c r="A1" s="45" t="s">
        <v>49</v>
      </c>
      <c r="B1" s="45"/>
      <c r="C1" s="45"/>
      <c r="D1" s="45"/>
      <c r="E1" s="45"/>
      <c r="F1" s="45"/>
      <c r="G1" s="45"/>
    </row>
    <row r="2" spans="1:7" ht="20.5" x14ac:dyDescent="0.45">
      <c r="A2" s="1" t="s">
        <v>54</v>
      </c>
      <c r="B2" s="29" t="s">
        <v>55</v>
      </c>
      <c r="C2" s="41" t="s">
        <v>108</v>
      </c>
      <c r="D2" s="41"/>
      <c r="E2" s="41"/>
      <c r="F2" s="41"/>
      <c r="G2" s="41"/>
    </row>
    <row r="3" spans="1:7" x14ac:dyDescent="0.4">
      <c r="A3" s="1" t="s">
        <v>50</v>
      </c>
      <c r="B3" s="2">
        <v>23.44</v>
      </c>
    </row>
    <row r="4" spans="1:7" x14ac:dyDescent="0.4">
      <c r="A4" s="1" t="s">
        <v>24</v>
      </c>
      <c r="B4" s="2">
        <v>29.14</v>
      </c>
      <c r="C4" s="11"/>
    </row>
    <row r="5" spans="1:7" x14ac:dyDescent="0.4">
      <c r="A5" s="1" t="s">
        <v>51</v>
      </c>
      <c r="B5" s="3">
        <v>44202</v>
      </c>
    </row>
    <row r="6" spans="1:7" x14ac:dyDescent="0.4">
      <c r="A6" s="1" t="s">
        <v>52</v>
      </c>
      <c r="B6" s="3">
        <v>44365</v>
      </c>
    </row>
    <row r="7" spans="1:7" ht="20.5" x14ac:dyDescent="0.45">
      <c r="A7" s="1" t="s">
        <v>3</v>
      </c>
      <c r="B7" s="28">
        <f>YEARFRAC($B$5,$B$6,1)</f>
        <v>0.44657534246575342</v>
      </c>
      <c r="C7" s="5" t="str">
        <f ca="1">_xlfn.FORMULATEXT(B7)</f>
        <v>=YEARFRAC($B$5,$B$6,1)</v>
      </c>
    </row>
    <row r="8" spans="1:7" x14ac:dyDescent="0.4">
      <c r="A8" s="1" t="s">
        <v>23</v>
      </c>
      <c r="B8" s="8">
        <v>0.02</v>
      </c>
    </row>
    <row r="9" spans="1:7" x14ac:dyDescent="0.4">
      <c r="A9" s="1" t="s">
        <v>1</v>
      </c>
      <c r="B9" s="2">
        <v>25</v>
      </c>
    </row>
    <row r="10" spans="1:7" ht="20.5" x14ac:dyDescent="0.45">
      <c r="A10" s="1" t="s">
        <v>53</v>
      </c>
      <c r="B10" s="2">
        <v>1.66</v>
      </c>
      <c r="D10" s="5" t="s">
        <v>89</v>
      </c>
    </row>
    <row r="11" spans="1:7" ht="23.5" x14ac:dyDescent="0.45">
      <c r="A11" s="1" t="s">
        <v>58</v>
      </c>
      <c r="B11" s="6">
        <v>1</v>
      </c>
      <c r="E11" s="38" t="s">
        <v>103</v>
      </c>
    </row>
    <row r="12" spans="1:7" ht="24" x14ac:dyDescent="0.6">
      <c r="A12" s="1" t="s">
        <v>59</v>
      </c>
      <c r="B12" s="6">
        <v>100</v>
      </c>
      <c r="E12" s="5"/>
      <c r="F12" s="5"/>
    </row>
    <row r="13" spans="1:7" ht="20.5" x14ac:dyDescent="0.45">
      <c r="A13" s="1" t="s">
        <v>56</v>
      </c>
      <c r="B13" s="7">
        <f>(MIN($B$9-$B$4,0)+($B$10*EXP($B$8*$B$7)))*($B$11*$B$12)</f>
        <v>-246.51072904629271</v>
      </c>
      <c r="C13" s="5" t="str">
        <f ca="1">_xlfn.FORMULATEXT(B13)</f>
        <v>=(MIN($B$9-$B$4,0)+($B$10*EXP($B$8*$B$7)))*($B$11*$B$12)</v>
      </c>
    </row>
    <row r="14" spans="1:7" ht="20.5" x14ac:dyDescent="0.45">
      <c r="E14" s="5" t="s">
        <v>88</v>
      </c>
    </row>
    <row r="16" spans="1:7" ht="20.5" x14ac:dyDescent="0.45">
      <c r="A16" s="1" t="s">
        <v>57</v>
      </c>
      <c r="B16" s="14">
        <f>$B$13</f>
        <v>-246.51072904629271</v>
      </c>
      <c r="C16" s="5" t="str">
        <f t="shared" ref="C16:C17" ca="1" si="0">_xlfn.FORMULATEXT(B16)</f>
        <v>=$B$13</v>
      </c>
    </row>
    <row r="17" spans="1:9" ht="20.5" x14ac:dyDescent="0.45">
      <c r="A17" s="2">
        <v>0</v>
      </c>
      <c r="B17" s="16">
        <f t="dataTable" ref="B17:B31" dt2D="0" dtr="0" r1="B4"/>
        <v>167.48927095370735</v>
      </c>
      <c r="C17" s="5" t="str">
        <f t="shared" ca="1" si="0"/>
        <v>{=TABLE(,B4)}</v>
      </c>
    </row>
    <row r="18" spans="1:9" x14ac:dyDescent="0.4">
      <c r="A18" s="2">
        <v>10</v>
      </c>
      <c r="B18" s="16">
        <v>167.48927095370735</v>
      </c>
    </row>
    <row r="19" spans="1:9" x14ac:dyDescent="0.4">
      <c r="A19" s="2">
        <v>15</v>
      </c>
      <c r="B19" s="16">
        <v>167.48927095370735</v>
      </c>
    </row>
    <row r="20" spans="1:9" x14ac:dyDescent="0.4">
      <c r="A20" s="2">
        <v>20</v>
      </c>
      <c r="B20" s="16">
        <v>167.48927095370735</v>
      </c>
    </row>
    <row r="21" spans="1:9" x14ac:dyDescent="0.4">
      <c r="A21" s="2">
        <v>25</v>
      </c>
      <c r="B21" s="16">
        <v>167.48927095370735</v>
      </c>
    </row>
    <row r="22" spans="1:9" x14ac:dyDescent="0.4">
      <c r="A22" s="2">
        <v>30</v>
      </c>
      <c r="B22" s="16">
        <v>-332.51072904629268</v>
      </c>
    </row>
    <row r="23" spans="1:9" x14ac:dyDescent="0.4">
      <c r="A23" s="2">
        <v>35</v>
      </c>
      <c r="B23" s="16">
        <v>-832.51072904629257</v>
      </c>
    </row>
    <row r="24" spans="1:9" x14ac:dyDescent="0.4">
      <c r="A24" s="2">
        <v>40</v>
      </c>
      <c r="B24" s="16">
        <v>-1332.5107290462927</v>
      </c>
    </row>
    <row r="25" spans="1:9" x14ac:dyDescent="0.4">
      <c r="A25" s="2">
        <v>45</v>
      </c>
      <c r="B25" s="16">
        <v>-1832.5107290462927</v>
      </c>
    </row>
    <row r="26" spans="1:9" x14ac:dyDescent="0.4">
      <c r="A26" s="2">
        <v>50</v>
      </c>
      <c r="B26" s="16">
        <v>-2332.5107290462929</v>
      </c>
    </row>
    <row r="27" spans="1:9" x14ac:dyDescent="0.4">
      <c r="A27" s="2">
        <v>55</v>
      </c>
      <c r="B27" s="16">
        <v>-2832.5107290462929</v>
      </c>
    </row>
    <row r="28" spans="1:9" x14ac:dyDescent="0.4">
      <c r="A28" s="2">
        <v>60</v>
      </c>
      <c r="B28" s="16">
        <v>-3332.5107290462925</v>
      </c>
    </row>
    <row r="29" spans="1:9" x14ac:dyDescent="0.4">
      <c r="A29" s="2">
        <v>65</v>
      </c>
      <c r="B29" s="16">
        <v>-3832.5107290462925</v>
      </c>
    </row>
    <row r="30" spans="1:9" ht="20.5" x14ac:dyDescent="0.45">
      <c r="A30" s="2">
        <v>70</v>
      </c>
      <c r="B30" s="16">
        <v>-4332.510729046292</v>
      </c>
      <c r="I30" s="5" t="s">
        <v>90</v>
      </c>
    </row>
    <row r="31" spans="1:9" ht="20.5" x14ac:dyDescent="0.45">
      <c r="A31" s="2">
        <v>75</v>
      </c>
      <c r="B31" s="16">
        <v>-4832.510729046292</v>
      </c>
      <c r="I31" s="5" t="s">
        <v>91</v>
      </c>
    </row>
    <row r="33" spans="1:3" x14ac:dyDescent="0.4">
      <c r="A33" s="1" t="s">
        <v>61</v>
      </c>
      <c r="B33" s="31" t="s">
        <v>118</v>
      </c>
    </row>
    <row r="34" spans="1:3" ht="20.5" x14ac:dyDescent="0.45">
      <c r="A34" s="1" t="s">
        <v>62</v>
      </c>
      <c r="B34" s="30">
        <f>MAX(B17:B31)</f>
        <v>167.48927095370735</v>
      </c>
      <c r="C34" s="5" t="str">
        <f ca="1">_xlfn.FORMULATEXT(B34)</f>
        <v>=MAX(B17:B31)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E3C2-EAFA-49A0-AC1F-884177DB671F}">
  <dimension ref="A1:H39"/>
  <sheetViews>
    <sheetView showGridLines="0" tabSelected="1" zoomScale="80" zoomScaleNormal="80" workbookViewId="0">
      <selection activeCell="C10" sqref="C10"/>
    </sheetView>
  </sheetViews>
  <sheetFormatPr defaultColWidth="9.1484375" defaultRowHeight="20" x14ac:dyDescent="0.4"/>
  <cols>
    <col min="1" max="1" width="16.19921875" style="1" bestFit="1" customWidth="1"/>
    <col min="2" max="2" width="9.5" style="1" bestFit="1" customWidth="1"/>
    <col min="3" max="3" width="33.34765625" style="1" customWidth="1"/>
    <col min="4" max="16384" width="9.1484375" style="1"/>
  </cols>
  <sheetData>
    <row r="1" spans="1:7" x14ac:dyDescent="0.4">
      <c r="A1" s="44" t="s">
        <v>60</v>
      </c>
      <c r="B1" s="44"/>
      <c r="C1" s="44"/>
      <c r="D1" s="44"/>
      <c r="E1" s="44"/>
      <c r="F1" s="44"/>
      <c r="G1" s="44"/>
    </row>
    <row r="2" spans="1:7" ht="20.5" x14ac:dyDescent="0.45">
      <c r="A2" s="1" t="s">
        <v>54</v>
      </c>
      <c r="B2" s="29" t="s">
        <v>55</v>
      </c>
      <c r="C2" s="41" t="s">
        <v>109</v>
      </c>
      <c r="D2" s="41"/>
      <c r="E2" s="41"/>
      <c r="F2" s="41"/>
      <c r="G2" s="41"/>
    </row>
    <row r="3" spans="1:7" x14ac:dyDescent="0.4">
      <c r="A3" s="1" t="s">
        <v>50</v>
      </c>
      <c r="B3" s="2">
        <v>23.44</v>
      </c>
    </row>
    <row r="4" spans="1:7" x14ac:dyDescent="0.4">
      <c r="A4" s="1" t="s">
        <v>24</v>
      </c>
      <c r="B4" s="2">
        <v>10</v>
      </c>
      <c r="C4" s="11"/>
    </row>
    <row r="5" spans="1:7" x14ac:dyDescent="0.4">
      <c r="A5" s="1" t="s">
        <v>51</v>
      </c>
      <c r="B5" s="3">
        <v>44202</v>
      </c>
    </row>
    <row r="6" spans="1:7" x14ac:dyDescent="0.4">
      <c r="A6" s="1" t="s">
        <v>52</v>
      </c>
      <c r="B6" s="3">
        <v>44365</v>
      </c>
    </row>
    <row r="7" spans="1:7" ht="20.5" x14ac:dyDescent="0.45">
      <c r="A7" s="1" t="s">
        <v>3</v>
      </c>
      <c r="B7" s="28">
        <f>YEARFRAC($B$5,$B$6,1)</f>
        <v>0.44657534246575342</v>
      </c>
      <c r="C7" s="5" t="str">
        <f ca="1">_xlfn.FORMULATEXT(B7)</f>
        <v>=YEARFRAC($B$5,$B$6,1)</v>
      </c>
    </row>
    <row r="8" spans="1:7" x14ac:dyDescent="0.4">
      <c r="A8" s="1" t="s">
        <v>23</v>
      </c>
      <c r="B8" s="8">
        <v>0.02</v>
      </c>
    </row>
    <row r="9" spans="1:7" x14ac:dyDescent="0.4">
      <c r="A9" s="1" t="s">
        <v>1</v>
      </c>
      <c r="B9" s="2">
        <v>24</v>
      </c>
    </row>
    <row r="10" spans="1:7" x14ac:dyDescent="0.4">
      <c r="A10" s="1" t="s">
        <v>53</v>
      </c>
      <c r="B10" s="2">
        <v>0.76</v>
      </c>
    </row>
    <row r="11" spans="1:7" x14ac:dyDescent="0.4">
      <c r="A11" s="1" t="s">
        <v>58</v>
      </c>
      <c r="B11" s="6">
        <v>1</v>
      </c>
    </row>
    <row r="12" spans="1:7" ht="24" x14ac:dyDescent="0.6">
      <c r="A12" s="1" t="s">
        <v>59</v>
      </c>
      <c r="B12" s="6">
        <v>100</v>
      </c>
      <c r="D12" s="5" t="s">
        <v>100</v>
      </c>
    </row>
    <row r="13" spans="1:7" ht="20.5" x14ac:dyDescent="0.45">
      <c r="A13" s="1" t="s">
        <v>56</v>
      </c>
      <c r="B13" s="7">
        <f>(MIN($B$4-$B$9,0)+($B$10*EXP($B$8*$B$7)))*($B$11*$B$12)</f>
        <v>-1323.3181651055315</v>
      </c>
      <c r="C13" s="5" t="str">
        <f ca="1">_xlfn.FORMULATEXT(B13)</f>
        <v>=(MIN($B$4-$B$9,0)+($B$10*EXP($B$8*$B$7)))*($B$11*$B$12)</v>
      </c>
    </row>
    <row r="14" spans="1:7" x14ac:dyDescent="0.4">
      <c r="C14" s="42"/>
    </row>
    <row r="16" spans="1:7" x14ac:dyDescent="0.4">
      <c r="A16" s="1" t="s">
        <v>57</v>
      </c>
      <c r="B16" s="14">
        <f>$B$13</f>
        <v>-1323.3181651055315</v>
      </c>
    </row>
    <row r="17" spans="1:8" x14ac:dyDescent="0.4">
      <c r="A17" s="2">
        <v>0</v>
      </c>
      <c r="B17" s="16">
        <f t="dataTable" ref="B17:B31" dt2D="0" dtr="0" r1="B4"/>
        <v>-2323.3181651055315</v>
      </c>
    </row>
    <row r="18" spans="1:8" x14ac:dyDescent="0.4">
      <c r="A18" s="2">
        <v>5</v>
      </c>
      <c r="B18" s="16">
        <v>-1823.3181651055315</v>
      </c>
    </row>
    <row r="19" spans="1:8" x14ac:dyDescent="0.4">
      <c r="A19" s="2">
        <v>10</v>
      </c>
      <c r="B19" s="16">
        <v>-1323.3181651055315</v>
      </c>
    </row>
    <row r="20" spans="1:8" ht="20.5" x14ac:dyDescent="0.45">
      <c r="A20" s="2">
        <v>15</v>
      </c>
      <c r="B20" s="16">
        <v>-823.31816510553165</v>
      </c>
      <c r="H20" s="5" t="s">
        <v>101</v>
      </c>
    </row>
    <row r="21" spans="1:8" ht="20.5" x14ac:dyDescent="0.45">
      <c r="A21" s="2">
        <v>20</v>
      </c>
      <c r="B21" s="16">
        <v>-323.31816510553153</v>
      </c>
      <c r="H21" s="5" t="s">
        <v>92</v>
      </c>
    </row>
    <row r="22" spans="1:8" ht="23" x14ac:dyDescent="0.4">
      <c r="A22" s="2">
        <v>25</v>
      </c>
      <c r="B22" s="16">
        <v>76.681834894468423</v>
      </c>
      <c r="H22" s="40" t="s">
        <v>102</v>
      </c>
    </row>
    <row r="23" spans="1:8" x14ac:dyDescent="0.4">
      <c r="A23" s="2">
        <v>30</v>
      </c>
      <c r="B23" s="16">
        <v>76.681834894468423</v>
      </c>
    </row>
    <row r="24" spans="1:8" x14ac:dyDescent="0.4">
      <c r="A24" s="2">
        <v>35</v>
      </c>
      <c r="B24" s="16">
        <v>76.681834894468423</v>
      </c>
    </row>
    <row r="25" spans="1:8" x14ac:dyDescent="0.4">
      <c r="A25" s="2">
        <v>40</v>
      </c>
      <c r="B25" s="16">
        <v>76.681834894468423</v>
      </c>
    </row>
    <row r="26" spans="1:8" x14ac:dyDescent="0.4">
      <c r="A26" s="2">
        <v>45</v>
      </c>
      <c r="B26" s="16">
        <v>76.681834894468423</v>
      </c>
    </row>
    <row r="27" spans="1:8" x14ac:dyDescent="0.4">
      <c r="A27" s="2">
        <v>50</v>
      </c>
      <c r="B27" s="16">
        <v>76.681834894468423</v>
      </c>
    </row>
    <row r="28" spans="1:8" x14ac:dyDescent="0.4">
      <c r="A28" s="2">
        <v>55</v>
      </c>
      <c r="B28" s="16">
        <v>76.681834894468423</v>
      </c>
    </row>
    <row r="29" spans="1:8" x14ac:dyDescent="0.4">
      <c r="A29" s="2">
        <v>60</v>
      </c>
      <c r="B29" s="16">
        <v>76.681834894468423</v>
      </c>
    </row>
    <row r="30" spans="1:8" x14ac:dyDescent="0.4">
      <c r="A30" s="2">
        <v>65</v>
      </c>
      <c r="B30" s="16">
        <v>76.681834894468423</v>
      </c>
    </row>
    <row r="31" spans="1:8" x14ac:dyDescent="0.4">
      <c r="A31" s="2">
        <v>70</v>
      </c>
      <c r="B31" s="16">
        <v>76.681834894468423</v>
      </c>
    </row>
    <row r="33" spans="1:4" ht="20.5" x14ac:dyDescent="0.45">
      <c r="A33" s="1" t="s">
        <v>61</v>
      </c>
      <c r="B33" s="30" t="s">
        <v>119</v>
      </c>
      <c r="C33" s="5" t="e">
        <f ca="1">_xlfn.FORMULATEXT(B33)</f>
        <v>#N/A</v>
      </c>
      <c r="D33" s="5" t="s">
        <v>99</v>
      </c>
    </row>
    <row r="34" spans="1:4" ht="20.5" x14ac:dyDescent="0.45">
      <c r="A34" s="1" t="s">
        <v>62</v>
      </c>
      <c r="B34" s="30">
        <f>MAX(B17:B31)</f>
        <v>76.681834894468423</v>
      </c>
      <c r="C34" s="5" t="str">
        <f ca="1">_xlfn.FORMULATEXT(B34)</f>
        <v>=MAX(B17:B31)</v>
      </c>
      <c r="D34" s="5" t="s">
        <v>93</v>
      </c>
    </row>
    <row r="35" spans="1:4" ht="20.5" x14ac:dyDescent="0.45">
      <c r="D35" s="5" t="s">
        <v>94</v>
      </c>
    </row>
    <row r="36" spans="1:4" ht="20.5" x14ac:dyDescent="0.45">
      <c r="D36" s="5" t="s">
        <v>95</v>
      </c>
    </row>
    <row r="37" spans="1:4" ht="20.5" x14ac:dyDescent="0.45">
      <c r="D37" s="5" t="s">
        <v>96</v>
      </c>
    </row>
    <row r="38" spans="1:4" ht="20.5" x14ac:dyDescent="0.45">
      <c r="D38" s="5" t="s">
        <v>97</v>
      </c>
    </row>
    <row r="39" spans="1:4" ht="20.5" x14ac:dyDescent="0.45">
      <c r="D39" s="5" t="s">
        <v>98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Gold </vt:lpstr>
      <vt:lpstr>Long Call</vt:lpstr>
      <vt:lpstr>Long Stock with Long Put</vt:lpstr>
      <vt:lpstr>Short Call</vt:lpstr>
      <vt:lpstr>Short 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Spicer</dc:creator>
  <cp:lastModifiedBy>David Corcoran</cp:lastModifiedBy>
  <dcterms:created xsi:type="dcterms:W3CDTF">2021-01-06T18:39:11Z</dcterms:created>
  <dcterms:modified xsi:type="dcterms:W3CDTF">2021-11-08T20:16:38Z</dcterms:modified>
</cp:coreProperties>
</file>