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9bec91a8651c45/Documents/Virginia Tech/4 - Senior - 1st Semester/Fin Modeling In Excel/"/>
    </mc:Choice>
  </mc:AlternateContent>
  <xr:revisionPtr revIDLastSave="776" documentId="13_ncr:1_{0FDA7636-5CC6-4C19-AAEC-8106AC0F8AF0}" xr6:coauthVersionLast="47" xr6:coauthVersionMax="47" xr10:uidLastSave="{2F2EBFFB-FDB5-42C9-A581-C852E62F288C}"/>
  <bookViews>
    <workbookView xWindow="-110" yWindow="-110" windowWidth="22780" windowHeight="14660" firstSheet="1" activeTab="4" xr2:uid="{B152CA28-94C5-4A8C-A93A-4CC12D73929D}"/>
  </bookViews>
  <sheets>
    <sheet name="Effective and Equivalent Rates" sheetId="5" r:id="rId1"/>
    <sheet name="Future Value (FV)" sheetId="2" r:id="rId2"/>
    <sheet name="Funding (FV, PMT, Data Table)" sheetId="4" r:id="rId3"/>
    <sheet name="PV and Net Present Value (NPV)" sheetId="3" r:id="rId4"/>
    <sheet name="RE Inv (PV, FV, IRR, MIRR)" sheetId="1" r:id="rId5"/>
  </sheets>
  <definedNames>
    <definedName name="_xlnm._FilterDatabase" localSheetId="0" hidden="1">'Effective and Equivalent Rates'!$A$56:$C$56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4" l="1"/>
  <c r="C17" i="5"/>
  <c r="I10" i="5"/>
  <c r="M10" i="5" s="1"/>
  <c r="I11" i="5"/>
  <c r="I12" i="5"/>
  <c r="P12" i="5" s="1"/>
  <c r="I13" i="5"/>
  <c r="AD20" i="1"/>
  <c r="AD22" i="1"/>
  <c r="AD23" i="1"/>
  <c r="AD24" i="1"/>
  <c r="AD25" i="1"/>
  <c r="AD26" i="1"/>
  <c r="AD27" i="1"/>
  <c r="AD28" i="1"/>
  <c r="AD29" i="1"/>
  <c r="AD30" i="1"/>
  <c r="AD31" i="1"/>
  <c r="AD32" i="1"/>
  <c r="AD34" i="1"/>
  <c r="AD35" i="1"/>
  <c r="AD36" i="1"/>
  <c r="AD37" i="1"/>
  <c r="AD38" i="1"/>
  <c r="AD39" i="1"/>
  <c r="AD40" i="1"/>
  <c r="AD41" i="1"/>
  <c r="AD42" i="1"/>
  <c r="AD43" i="1"/>
  <c r="AD44" i="1"/>
  <c r="AD46" i="1"/>
  <c r="AD47" i="1"/>
  <c r="AD48" i="1"/>
  <c r="AD49" i="1"/>
  <c r="AD50" i="1"/>
  <c r="AD51" i="1"/>
  <c r="AD52" i="1"/>
  <c r="AD53" i="1"/>
  <c r="AD54" i="1"/>
  <c r="AD55" i="1"/>
  <c r="AD56" i="1"/>
  <c r="AD58" i="1"/>
  <c r="AD59" i="1"/>
  <c r="AD60" i="1"/>
  <c r="AD61" i="1"/>
  <c r="AD62" i="1"/>
  <c r="AD63" i="1"/>
  <c r="AD64" i="1"/>
  <c r="AD65" i="1"/>
  <c r="AD66" i="1"/>
  <c r="AD67" i="1"/>
  <c r="AD68" i="1"/>
  <c r="AD70" i="1"/>
  <c r="AD71" i="1"/>
  <c r="AD72" i="1"/>
  <c r="AD73" i="1"/>
  <c r="AD74" i="1"/>
  <c r="AD75" i="1"/>
  <c r="AD76" i="1"/>
  <c r="AD77" i="1"/>
  <c r="AD78" i="1"/>
  <c r="AD79" i="1"/>
  <c r="AD80" i="1"/>
  <c r="AD82" i="1"/>
  <c r="AD83" i="1"/>
  <c r="AD84" i="1"/>
  <c r="AD85" i="1"/>
  <c r="AD86" i="1"/>
  <c r="AD87" i="1"/>
  <c r="AD88" i="1"/>
  <c r="AD89" i="1"/>
  <c r="AD90" i="1"/>
  <c r="AD91" i="1"/>
  <c r="AD92" i="1"/>
  <c r="AD94" i="1"/>
  <c r="AD95" i="1"/>
  <c r="AD96" i="1"/>
  <c r="AD97" i="1"/>
  <c r="AD98" i="1"/>
  <c r="AD99" i="1"/>
  <c r="AD100" i="1"/>
  <c r="AD101" i="1"/>
  <c r="AD102" i="1"/>
  <c r="AD103" i="1"/>
  <c r="AD104" i="1"/>
  <c r="AD106" i="1"/>
  <c r="AD107" i="1"/>
  <c r="AD108" i="1"/>
  <c r="AD109" i="1"/>
  <c r="AD110" i="1"/>
  <c r="AD111" i="1"/>
  <c r="AD112" i="1"/>
  <c r="AD113" i="1"/>
  <c r="AD114" i="1"/>
  <c r="AD115" i="1"/>
  <c r="AD116" i="1"/>
  <c r="AD118" i="1"/>
  <c r="AD119" i="1"/>
  <c r="AD120" i="1"/>
  <c r="AD121" i="1"/>
  <c r="AD122" i="1"/>
  <c r="AD123" i="1"/>
  <c r="AD124" i="1"/>
  <c r="AD125" i="1"/>
  <c r="AD126" i="1"/>
  <c r="AD127" i="1"/>
  <c r="AD128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C21" i="1"/>
  <c r="AC33" i="1" s="1"/>
  <c r="AC45" i="1" s="1"/>
  <c r="AC57" i="1" s="1"/>
  <c r="AC69" i="1" s="1"/>
  <c r="AC81" i="1" s="1"/>
  <c r="AC93" i="1" s="1"/>
  <c r="AC105" i="1" s="1"/>
  <c r="AC117" i="1" s="1"/>
  <c r="AC129" i="1" s="1"/>
  <c r="AD129" i="1" s="1"/>
  <c r="AC141" i="1"/>
  <c r="Z141" i="1"/>
  <c r="AA141" i="1" s="1"/>
  <c r="AA142" i="1" s="1"/>
  <c r="X141" i="1"/>
  <c r="X20" i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C19" i="1"/>
  <c r="G11" i="1"/>
  <c r="G5" i="1"/>
  <c r="G13" i="1" s="1"/>
  <c r="G14" i="1"/>
  <c r="G12" i="1"/>
  <c r="I45" i="3"/>
  <c r="C140" i="1"/>
  <c r="E140" i="1" s="1"/>
  <c r="C139" i="1"/>
  <c r="C138" i="1"/>
  <c r="F138" i="1" s="1"/>
  <c r="C137" i="1"/>
  <c r="F137" i="1" s="1"/>
  <c r="C136" i="1"/>
  <c r="E136" i="1" s="1"/>
  <c r="C135" i="1"/>
  <c r="F135" i="1" s="1"/>
  <c r="C134" i="1"/>
  <c r="E134" i="1" s="1"/>
  <c r="C133" i="1"/>
  <c r="F133" i="1" s="1"/>
  <c r="C132" i="1"/>
  <c r="E132" i="1" s="1"/>
  <c r="C131" i="1"/>
  <c r="F131" i="1" s="1"/>
  <c r="C130" i="1"/>
  <c r="E130" i="1" s="1"/>
  <c r="C129" i="1"/>
  <c r="F129" i="1" s="1"/>
  <c r="C128" i="1"/>
  <c r="E128" i="1" s="1"/>
  <c r="C127" i="1"/>
  <c r="F127" i="1" s="1"/>
  <c r="C126" i="1"/>
  <c r="F126" i="1" s="1"/>
  <c r="C125" i="1"/>
  <c r="F125" i="1" s="1"/>
  <c r="C124" i="1"/>
  <c r="E124" i="1" s="1"/>
  <c r="C123" i="1"/>
  <c r="F123" i="1" s="1"/>
  <c r="C122" i="1"/>
  <c r="F122" i="1" s="1"/>
  <c r="C121" i="1"/>
  <c r="F121" i="1" s="1"/>
  <c r="C120" i="1"/>
  <c r="E120" i="1" s="1"/>
  <c r="C119" i="1"/>
  <c r="F119" i="1" s="1"/>
  <c r="C118" i="1"/>
  <c r="E118" i="1" s="1"/>
  <c r="C117" i="1"/>
  <c r="F117" i="1" s="1"/>
  <c r="C116" i="1"/>
  <c r="E116" i="1" s="1"/>
  <c r="C115" i="1"/>
  <c r="F115" i="1" s="1"/>
  <c r="C114" i="1"/>
  <c r="E114" i="1" s="1"/>
  <c r="C113" i="1"/>
  <c r="F113" i="1" s="1"/>
  <c r="C112" i="1"/>
  <c r="E112" i="1" s="1"/>
  <c r="C111" i="1"/>
  <c r="F111" i="1" s="1"/>
  <c r="C110" i="1"/>
  <c r="F110" i="1" s="1"/>
  <c r="C109" i="1"/>
  <c r="F109" i="1" s="1"/>
  <c r="C108" i="1"/>
  <c r="E108" i="1" s="1"/>
  <c r="C107" i="1"/>
  <c r="F107" i="1" s="1"/>
  <c r="C106" i="1"/>
  <c r="F106" i="1" s="1"/>
  <c r="C105" i="1"/>
  <c r="F105" i="1" s="1"/>
  <c r="C104" i="1"/>
  <c r="E104" i="1" s="1"/>
  <c r="C103" i="1"/>
  <c r="F103" i="1" s="1"/>
  <c r="C102" i="1"/>
  <c r="E102" i="1" s="1"/>
  <c r="C101" i="1"/>
  <c r="F101" i="1" s="1"/>
  <c r="C100" i="1"/>
  <c r="E100" i="1" s="1"/>
  <c r="C99" i="1"/>
  <c r="F99" i="1" s="1"/>
  <c r="C98" i="1"/>
  <c r="E98" i="1" s="1"/>
  <c r="C97" i="1"/>
  <c r="F97" i="1" s="1"/>
  <c r="C96" i="1"/>
  <c r="E96" i="1" s="1"/>
  <c r="C95" i="1"/>
  <c r="F95" i="1" s="1"/>
  <c r="C94" i="1"/>
  <c r="F94" i="1" s="1"/>
  <c r="C93" i="1"/>
  <c r="F93" i="1" s="1"/>
  <c r="C92" i="1"/>
  <c r="E92" i="1" s="1"/>
  <c r="C91" i="1"/>
  <c r="F91" i="1" s="1"/>
  <c r="C90" i="1"/>
  <c r="F90" i="1" s="1"/>
  <c r="C89" i="1"/>
  <c r="F89" i="1" s="1"/>
  <c r="C88" i="1"/>
  <c r="E88" i="1" s="1"/>
  <c r="C87" i="1"/>
  <c r="F87" i="1" s="1"/>
  <c r="C86" i="1"/>
  <c r="F86" i="1" s="1"/>
  <c r="C85" i="1"/>
  <c r="F85" i="1" s="1"/>
  <c r="C84" i="1"/>
  <c r="F84" i="1" s="1"/>
  <c r="C83" i="1"/>
  <c r="F83" i="1" s="1"/>
  <c r="C82" i="1"/>
  <c r="F82" i="1" s="1"/>
  <c r="C81" i="1"/>
  <c r="F81" i="1" s="1"/>
  <c r="C80" i="1"/>
  <c r="E80" i="1" s="1"/>
  <c r="C70" i="1"/>
  <c r="F70" i="1" s="1"/>
  <c r="C71" i="1"/>
  <c r="F71" i="1" s="1"/>
  <c r="C72" i="1"/>
  <c r="F72" i="1" s="1"/>
  <c r="C73" i="1"/>
  <c r="F73" i="1" s="1"/>
  <c r="C74" i="1"/>
  <c r="F74" i="1" s="1"/>
  <c r="C75" i="1"/>
  <c r="F75" i="1" s="1"/>
  <c r="C76" i="1"/>
  <c r="F76" i="1" s="1"/>
  <c r="C77" i="1"/>
  <c r="F77" i="1" s="1"/>
  <c r="C78" i="1"/>
  <c r="F78" i="1" s="1"/>
  <c r="C79" i="1"/>
  <c r="F79" i="1" s="1"/>
  <c r="C69" i="1"/>
  <c r="F69" i="1" s="1"/>
  <c r="C68" i="1"/>
  <c r="E68" i="1" s="1"/>
  <c r="C58" i="1"/>
  <c r="F58" i="1" s="1"/>
  <c r="C59" i="1"/>
  <c r="F59" i="1" s="1"/>
  <c r="C60" i="1"/>
  <c r="E60" i="1" s="1"/>
  <c r="C61" i="1"/>
  <c r="F61" i="1" s="1"/>
  <c r="C62" i="1"/>
  <c r="F62" i="1" s="1"/>
  <c r="C63" i="1"/>
  <c r="F63" i="1" s="1"/>
  <c r="C64" i="1"/>
  <c r="E64" i="1" s="1"/>
  <c r="C65" i="1"/>
  <c r="F65" i="1" s="1"/>
  <c r="C66" i="1"/>
  <c r="F66" i="1" s="1"/>
  <c r="C67" i="1"/>
  <c r="F67" i="1" s="1"/>
  <c r="C57" i="1"/>
  <c r="F57" i="1" s="1"/>
  <c r="C56" i="1"/>
  <c r="F56" i="1" s="1"/>
  <c r="C46" i="1"/>
  <c r="F46" i="1" s="1"/>
  <c r="C47" i="1"/>
  <c r="F47" i="1" s="1"/>
  <c r="C48" i="1"/>
  <c r="E48" i="1" s="1"/>
  <c r="C49" i="1"/>
  <c r="F49" i="1" s="1"/>
  <c r="C50" i="1"/>
  <c r="F50" i="1" s="1"/>
  <c r="C51" i="1"/>
  <c r="F51" i="1" s="1"/>
  <c r="C52" i="1"/>
  <c r="E52" i="1" s="1"/>
  <c r="C53" i="1"/>
  <c r="F53" i="1" s="1"/>
  <c r="C54" i="1"/>
  <c r="F54" i="1" s="1"/>
  <c r="C55" i="1"/>
  <c r="F55" i="1" s="1"/>
  <c r="C45" i="1"/>
  <c r="F45" i="1" s="1"/>
  <c r="C44" i="1"/>
  <c r="F44" i="1" s="1"/>
  <c r="C34" i="1"/>
  <c r="F34" i="1" s="1"/>
  <c r="C35" i="1"/>
  <c r="F35" i="1" s="1"/>
  <c r="C36" i="1"/>
  <c r="F36" i="1" s="1"/>
  <c r="C37" i="1"/>
  <c r="F37" i="1" s="1"/>
  <c r="C38" i="1"/>
  <c r="F38" i="1" s="1"/>
  <c r="C39" i="1"/>
  <c r="F39" i="1" s="1"/>
  <c r="C40" i="1"/>
  <c r="F40" i="1" s="1"/>
  <c r="C41" i="1"/>
  <c r="F41" i="1" s="1"/>
  <c r="C42" i="1"/>
  <c r="F42" i="1" s="1"/>
  <c r="C43" i="1"/>
  <c r="F43" i="1" s="1"/>
  <c r="C33" i="1"/>
  <c r="F33" i="1" s="1"/>
  <c r="C32" i="1"/>
  <c r="F32" i="1" s="1"/>
  <c r="C22" i="1"/>
  <c r="F22" i="1" s="1"/>
  <c r="C23" i="1"/>
  <c r="F23" i="1" s="1"/>
  <c r="C24" i="1"/>
  <c r="F24" i="1" s="1"/>
  <c r="C25" i="1"/>
  <c r="F25" i="1" s="1"/>
  <c r="C26" i="1"/>
  <c r="F26" i="1" s="1"/>
  <c r="C27" i="1"/>
  <c r="F27" i="1" s="1"/>
  <c r="C28" i="1"/>
  <c r="F28" i="1" s="1"/>
  <c r="C29" i="1"/>
  <c r="F29" i="1" s="1"/>
  <c r="C30" i="1"/>
  <c r="F30" i="1" s="1"/>
  <c r="C31" i="1"/>
  <c r="F31" i="1" s="1"/>
  <c r="C21" i="1"/>
  <c r="F21" i="1" s="1"/>
  <c r="C20" i="1"/>
  <c r="C10" i="5"/>
  <c r="B15" i="1"/>
  <c r="B17" i="3"/>
  <c r="I35" i="3"/>
  <c r="G60" i="3"/>
  <c r="F36" i="3"/>
  <c r="F37" i="3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35" i="3"/>
  <c r="I30" i="3"/>
  <c r="G30" i="3"/>
  <c r="K29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4" i="3"/>
  <c r="B25" i="3"/>
  <c r="G34" i="3"/>
  <c r="I34" i="3"/>
  <c r="I4" i="3"/>
  <c r="G4" i="3"/>
  <c r="I29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5" i="3"/>
  <c r="G29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5" i="3"/>
  <c r="B18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B12" i="3"/>
  <c r="B15" i="3"/>
  <c r="O3" i="4"/>
  <c r="B11" i="4"/>
  <c r="F17" i="4"/>
  <c r="F18" i="4"/>
  <c r="F19" i="4"/>
  <c r="F16" i="4"/>
  <c r="E3" i="4"/>
  <c r="B7" i="4"/>
  <c r="N30" i="2"/>
  <c r="L29" i="2"/>
  <c r="K29" i="2"/>
  <c r="M30" i="2"/>
  <c r="N29" i="2"/>
  <c r="L31" i="2"/>
  <c r="L32" i="2"/>
  <c r="L33" i="2"/>
  <c r="L34" i="2"/>
  <c r="L35" i="2"/>
  <c r="L36" i="2"/>
  <c r="L37" i="2"/>
  <c r="L38" i="2"/>
  <c r="L39" i="2"/>
  <c r="L30" i="2"/>
  <c r="K30" i="2"/>
  <c r="E39" i="2"/>
  <c r="E30" i="2"/>
  <c r="E31" i="2" s="1"/>
  <c r="E32" i="2" s="1"/>
  <c r="E33" i="2" s="1"/>
  <c r="E34" i="2" s="1"/>
  <c r="E35" i="2" s="1"/>
  <c r="E36" i="2" s="1"/>
  <c r="E37" i="2" s="1"/>
  <c r="E38" i="2" s="1"/>
  <c r="G39" i="2"/>
  <c r="G41" i="2"/>
  <c r="G31" i="2"/>
  <c r="G32" i="2"/>
  <c r="G33" i="2"/>
  <c r="G34" i="2"/>
  <c r="G35" i="2"/>
  <c r="G36" i="2"/>
  <c r="G37" i="2"/>
  <c r="G38" i="2"/>
  <c r="G30" i="2"/>
  <c r="G29" i="2"/>
  <c r="I29" i="2" s="1"/>
  <c r="E29" i="2"/>
  <c r="G16" i="2"/>
  <c r="G14" i="2"/>
  <c r="I14" i="2" s="1"/>
  <c r="E4" i="2"/>
  <c r="G4" i="2"/>
  <c r="I4" i="2"/>
  <c r="E14" i="2"/>
  <c r="G5" i="2"/>
  <c r="G6" i="2"/>
  <c r="G7" i="2"/>
  <c r="G8" i="2"/>
  <c r="G9" i="2"/>
  <c r="G10" i="2"/>
  <c r="G11" i="2"/>
  <c r="I11" i="2" s="1"/>
  <c r="G12" i="2"/>
  <c r="G13" i="2"/>
  <c r="I8" i="2"/>
  <c r="I10" i="2"/>
  <c r="E5" i="2"/>
  <c r="E6" i="2"/>
  <c r="E7" i="2"/>
  <c r="E8" i="2"/>
  <c r="E9" i="2"/>
  <c r="E10" i="2"/>
  <c r="E11" i="2"/>
  <c r="E12" i="2"/>
  <c r="E13" i="2"/>
  <c r="I9" i="2"/>
  <c r="I13" i="2"/>
  <c r="I5" i="2"/>
  <c r="B22" i="2"/>
  <c r="B21" i="2"/>
  <c r="L11" i="5"/>
  <c r="L12" i="5"/>
  <c r="L13" i="5"/>
  <c r="L14" i="5"/>
  <c r="L15" i="5"/>
  <c r="L16" i="5"/>
  <c r="L17" i="5"/>
  <c r="L10" i="5"/>
  <c r="H12" i="5"/>
  <c r="H13" i="5"/>
  <c r="H14" i="5"/>
  <c r="H15" i="5"/>
  <c r="H16" i="5"/>
  <c r="H17" i="5"/>
  <c r="H11" i="5"/>
  <c r="M11" i="5" s="1"/>
  <c r="H10" i="5"/>
  <c r="I17" i="5"/>
  <c r="M17" i="5" s="1"/>
  <c r="I14" i="5"/>
  <c r="P14" i="5" s="1"/>
  <c r="I15" i="5"/>
  <c r="I16" i="5"/>
  <c r="P16" i="5" s="1"/>
  <c r="B40" i="5"/>
  <c r="B53" i="5"/>
  <c r="B54" i="5" s="1"/>
  <c r="B52" i="5"/>
  <c r="B46" i="5"/>
  <c r="B47" i="5"/>
  <c r="B48" i="5" s="1"/>
  <c r="B41" i="5"/>
  <c r="B42" i="5" s="1"/>
  <c r="B36" i="5"/>
  <c r="D23" i="5"/>
  <c r="E11" i="5"/>
  <c r="E12" i="5"/>
  <c r="G12" i="5" s="1"/>
  <c r="E13" i="5"/>
  <c r="E14" i="5"/>
  <c r="E15" i="5"/>
  <c r="E16" i="5"/>
  <c r="E10" i="5"/>
  <c r="C11" i="5"/>
  <c r="D24" i="5" s="1"/>
  <c r="C12" i="5"/>
  <c r="C13" i="5"/>
  <c r="C14" i="5"/>
  <c r="C15" i="5"/>
  <c r="G15" i="5" s="1"/>
  <c r="C16" i="5"/>
  <c r="D22" i="5"/>
  <c r="E57" i="3"/>
  <c r="I6" i="2"/>
  <c r="I7" i="2"/>
  <c r="G16" i="5"/>
  <c r="A51" i="5"/>
  <c r="A53" i="5"/>
  <c r="A47" i="5"/>
  <c r="A45" i="5"/>
  <c r="V21" i="1"/>
  <c r="D28" i="2"/>
  <c r="D31" i="2"/>
  <c r="D32" i="2"/>
  <c r="D33" i="2" s="1"/>
  <c r="D34" i="2" s="1"/>
  <c r="D35" i="2" s="1"/>
  <c r="D36" i="2" s="1"/>
  <c r="D37" i="2" s="1"/>
  <c r="D38" i="2" s="1"/>
  <c r="D39" i="2" s="1"/>
  <c r="D30" i="2"/>
  <c r="B20" i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E34" i="3"/>
  <c r="E35" i="3"/>
  <c r="E6" i="3"/>
  <c r="E7" i="3" s="1"/>
  <c r="E5" i="3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D5" i="4"/>
  <c r="D6" i="4"/>
  <c r="D7" i="4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4" i="4"/>
  <c r="F41" i="2"/>
  <c r="E28" i="2"/>
  <c r="F28" i="2"/>
  <c r="G28" i="2"/>
  <c r="H28" i="2"/>
  <c r="A33" i="2"/>
  <c r="A28" i="2"/>
  <c r="A30" i="2"/>
  <c r="A31" i="2"/>
  <c r="A29" i="2"/>
  <c r="F16" i="2"/>
  <c r="G3" i="2"/>
  <c r="E3" i="2"/>
  <c r="Q14" i="5"/>
  <c r="C49" i="5"/>
  <c r="Q16" i="5"/>
  <c r="C48" i="5"/>
  <c r="H141" i="1"/>
  <c r="J10" i="5"/>
  <c r="E24" i="5"/>
  <c r="J17" i="5"/>
  <c r="Q15" i="5"/>
  <c r="E22" i="5"/>
  <c r="C46" i="5"/>
  <c r="J16" i="5"/>
  <c r="Q11" i="5"/>
  <c r="Q13" i="5"/>
  <c r="Q12" i="5"/>
  <c r="G141" i="1"/>
  <c r="C54" i="5"/>
  <c r="J14" i="5"/>
  <c r="J12" i="5"/>
  <c r="C55" i="5"/>
  <c r="C7" i="4"/>
  <c r="C15" i="3"/>
  <c r="J13" i="5"/>
  <c r="J11" i="5"/>
  <c r="C43" i="5"/>
  <c r="J15" i="5"/>
  <c r="C52" i="5"/>
  <c r="E23" i="5"/>
  <c r="Q10" i="5"/>
  <c r="F139" i="1" l="1"/>
  <c r="G145" i="1"/>
  <c r="P10" i="5"/>
  <c r="AC142" i="1"/>
  <c r="AC18" i="1" s="1"/>
  <c r="AD117" i="1"/>
  <c r="AD105" i="1"/>
  <c r="AD93" i="1"/>
  <c r="AD81" i="1"/>
  <c r="AD69" i="1"/>
  <c r="AD57" i="1"/>
  <c r="AD45" i="1"/>
  <c r="AD33" i="1"/>
  <c r="AD21" i="1"/>
  <c r="X142" i="1"/>
  <c r="F140" i="1"/>
  <c r="E72" i="1"/>
  <c r="E57" i="1"/>
  <c r="E40" i="1"/>
  <c r="G8" i="1"/>
  <c r="G10" i="1" s="1"/>
  <c r="E22" i="1"/>
  <c r="E36" i="1"/>
  <c r="E79" i="1"/>
  <c r="E71" i="1"/>
  <c r="E135" i="1"/>
  <c r="E127" i="1"/>
  <c r="E119" i="1"/>
  <c r="E111" i="1"/>
  <c r="E103" i="1"/>
  <c r="E95" i="1"/>
  <c r="E87" i="1"/>
  <c r="F134" i="1"/>
  <c r="F118" i="1"/>
  <c r="F102" i="1"/>
  <c r="E43" i="1"/>
  <c r="E35" i="1"/>
  <c r="E76" i="1"/>
  <c r="E67" i="1"/>
  <c r="E126" i="1"/>
  <c r="E110" i="1"/>
  <c r="E94" i="1"/>
  <c r="E86" i="1"/>
  <c r="F130" i="1"/>
  <c r="F114" i="1"/>
  <c r="F98" i="1"/>
  <c r="E30" i="1"/>
  <c r="E75" i="1"/>
  <c r="E139" i="1"/>
  <c r="E131" i="1"/>
  <c r="E123" i="1"/>
  <c r="E115" i="1"/>
  <c r="E107" i="1"/>
  <c r="E99" i="1"/>
  <c r="E91" i="1"/>
  <c r="E26" i="1"/>
  <c r="E39" i="1"/>
  <c r="E83" i="1"/>
  <c r="E138" i="1"/>
  <c r="E122" i="1"/>
  <c r="E106" i="1"/>
  <c r="E90" i="1"/>
  <c r="E44" i="1"/>
  <c r="E32" i="1"/>
  <c r="E84" i="1"/>
  <c r="E25" i="1"/>
  <c r="E56" i="1"/>
  <c r="E20" i="1"/>
  <c r="E28" i="1"/>
  <c r="E24" i="1"/>
  <c r="E46" i="1"/>
  <c r="E42" i="1"/>
  <c r="E38" i="1"/>
  <c r="E34" i="1"/>
  <c r="E63" i="1"/>
  <c r="E59" i="1"/>
  <c r="E55" i="1"/>
  <c r="E51" i="1"/>
  <c r="E47" i="1"/>
  <c r="E82" i="1"/>
  <c r="E78" i="1"/>
  <c r="E74" i="1"/>
  <c r="E70" i="1"/>
  <c r="E66" i="1"/>
  <c r="E137" i="1"/>
  <c r="E133" i="1"/>
  <c r="E129" i="1"/>
  <c r="E125" i="1"/>
  <c r="E121" i="1"/>
  <c r="E117" i="1"/>
  <c r="E113" i="1"/>
  <c r="E109" i="1"/>
  <c r="E105" i="1"/>
  <c r="E101" i="1"/>
  <c r="E97" i="1"/>
  <c r="E93" i="1"/>
  <c r="E89" i="1"/>
  <c r="F136" i="1"/>
  <c r="F132" i="1"/>
  <c r="F128" i="1"/>
  <c r="F124" i="1"/>
  <c r="F120" i="1"/>
  <c r="F116" i="1"/>
  <c r="F112" i="1"/>
  <c r="F108" i="1"/>
  <c r="F104" i="1"/>
  <c r="F100" i="1"/>
  <c r="F96" i="1"/>
  <c r="F92" i="1"/>
  <c r="F88" i="1"/>
  <c r="F80" i="1"/>
  <c r="F68" i="1"/>
  <c r="F64" i="1"/>
  <c r="F60" i="1"/>
  <c r="F52" i="1"/>
  <c r="F48" i="1"/>
  <c r="F20" i="1"/>
  <c r="E29" i="1"/>
  <c r="E31" i="1"/>
  <c r="E27" i="1"/>
  <c r="E23" i="1"/>
  <c r="E45" i="1"/>
  <c r="E41" i="1"/>
  <c r="E37" i="1"/>
  <c r="E33" i="1"/>
  <c r="E62" i="1"/>
  <c r="E58" i="1"/>
  <c r="E54" i="1"/>
  <c r="E50" i="1"/>
  <c r="E85" i="1"/>
  <c r="E81" i="1"/>
  <c r="E77" i="1"/>
  <c r="E73" i="1"/>
  <c r="E69" i="1"/>
  <c r="E65" i="1"/>
  <c r="E61" i="1"/>
  <c r="E53" i="1"/>
  <c r="E49" i="1"/>
  <c r="E21" i="1"/>
  <c r="C141" i="1"/>
  <c r="F19" i="1"/>
  <c r="E19" i="1"/>
  <c r="G15" i="1"/>
  <c r="G35" i="3"/>
  <c r="F5" i="4"/>
  <c r="M29" i="2"/>
  <c r="I38" i="2"/>
  <c r="I34" i="2"/>
  <c r="I37" i="2"/>
  <c r="I30" i="2"/>
  <c r="I36" i="2"/>
  <c r="I32" i="2"/>
  <c r="I39" i="2"/>
  <c r="I35" i="2"/>
  <c r="I31" i="2"/>
  <c r="I33" i="2"/>
  <c r="I12" i="2"/>
  <c r="P13" i="5"/>
  <c r="M15" i="5"/>
  <c r="G11" i="5"/>
  <c r="B43" i="5"/>
  <c r="P15" i="5"/>
  <c r="P11" i="5"/>
  <c r="M16" i="5"/>
  <c r="M12" i="5"/>
  <c r="M13" i="5"/>
  <c r="B49" i="5"/>
  <c r="M14" i="5"/>
  <c r="B55" i="5"/>
  <c r="G14" i="5"/>
  <c r="G13" i="5"/>
  <c r="G10" i="5"/>
  <c r="E37" i="3"/>
  <c r="E8" i="3"/>
  <c r="E36" i="3"/>
  <c r="B38" i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V22" i="1"/>
  <c r="C142" i="1" l="1"/>
  <c r="J59" i="1" s="1"/>
  <c r="AD142" i="1"/>
  <c r="AD18" i="1" s="1"/>
  <c r="AD17" i="1" s="1"/>
  <c r="F141" i="1"/>
  <c r="E141" i="1"/>
  <c r="G36" i="3"/>
  <c r="I36" i="3"/>
  <c r="F6" i="4"/>
  <c r="F7" i="4"/>
  <c r="F8" i="4"/>
  <c r="F9" i="4"/>
  <c r="F14" i="4"/>
  <c r="F15" i="4"/>
  <c r="F3" i="4"/>
  <c r="G3" i="4" s="1"/>
  <c r="F13" i="4"/>
  <c r="B15" i="4"/>
  <c r="F4" i="4"/>
  <c r="F10" i="4"/>
  <c r="F11" i="4"/>
  <c r="F12" i="4"/>
  <c r="E9" i="3"/>
  <c r="E38" i="3"/>
  <c r="V23" i="1"/>
  <c r="B81" i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G6" i="1" l="1"/>
  <c r="K30" i="1" s="1"/>
  <c r="G7" i="1"/>
  <c r="G9" i="1" s="1"/>
  <c r="K42" i="1" s="1"/>
  <c r="I37" i="3"/>
  <c r="G37" i="3"/>
  <c r="H3" i="4"/>
  <c r="E4" i="4" s="1"/>
  <c r="G4" i="4" s="1"/>
  <c r="H4" i="4" s="1"/>
  <c r="E5" i="4" s="1"/>
  <c r="G5" i="4" s="1"/>
  <c r="H5" i="4" s="1"/>
  <c r="E6" i="4" s="1"/>
  <c r="G6" i="4" s="1"/>
  <c r="H6" i="4" s="1"/>
  <c r="E7" i="4" s="1"/>
  <c r="G7" i="4" s="1"/>
  <c r="H7" i="4" s="1"/>
  <c r="E8" i="4" s="1"/>
  <c r="B17" i="4"/>
  <c r="L2" i="4"/>
  <c r="M9" i="4" s="1"/>
  <c r="E10" i="3"/>
  <c r="E39" i="3"/>
  <c r="B93" i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V24" i="1"/>
  <c r="B42" i="3"/>
  <c r="B39" i="3"/>
  <c r="I10" i="1" l="1"/>
  <c r="I8" i="1"/>
  <c r="I38" i="3"/>
  <c r="G38" i="3"/>
  <c r="G8" i="4"/>
  <c r="H8" i="4" s="1"/>
  <c r="E9" i="4" s="1"/>
  <c r="E11" i="3"/>
  <c r="E40" i="3"/>
  <c r="B105" i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V25" i="1"/>
  <c r="I39" i="3" l="1"/>
  <c r="G39" i="3"/>
  <c r="G9" i="4"/>
  <c r="H9" i="4" s="1"/>
  <c r="E10" i="4" s="1"/>
  <c r="E12" i="3"/>
  <c r="E41" i="3"/>
  <c r="B117" i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V26" i="1"/>
  <c r="I40" i="3" l="1"/>
  <c r="G40" i="3"/>
  <c r="G10" i="4"/>
  <c r="H10" i="4" s="1"/>
  <c r="E11" i="4" s="1"/>
  <c r="E13" i="3"/>
  <c r="E42" i="3"/>
  <c r="V27" i="1"/>
  <c r="B129" i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O2" i="4"/>
  <c r="T20" i="4" s="1"/>
  <c r="Y23" i="1"/>
  <c r="AE80" i="1"/>
  <c r="Y71" i="1"/>
  <c r="Y40" i="1"/>
  <c r="J27" i="3"/>
  <c r="AE61" i="1"/>
  <c r="AE96" i="1"/>
  <c r="AE60" i="1"/>
  <c r="Y55" i="1"/>
  <c r="AE59" i="1"/>
  <c r="Y50" i="1"/>
  <c r="AE140" i="1"/>
  <c r="AE100" i="1"/>
  <c r="Y33" i="1"/>
  <c r="AE48" i="1"/>
  <c r="Y38" i="1"/>
  <c r="AE63" i="1"/>
  <c r="AE34" i="1"/>
  <c r="AE35" i="1"/>
  <c r="AE49" i="1"/>
  <c r="Y141" i="1"/>
  <c r="AE31" i="1"/>
  <c r="AE106" i="1"/>
  <c r="AE55" i="1"/>
  <c r="N15" i="5"/>
  <c r="AE84" i="1"/>
  <c r="Y117" i="1"/>
  <c r="AE54" i="1"/>
  <c r="AE68" i="1"/>
  <c r="Y109" i="1"/>
  <c r="AE28" i="1"/>
  <c r="Y87" i="1"/>
  <c r="Y129" i="1"/>
  <c r="AE98" i="1"/>
  <c r="Y46" i="1"/>
  <c r="AE117" i="1"/>
  <c r="Y134" i="1"/>
  <c r="Y28" i="1"/>
  <c r="AE83" i="1"/>
  <c r="Y115" i="1"/>
  <c r="Y102" i="1"/>
  <c r="AE124" i="1"/>
  <c r="N11" i="5"/>
  <c r="AE38" i="1"/>
  <c r="Y21" i="1"/>
  <c r="Y30" i="1"/>
  <c r="AE50" i="1"/>
  <c r="Y94" i="1"/>
  <c r="Y39" i="1"/>
  <c r="AE112" i="1"/>
  <c r="Y42" i="1"/>
  <c r="Y105" i="1"/>
  <c r="AE41" i="1"/>
  <c r="Y104" i="1"/>
  <c r="Y99" i="1"/>
  <c r="Y89" i="1"/>
  <c r="AE127" i="1"/>
  <c r="Y92" i="1"/>
  <c r="Y20" i="1"/>
  <c r="Y27" i="1"/>
  <c r="Y25" i="1"/>
  <c r="Y76" i="1"/>
  <c r="Y72" i="1"/>
  <c r="Y84" i="1"/>
  <c r="AE69" i="1"/>
  <c r="Y43" i="1"/>
  <c r="AE30" i="1"/>
  <c r="AE64" i="1"/>
  <c r="AE131" i="1"/>
  <c r="N13" i="5"/>
  <c r="AE44" i="1"/>
  <c r="AE105" i="1"/>
  <c r="Y77" i="1"/>
  <c r="Y116" i="1"/>
  <c r="AE57" i="1"/>
  <c r="Y63" i="1"/>
  <c r="Y70" i="1"/>
  <c r="AE25" i="1"/>
  <c r="AE79" i="1"/>
  <c r="AE33" i="1"/>
  <c r="Y101" i="1"/>
  <c r="AE108" i="1"/>
  <c r="AE42" i="1"/>
  <c r="AE29" i="1"/>
  <c r="AE119" i="1"/>
  <c r="AE110" i="1"/>
  <c r="AE47" i="1"/>
  <c r="AE138" i="1"/>
  <c r="C53" i="5"/>
  <c r="Y61" i="1"/>
  <c r="AE104" i="1"/>
  <c r="Y45" i="1"/>
  <c r="AE78" i="1"/>
  <c r="AE56" i="1"/>
  <c r="AE53" i="1"/>
  <c r="Y47" i="1"/>
  <c r="Y79" i="1"/>
  <c r="Y66" i="1"/>
  <c r="AE82" i="1"/>
  <c r="AE113" i="1"/>
  <c r="AE115" i="1"/>
  <c r="AE26" i="1"/>
  <c r="AE62" i="1"/>
  <c r="Y110" i="1"/>
  <c r="Y113" i="1"/>
  <c r="Y137" i="1"/>
  <c r="Y22" i="1"/>
  <c r="Y35" i="1"/>
  <c r="Y132" i="1"/>
  <c r="Y32" i="1"/>
  <c r="Y118" i="1"/>
  <c r="C42" i="5"/>
  <c r="Y78" i="1"/>
  <c r="H57" i="3"/>
  <c r="Y140" i="1"/>
  <c r="AE116" i="1"/>
  <c r="Y133" i="1"/>
  <c r="Y122" i="1"/>
  <c r="AE92" i="1"/>
  <c r="N10" i="5"/>
  <c r="Y85" i="1"/>
  <c r="Y119" i="1"/>
  <c r="Y44" i="1"/>
  <c r="AE128" i="1"/>
  <c r="Y112" i="1"/>
  <c r="AE66" i="1"/>
  <c r="Y127" i="1"/>
  <c r="Y111" i="1"/>
  <c r="Y29" i="1"/>
  <c r="L27" i="3"/>
  <c r="Y49" i="1"/>
  <c r="C47" i="5"/>
  <c r="Y75" i="1"/>
  <c r="AE95" i="1"/>
  <c r="Y108" i="1"/>
  <c r="Y138" i="1"/>
  <c r="Y120" i="1"/>
  <c r="AE133" i="1"/>
  <c r="AE135" i="1"/>
  <c r="Y34" i="1"/>
  <c r="AB142" i="1"/>
  <c r="Y121" i="1"/>
  <c r="AE102" i="1"/>
  <c r="AE103" i="1"/>
  <c r="AE65" i="1"/>
  <c r="Y37" i="1"/>
  <c r="Y73" i="1"/>
  <c r="AE136" i="1"/>
  <c r="AE130" i="1"/>
  <c r="AE137" i="1"/>
  <c r="Y139" i="1"/>
  <c r="AE93" i="1"/>
  <c r="AE67" i="1"/>
  <c r="AE101" i="1"/>
  <c r="Y64" i="1"/>
  <c r="AE132" i="1"/>
  <c r="AE73" i="1"/>
  <c r="AE40" i="1"/>
  <c r="Y131" i="1"/>
  <c r="AE142" i="1"/>
  <c r="AE111" i="1"/>
  <c r="N17" i="5"/>
  <c r="AE125" i="1"/>
  <c r="Y60" i="1"/>
  <c r="Y130" i="1"/>
  <c r="Y123" i="1"/>
  <c r="Y97" i="1"/>
  <c r="AE74" i="1"/>
  <c r="Y91" i="1"/>
  <c r="AE118" i="1"/>
  <c r="AE24" i="1"/>
  <c r="AE121" i="1"/>
  <c r="Y68" i="1"/>
  <c r="AE77" i="1"/>
  <c r="AE22" i="1"/>
  <c r="Y58" i="1"/>
  <c r="Y98" i="1"/>
  <c r="AE51" i="1"/>
  <c r="N16" i="5"/>
  <c r="AE91" i="1"/>
  <c r="Y95" i="1"/>
  <c r="Y125" i="1"/>
  <c r="AE85" i="1"/>
  <c r="Y114" i="1"/>
  <c r="C41" i="5"/>
  <c r="AE45" i="1"/>
  <c r="AE75" i="1"/>
  <c r="Y81" i="1"/>
  <c r="AE89" i="1"/>
  <c r="Y53" i="1"/>
  <c r="Y128" i="1"/>
  <c r="Y41" i="1"/>
  <c r="Y103" i="1"/>
  <c r="Y93" i="1"/>
  <c r="Y26" i="1"/>
  <c r="AE114" i="1"/>
  <c r="Y48" i="1"/>
  <c r="J57" i="3"/>
  <c r="Y100" i="1"/>
  <c r="AE46" i="1"/>
  <c r="AE107" i="1"/>
  <c r="AE27" i="1"/>
  <c r="Y74" i="1"/>
  <c r="Y57" i="1"/>
  <c r="Y83" i="1"/>
  <c r="N14" i="5"/>
  <c r="AE99" i="1"/>
  <c r="AE37" i="1"/>
  <c r="AE90" i="1"/>
  <c r="AE97" i="1"/>
  <c r="AE87" i="1"/>
  <c r="Y126" i="1"/>
  <c r="Y31" i="1"/>
  <c r="AE32" i="1"/>
  <c r="AE134" i="1"/>
  <c r="Y107" i="1"/>
  <c r="Y56" i="1"/>
  <c r="AE86" i="1"/>
  <c r="Y59" i="1"/>
  <c r="AE70" i="1"/>
  <c r="AE23" i="1"/>
  <c r="Y136" i="1"/>
  <c r="Y54" i="1"/>
  <c r="AE109" i="1"/>
  <c r="AB141" i="1"/>
  <c r="AE20" i="1"/>
  <c r="Y62" i="1"/>
  <c r="AE139" i="1"/>
  <c r="Y88" i="1"/>
  <c r="Y67" i="1"/>
  <c r="Y96" i="1"/>
  <c r="Y135" i="1"/>
  <c r="Y90" i="1"/>
  <c r="AE76" i="1"/>
  <c r="Y24" i="1"/>
  <c r="AE129" i="1"/>
  <c r="Y124" i="1"/>
  <c r="AE88" i="1"/>
  <c r="Y36" i="1"/>
  <c r="AE58" i="1"/>
  <c r="Y51" i="1"/>
  <c r="AE71" i="1"/>
  <c r="Y69" i="1"/>
  <c r="Y80" i="1"/>
  <c r="AE94" i="1"/>
  <c r="AE39" i="1"/>
  <c r="AE122" i="1"/>
  <c r="AE123" i="1"/>
  <c r="AE21" i="1"/>
  <c r="AE120" i="1"/>
  <c r="C36" i="5"/>
  <c r="Y106" i="1"/>
  <c r="Y65" i="1"/>
  <c r="C40" i="5"/>
  <c r="Y86" i="1"/>
  <c r="AE126" i="1"/>
  <c r="AE81" i="1"/>
  <c r="Y82" i="1"/>
  <c r="Y142" i="1"/>
  <c r="N12" i="5"/>
  <c r="AE43" i="1"/>
  <c r="Y52" i="1"/>
  <c r="AE52" i="1"/>
  <c r="AE72" i="1"/>
  <c r="AE141" i="1"/>
  <c r="AE36" i="1"/>
  <c r="H27" i="3"/>
  <c r="G41" i="3" l="1"/>
  <c r="I41" i="3"/>
  <c r="G11" i="4"/>
  <c r="H11" i="4" s="1"/>
  <c r="E12" i="4" s="1"/>
  <c r="E14" i="3"/>
  <c r="E43" i="3"/>
  <c r="V28" i="1"/>
  <c r="I42" i="3" l="1"/>
  <c r="G42" i="3"/>
  <c r="G12" i="4"/>
  <c r="H12" i="4" s="1"/>
  <c r="E13" i="4" s="1"/>
  <c r="E15" i="3"/>
  <c r="E44" i="3"/>
  <c r="V29" i="1"/>
  <c r="I43" i="3" l="1"/>
  <c r="G43" i="3"/>
  <c r="G13" i="4"/>
  <c r="H13" i="4" s="1"/>
  <c r="E14" i="4" s="1"/>
  <c r="E16" i="3"/>
  <c r="E45" i="3"/>
  <c r="V30" i="1"/>
  <c r="G44" i="3" l="1"/>
  <c r="I44" i="3"/>
  <c r="G14" i="4"/>
  <c r="H14" i="4" s="1"/>
  <c r="E15" i="4" s="1"/>
  <c r="E17" i="3"/>
  <c r="E46" i="3"/>
  <c r="V31" i="1"/>
  <c r="G45" i="3" l="1"/>
  <c r="G15" i="4"/>
  <c r="H15" i="4" s="1"/>
  <c r="E16" i="4" s="1"/>
  <c r="E18" i="3"/>
  <c r="E47" i="3"/>
  <c r="V32" i="1"/>
  <c r="H36" i="3"/>
  <c r="H44" i="3"/>
  <c r="G80" i="1"/>
  <c r="D44" i="1"/>
  <c r="H11" i="3"/>
  <c r="G67" i="1"/>
  <c r="H32" i="2"/>
  <c r="D76" i="1"/>
  <c r="H50" i="1"/>
  <c r="H25" i="3"/>
  <c r="H8" i="2"/>
  <c r="H33" i="2"/>
  <c r="D71" i="1"/>
  <c r="D10" i="5"/>
  <c r="G140" i="1"/>
  <c r="G33" i="1"/>
  <c r="H90" i="1"/>
  <c r="D122" i="1"/>
  <c r="D113" i="1"/>
  <c r="H13" i="3"/>
  <c r="H60" i="3"/>
  <c r="H99" i="1"/>
  <c r="G75" i="1"/>
  <c r="L22" i="3"/>
  <c r="H120" i="1"/>
  <c r="G26" i="1"/>
  <c r="H41" i="3"/>
  <c r="C17" i="3"/>
  <c r="F36" i="2"/>
  <c r="F12" i="5"/>
  <c r="G60" i="1"/>
  <c r="G135" i="1"/>
  <c r="D92" i="1"/>
  <c r="D81" i="1"/>
  <c r="H45" i="3"/>
  <c r="G66" i="1"/>
  <c r="H79" i="1"/>
  <c r="J47" i="3"/>
  <c r="D56" i="1"/>
  <c r="D99" i="1"/>
  <c r="H29" i="2"/>
  <c r="H42" i="1"/>
  <c r="L4" i="3"/>
  <c r="H43" i="3"/>
  <c r="L28" i="3"/>
  <c r="J50" i="3"/>
  <c r="D117" i="1"/>
  <c r="F13" i="2"/>
  <c r="G102" i="1"/>
  <c r="D88" i="1"/>
  <c r="D49" i="1"/>
  <c r="D59" i="1"/>
  <c r="D131" i="1"/>
  <c r="G49" i="1"/>
  <c r="H109" i="1"/>
  <c r="H117" i="1"/>
  <c r="J12" i="3"/>
  <c r="L20" i="3"/>
  <c r="H14" i="3"/>
  <c r="I10" i="4"/>
  <c r="J37" i="3"/>
  <c r="D63" i="1"/>
  <c r="J30" i="3"/>
  <c r="H56" i="1"/>
  <c r="G84" i="1"/>
  <c r="H92" i="1"/>
  <c r="H53" i="3"/>
  <c r="H140" i="1"/>
  <c r="D134" i="1"/>
  <c r="G117" i="1"/>
  <c r="C15" i="4"/>
  <c r="G68" i="1"/>
  <c r="G95" i="1"/>
  <c r="H9" i="3"/>
  <c r="H35" i="3"/>
  <c r="H113" i="1"/>
  <c r="H10" i="2"/>
  <c r="D48" i="1"/>
  <c r="D97" i="1"/>
  <c r="O33" i="2"/>
  <c r="J15" i="3"/>
  <c r="C18" i="3"/>
  <c r="H34" i="3"/>
  <c r="H124" i="1"/>
  <c r="H54" i="1"/>
  <c r="D89" i="1"/>
  <c r="L13" i="3"/>
  <c r="J44" i="3"/>
  <c r="C49" i="3"/>
  <c r="H111" i="1"/>
  <c r="D47" i="1"/>
  <c r="H81" i="1"/>
  <c r="H83" i="1"/>
  <c r="J43" i="3"/>
  <c r="H50" i="3"/>
  <c r="D133" i="1"/>
  <c r="D34" i="1"/>
  <c r="J5" i="3"/>
  <c r="H39" i="3"/>
  <c r="L19" i="3"/>
  <c r="H84" i="1"/>
  <c r="G55" i="1"/>
  <c r="H18" i="3"/>
  <c r="H15" i="3"/>
  <c r="D106" i="1"/>
  <c r="H30" i="3"/>
  <c r="F38" i="2"/>
  <c r="H133" i="1"/>
  <c r="I5" i="4"/>
  <c r="D100" i="1"/>
  <c r="D70" i="1"/>
  <c r="D82" i="1"/>
  <c r="G50" i="1"/>
  <c r="F10" i="5"/>
  <c r="G128" i="1"/>
  <c r="D13" i="5"/>
  <c r="G64" i="1"/>
  <c r="H47" i="1"/>
  <c r="D101" i="1"/>
  <c r="H4" i="3"/>
  <c r="D121" i="1"/>
  <c r="H137" i="1"/>
  <c r="H69" i="1"/>
  <c r="H127" i="1"/>
  <c r="I8" i="4"/>
  <c r="J4" i="3"/>
  <c r="D115" i="1"/>
  <c r="G130" i="1"/>
  <c r="H56" i="3"/>
  <c r="J53" i="3"/>
  <c r="D36" i="1"/>
  <c r="O31" i="2"/>
  <c r="G133" i="1"/>
  <c r="H96" i="1"/>
  <c r="L8" i="3"/>
  <c r="J20" i="3"/>
  <c r="G77" i="1"/>
  <c r="J35" i="3"/>
  <c r="H95" i="1"/>
  <c r="G108" i="1"/>
  <c r="D114" i="1"/>
  <c r="H7" i="2"/>
  <c r="G54" i="1"/>
  <c r="H107" i="1"/>
  <c r="F34" i="2"/>
  <c r="G59" i="1"/>
  <c r="J40" i="3"/>
  <c r="H77" i="1"/>
  <c r="L15" i="3"/>
  <c r="G82" i="1"/>
  <c r="I19" i="4"/>
  <c r="G36" i="1"/>
  <c r="H49" i="1"/>
  <c r="G90" i="1"/>
  <c r="D57" i="1"/>
  <c r="G41" i="1"/>
  <c r="G127" i="1"/>
  <c r="L23" i="3"/>
  <c r="G46" i="1"/>
  <c r="H16" i="3"/>
  <c r="G79" i="1"/>
  <c r="D40" i="1"/>
  <c r="H24" i="1"/>
  <c r="G56" i="1"/>
  <c r="H11" i="2"/>
  <c r="D108" i="1"/>
  <c r="H115" i="1"/>
  <c r="D96" i="1"/>
  <c r="H4" i="2"/>
  <c r="H29" i="1"/>
  <c r="H13" i="2"/>
  <c r="D107" i="1"/>
  <c r="G94" i="1"/>
  <c r="D104" i="1"/>
  <c r="D62" i="1"/>
  <c r="D16" i="5"/>
  <c r="F6" i="2"/>
  <c r="G118" i="1"/>
  <c r="G37" i="1"/>
  <c r="H25" i="1"/>
  <c r="H32" i="1"/>
  <c r="D60" i="1"/>
  <c r="O35" i="2"/>
  <c r="H7" i="3"/>
  <c r="F39" i="2"/>
  <c r="H48" i="3"/>
  <c r="H19" i="1"/>
  <c r="G105" i="1"/>
  <c r="G121" i="1"/>
  <c r="I17" i="4"/>
  <c r="H23" i="3"/>
  <c r="J9" i="3"/>
  <c r="D95" i="1"/>
  <c r="G88" i="1"/>
  <c r="H126" i="1"/>
  <c r="D50" i="1"/>
  <c r="D94" i="1"/>
  <c r="L11" i="3"/>
  <c r="D41" i="1"/>
  <c r="G27" i="1"/>
  <c r="H139" i="1"/>
  <c r="F37" i="2"/>
  <c r="J49" i="3"/>
  <c r="D93" i="1"/>
  <c r="G62" i="1"/>
  <c r="G39" i="1"/>
  <c r="L16" i="3"/>
  <c r="H30" i="2"/>
  <c r="H68" i="1"/>
  <c r="H94" i="1"/>
  <c r="L17" i="3"/>
  <c r="H20" i="3"/>
  <c r="D129" i="1"/>
  <c r="D43" i="1"/>
  <c r="I15" i="4"/>
  <c r="H59" i="3"/>
  <c r="J10" i="3"/>
  <c r="H58" i="3"/>
  <c r="D38" i="1"/>
  <c r="I13" i="4"/>
  <c r="H27" i="1"/>
  <c r="G111" i="1"/>
  <c r="I16" i="4"/>
  <c r="D130" i="1"/>
  <c r="F8" i="2"/>
  <c r="H130" i="1"/>
  <c r="H103" i="1"/>
  <c r="J8" i="3"/>
  <c r="H59" i="1"/>
  <c r="G38" i="1"/>
  <c r="G123" i="1"/>
  <c r="G113" i="1"/>
  <c r="H39" i="2"/>
  <c r="D42" i="1"/>
  <c r="D137" i="1"/>
  <c r="D139" i="1"/>
  <c r="H58" i="1"/>
  <c r="D85" i="1"/>
  <c r="H5" i="3"/>
  <c r="J48" i="3"/>
  <c r="G29" i="1"/>
  <c r="H87" i="1"/>
  <c r="D135" i="1"/>
  <c r="H105" i="1"/>
  <c r="G69" i="1"/>
  <c r="J56" i="3"/>
  <c r="D91" i="1"/>
  <c r="D112" i="1"/>
  <c r="H52" i="3"/>
  <c r="D90" i="1"/>
  <c r="H112" i="1"/>
  <c r="I18" i="4"/>
  <c r="D58" i="1"/>
  <c r="G45" i="1"/>
  <c r="G119" i="1"/>
  <c r="H40" i="1"/>
  <c r="D73" i="1"/>
  <c r="J23" i="3"/>
  <c r="H26" i="1"/>
  <c r="G40" i="1"/>
  <c r="G58" i="1"/>
  <c r="J55" i="3"/>
  <c r="G47" i="1"/>
  <c r="J45" i="3"/>
  <c r="F10" i="2"/>
  <c r="C22" i="2"/>
  <c r="O30" i="2"/>
  <c r="J39" i="3"/>
  <c r="G129" i="1"/>
  <c r="J24" i="3"/>
  <c r="G52" i="1"/>
  <c r="F5" i="2"/>
  <c r="F11" i="2"/>
  <c r="G78" i="1"/>
  <c r="H40" i="3"/>
  <c r="G57" i="1"/>
  <c r="G44" i="1"/>
  <c r="H129" i="1"/>
  <c r="H138" i="1"/>
  <c r="H72" i="1"/>
  <c r="H76" i="1"/>
  <c r="H97" i="1"/>
  <c r="F11" i="5"/>
  <c r="F14" i="2"/>
  <c r="H37" i="1"/>
  <c r="J16" i="3"/>
  <c r="H31" i="1"/>
  <c r="H36" i="1"/>
  <c r="G76" i="1"/>
  <c r="F31" i="2"/>
  <c r="I9" i="4"/>
  <c r="H98" i="1"/>
  <c r="D79" i="1"/>
  <c r="G96" i="1"/>
  <c r="D15" i="5"/>
  <c r="G53" i="1"/>
  <c r="H131" i="1"/>
  <c r="H48" i="1"/>
  <c r="G109" i="1"/>
  <c r="G99" i="1"/>
  <c r="G112" i="1"/>
  <c r="H6" i="3"/>
  <c r="G24" i="1"/>
  <c r="D125" i="1"/>
  <c r="G86" i="1"/>
  <c r="G98" i="1"/>
  <c r="H122" i="1"/>
  <c r="F32" i="2"/>
  <c r="G85" i="1"/>
  <c r="L6" i="3"/>
  <c r="J11" i="3"/>
  <c r="L9" i="3"/>
  <c r="H5" i="2"/>
  <c r="D98" i="1"/>
  <c r="H89" i="1"/>
  <c r="J13" i="3"/>
  <c r="D124" i="1"/>
  <c r="H104" i="1"/>
  <c r="D110" i="1"/>
  <c r="H49" i="3"/>
  <c r="J36" i="3"/>
  <c r="G104" i="1"/>
  <c r="D105" i="1"/>
  <c r="H37" i="2"/>
  <c r="H17" i="3"/>
  <c r="G34" i="1"/>
  <c r="D69" i="1"/>
  <c r="G19" i="1"/>
  <c r="D72" i="1"/>
  <c r="H75" i="1"/>
  <c r="D102" i="1"/>
  <c r="G61" i="1"/>
  <c r="L12" i="3"/>
  <c r="H91" i="1"/>
  <c r="H134" i="1"/>
  <c r="H110" i="1"/>
  <c r="H39" i="1"/>
  <c r="H54" i="3"/>
  <c r="G83" i="1"/>
  <c r="D109" i="1"/>
  <c r="D77" i="1"/>
  <c r="H86" i="1"/>
  <c r="D132" i="1"/>
  <c r="C21" i="2"/>
  <c r="J18" i="3"/>
  <c r="G131" i="1"/>
  <c r="F14" i="5"/>
  <c r="J38" i="3"/>
  <c r="G107" i="1"/>
  <c r="H47" i="3"/>
  <c r="J7" i="3"/>
  <c r="F16" i="5"/>
  <c r="H42" i="3"/>
  <c r="O38" i="2"/>
  <c r="G32" i="1"/>
  <c r="H41" i="2"/>
  <c r="H35" i="2"/>
  <c r="G30" i="1"/>
  <c r="O37" i="2"/>
  <c r="G122" i="1"/>
  <c r="I6" i="4"/>
  <c r="F29" i="2"/>
  <c r="D39" i="1"/>
  <c r="D35" i="1"/>
  <c r="H70" i="1"/>
  <c r="G74" i="1"/>
  <c r="D136" i="1"/>
  <c r="I14" i="4"/>
  <c r="G43" i="1"/>
  <c r="J42" i="3"/>
  <c r="L21" i="3"/>
  <c r="H125" i="1"/>
  <c r="G134" i="1"/>
  <c r="G89" i="1"/>
  <c r="H55" i="1"/>
  <c r="D83" i="1"/>
  <c r="H23" i="1"/>
  <c r="D37" i="1"/>
  <c r="C17" i="4"/>
  <c r="H34" i="1"/>
  <c r="H88" i="1"/>
  <c r="H67" i="1"/>
  <c r="G116" i="1"/>
  <c r="H121" i="1"/>
  <c r="H35" i="1"/>
  <c r="J58" i="3"/>
  <c r="D61" i="1"/>
  <c r="J26" i="3"/>
  <c r="H37" i="3"/>
  <c r="J54" i="3"/>
  <c r="H62" i="1"/>
  <c r="H108" i="1"/>
  <c r="H55" i="3"/>
  <c r="G63" i="1"/>
  <c r="H9" i="2"/>
  <c r="G25" i="1"/>
  <c r="J21" i="3"/>
  <c r="F9" i="2"/>
  <c r="L25" i="3"/>
  <c r="H102" i="1"/>
  <c r="F4" i="2"/>
  <c r="H44" i="1"/>
  <c r="H78" i="1"/>
  <c r="L14" i="3"/>
  <c r="D33" i="1"/>
  <c r="H33" i="1"/>
  <c r="G132" i="1"/>
  <c r="G100" i="1"/>
  <c r="G114" i="1"/>
  <c r="J46" i="3"/>
  <c r="D111" i="1"/>
  <c r="G120" i="1"/>
  <c r="J59" i="3"/>
  <c r="D87" i="1"/>
  <c r="F35" i="2"/>
  <c r="H28" i="1"/>
  <c r="D138" i="1"/>
  <c r="H51" i="3"/>
  <c r="G97" i="1"/>
  <c r="L26" i="3"/>
  <c r="H29" i="3"/>
  <c r="C13" i="4"/>
  <c r="H22" i="3"/>
  <c r="G71" i="1"/>
  <c r="H34" i="2"/>
  <c r="H63" i="1"/>
  <c r="F30" i="2"/>
  <c r="H41" i="1"/>
  <c r="H116" i="1"/>
  <c r="D127" i="1"/>
  <c r="L29" i="3"/>
  <c r="H46" i="3"/>
  <c r="H45" i="1"/>
  <c r="G125" i="1"/>
  <c r="F13" i="5"/>
  <c r="C25" i="3"/>
  <c r="H60" i="1"/>
  <c r="H57" i="1"/>
  <c r="F7" i="2"/>
  <c r="G65" i="1"/>
  <c r="J34" i="3"/>
  <c r="H12" i="2"/>
  <c r="I3" i="4"/>
  <c r="I11" i="4"/>
  <c r="H51" i="1"/>
  <c r="I12" i="4"/>
  <c r="D52" i="1"/>
  <c r="H16" i="2"/>
  <c r="H118" i="1"/>
  <c r="D67" i="1"/>
  <c r="D54" i="1"/>
  <c r="H21" i="3"/>
  <c r="H8" i="3"/>
  <c r="I4" i="4"/>
  <c r="D55" i="1"/>
  <c r="J52" i="3"/>
  <c r="D74" i="1"/>
  <c r="G106" i="1"/>
  <c r="D46" i="1"/>
  <c r="H73" i="1"/>
  <c r="F12" i="2"/>
  <c r="G72" i="1"/>
  <c r="D75" i="1"/>
  <c r="D17" i="5"/>
  <c r="O36" i="2"/>
  <c r="H46" i="1"/>
  <c r="G51" i="1"/>
  <c r="O29" i="2"/>
  <c r="H93" i="1"/>
  <c r="G28" i="1"/>
  <c r="D103" i="1"/>
  <c r="J41" i="3"/>
  <c r="H136" i="1"/>
  <c r="D66" i="1"/>
  <c r="G115" i="1"/>
  <c r="G139" i="1"/>
  <c r="H19" i="3"/>
  <c r="D119" i="1"/>
  <c r="H128" i="1"/>
  <c r="H38" i="1"/>
  <c r="J25" i="3"/>
  <c r="G73" i="1"/>
  <c r="G48" i="1"/>
  <c r="J6" i="3"/>
  <c r="H14" i="2"/>
  <c r="G138" i="1"/>
  <c r="H101" i="1"/>
  <c r="D86" i="1"/>
  <c r="D84" i="1"/>
  <c r="H71" i="1"/>
  <c r="H6" i="2"/>
  <c r="J17" i="3"/>
  <c r="H61" i="1"/>
  <c r="J22" i="3"/>
  <c r="H24" i="3"/>
  <c r="G23" i="1"/>
  <c r="D65" i="1"/>
  <c r="D118" i="1"/>
  <c r="G103" i="1"/>
  <c r="G81" i="1"/>
  <c r="H65" i="1"/>
  <c r="H31" i="2"/>
  <c r="D51" i="1"/>
  <c r="H74" i="1"/>
  <c r="L10" i="3"/>
  <c r="I7" i="4"/>
  <c r="H119" i="1"/>
  <c r="H43" i="1"/>
  <c r="H132" i="1"/>
  <c r="H106" i="1"/>
  <c r="H53" i="1"/>
  <c r="J29" i="3"/>
  <c r="L24" i="3"/>
  <c r="H10" i="3"/>
  <c r="D123" i="1"/>
  <c r="G93" i="1"/>
  <c r="L18" i="3"/>
  <c r="G136" i="1"/>
  <c r="G91" i="1"/>
  <c r="F15" i="5"/>
  <c r="H85" i="1"/>
  <c r="G42" i="1"/>
  <c r="G124" i="1"/>
  <c r="G110" i="1"/>
  <c r="D120" i="1"/>
  <c r="H114" i="1"/>
  <c r="H52" i="1"/>
  <c r="D64" i="1"/>
  <c r="D45" i="1"/>
  <c r="H38" i="3"/>
  <c r="H28" i="3"/>
  <c r="H12" i="3"/>
  <c r="F33" i="2"/>
  <c r="H26" i="3"/>
  <c r="G126" i="1"/>
  <c r="G87" i="1"/>
  <c r="J19" i="3"/>
  <c r="D80" i="1"/>
  <c r="O34" i="2"/>
  <c r="J28" i="3"/>
  <c r="G31" i="1"/>
  <c r="G137" i="1"/>
  <c r="G70" i="1"/>
  <c r="H36" i="2"/>
  <c r="G92" i="1"/>
  <c r="J60" i="3"/>
  <c r="D126" i="1"/>
  <c r="H66" i="1"/>
  <c r="L7" i="3"/>
  <c r="H100" i="1"/>
  <c r="D14" i="5"/>
  <c r="G35" i="1"/>
  <c r="H64" i="1"/>
  <c r="H80" i="1"/>
  <c r="H30" i="1"/>
  <c r="D11" i="5"/>
  <c r="H38" i="2"/>
  <c r="H135" i="1"/>
  <c r="D128" i="1"/>
  <c r="H82" i="1"/>
  <c r="D53" i="1"/>
  <c r="C11" i="4"/>
  <c r="J51" i="3"/>
  <c r="D12" i="5"/>
  <c r="J14" i="3"/>
  <c r="D78" i="1"/>
  <c r="D68" i="1"/>
  <c r="O32" i="2"/>
  <c r="H123" i="1"/>
  <c r="D116" i="1"/>
  <c r="G101" i="1"/>
  <c r="L5" i="3"/>
  <c r="G46" i="3" l="1"/>
  <c r="I46" i="3"/>
  <c r="G16" i="4"/>
  <c r="H16" i="4" s="1"/>
  <c r="E17" i="4" s="1"/>
  <c r="E19" i="3"/>
  <c r="E48" i="3"/>
  <c r="V33" i="1"/>
  <c r="I47" i="3" l="1"/>
  <c r="G47" i="3"/>
  <c r="G17" i="4"/>
  <c r="H17" i="4" s="1"/>
  <c r="E18" i="4" s="1"/>
  <c r="E20" i="3"/>
  <c r="E49" i="3"/>
  <c r="V34" i="1"/>
  <c r="D19" i="1"/>
  <c r="D25" i="1"/>
  <c r="D28" i="1"/>
  <c r="D32" i="1"/>
  <c r="D21" i="1"/>
  <c r="H9" i="1"/>
  <c r="D26" i="1"/>
  <c r="H12" i="1"/>
  <c r="D29" i="1"/>
  <c r="H6" i="1"/>
  <c r="D30" i="1"/>
  <c r="H20" i="1"/>
  <c r="D141" i="1"/>
  <c r="H8" i="1"/>
  <c r="H15" i="1"/>
  <c r="D23" i="1"/>
  <c r="D142" i="1"/>
  <c r="H10" i="1"/>
  <c r="H14" i="1"/>
  <c r="H7" i="1"/>
  <c r="H11" i="1"/>
  <c r="H22" i="1"/>
  <c r="G21" i="1"/>
  <c r="H13" i="1"/>
  <c r="H5" i="1"/>
  <c r="D24" i="1"/>
  <c r="D140" i="1"/>
  <c r="D31" i="1"/>
  <c r="D22" i="1"/>
  <c r="H21" i="1"/>
  <c r="D27" i="1"/>
  <c r="G20" i="1"/>
  <c r="D20" i="1"/>
  <c r="G22" i="1"/>
  <c r="C15" i="1"/>
  <c r="I48" i="3" l="1"/>
  <c r="G48" i="3"/>
  <c r="G18" i="4"/>
  <c r="H18" i="4" s="1"/>
  <c r="E19" i="4" s="1"/>
  <c r="E21" i="3"/>
  <c r="E50" i="3"/>
  <c r="V35" i="1"/>
  <c r="G49" i="3" l="1"/>
  <c r="I49" i="3"/>
  <c r="G19" i="4"/>
  <c r="H19" i="4" s="1"/>
  <c r="E22" i="3"/>
  <c r="E51" i="3"/>
  <c r="V36" i="1"/>
  <c r="G50" i="3" l="1"/>
  <c r="I50" i="3"/>
  <c r="E23" i="3"/>
  <c r="E52" i="3"/>
  <c r="V37" i="1"/>
  <c r="I51" i="3" l="1"/>
  <c r="G51" i="3"/>
  <c r="E24" i="3"/>
  <c r="E53" i="3"/>
  <c r="V38" i="1"/>
  <c r="I52" i="3" l="1"/>
  <c r="G52" i="3"/>
  <c r="E25" i="3"/>
  <c r="E54" i="3"/>
  <c r="V39" i="1"/>
  <c r="G53" i="3" l="1"/>
  <c r="I53" i="3"/>
  <c r="E26" i="3"/>
  <c r="E27" i="3" s="1"/>
  <c r="E55" i="3"/>
  <c r="V40" i="1"/>
  <c r="I54" i="3" l="1"/>
  <c r="G54" i="3"/>
  <c r="E28" i="3"/>
  <c r="E56" i="3"/>
  <c r="V41" i="1"/>
  <c r="I55" i="3" l="1"/>
  <c r="G55" i="3"/>
  <c r="E58" i="3"/>
  <c r="V42" i="1"/>
  <c r="I56" i="3" l="1"/>
  <c r="G56" i="3"/>
  <c r="V43" i="1"/>
  <c r="G57" i="3" l="1"/>
  <c r="I57" i="3"/>
  <c r="V44" i="1"/>
  <c r="G58" i="3" l="1"/>
  <c r="G59" i="3" s="1"/>
  <c r="B49" i="3"/>
  <c r="I58" i="3"/>
  <c r="I59" i="3" s="1"/>
  <c r="I60" i="3" s="1"/>
  <c r="V45" i="1"/>
  <c r="V46" i="1" l="1"/>
  <c r="V47" i="1" l="1"/>
  <c r="V48" i="1" l="1"/>
  <c r="V49" i="1" l="1"/>
  <c r="V50" i="1" l="1"/>
  <c r="V51" i="1" l="1"/>
  <c r="V52" i="1" l="1"/>
  <c r="V53" i="1" l="1"/>
  <c r="V54" i="1" l="1"/>
  <c r="V55" i="1" l="1"/>
  <c r="V56" i="1" l="1"/>
  <c r="V57" i="1" l="1"/>
  <c r="V58" i="1" l="1"/>
  <c r="V59" i="1" l="1"/>
  <c r="V60" i="1" l="1"/>
  <c r="V61" i="1" l="1"/>
  <c r="V62" i="1" l="1"/>
  <c r="V63" i="1" l="1"/>
  <c r="V64" i="1" l="1"/>
  <c r="V65" i="1" l="1"/>
  <c r="V66" i="1" l="1"/>
  <c r="V67" i="1" l="1"/>
  <c r="V68" i="1" l="1"/>
  <c r="V69" i="1" l="1"/>
  <c r="V70" i="1" l="1"/>
  <c r="V71" i="1" l="1"/>
  <c r="V72" i="1" l="1"/>
  <c r="V73" i="1" l="1"/>
  <c r="V74" i="1" l="1"/>
  <c r="V75" i="1" l="1"/>
  <c r="V76" i="1" l="1"/>
  <c r="V77" i="1" l="1"/>
  <c r="V78" i="1" l="1"/>
  <c r="V79" i="1" l="1"/>
  <c r="V80" i="1" l="1"/>
  <c r="V81" i="1" l="1"/>
  <c r="V82" i="1" l="1"/>
  <c r="V83" i="1" l="1"/>
  <c r="V84" i="1" l="1"/>
  <c r="V85" i="1" l="1"/>
  <c r="V86" i="1" l="1"/>
  <c r="V87" i="1" l="1"/>
  <c r="V88" i="1" l="1"/>
  <c r="V89" i="1" l="1"/>
  <c r="V90" i="1" l="1"/>
  <c r="V91" i="1" l="1"/>
  <c r="V92" i="1" l="1"/>
  <c r="V93" i="1" l="1"/>
  <c r="V94" i="1" l="1"/>
  <c r="V95" i="1" l="1"/>
  <c r="V96" i="1" l="1"/>
  <c r="V97" i="1" l="1"/>
  <c r="V98" i="1" l="1"/>
  <c r="V99" i="1" l="1"/>
  <c r="V100" i="1" l="1"/>
  <c r="V101" i="1" l="1"/>
  <c r="V102" i="1" l="1"/>
  <c r="V103" i="1" l="1"/>
  <c r="V104" i="1" l="1"/>
  <c r="V105" i="1" l="1"/>
  <c r="V106" i="1" l="1"/>
  <c r="V107" i="1" l="1"/>
  <c r="V108" i="1" l="1"/>
  <c r="V109" i="1" l="1"/>
  <c r="V110" i="1" l="1"/>
  <c r="V111" i="1" l="1"/>
  <c r="V112" i="1" l="1"/>
  <c r="V113" i="1" l="1"/>
  <c r="V114" i="1" l="1"/>
  <c r="V115" i="1" l="1"/>
  <c r="V116" i="1" l="1"/>
  <c r="V117" i="1" l="1"/>
  <c r="V118" i="1" l="1"/>
  <c r="V119" i="1" l="1"/>
  <c r="V120" i="1" l="1"/>
  <c r="V121" i="1" l="1"/>
  <c r="V122" i="1" l="1"/>
  <c r="V123" i="1" l="1"/>
  <c r="V124" i="1" l="1"/>
  <c r="V125" i="1" l="1"/>
  <c r="V126" i="1" l="1"/>
  <c r="V127" i="1" l="1"/>
  <c r="V128" i="1" l="1"/>
  <c r="V129" i="1" l="1"/>
  <c r="V130" i="1" l="1"/>
  <c r="V131" i="1" l="1"/>
  <c r="V132" i="1" l="1"/>
  <c r="V133" i="1" l="1"/>
  <c r="V134" i="1" l="1"/>
  <c r="V135" i="1" l="1"/>
  <c r="V136" i="1" l="1"/>
  <c r="V137" i="1" l="1"/>
  <c r="V138" i="1" l="1"/>
  <c r="V139" i="1" l="1"/>
  <c r="V140" i="1" l="1"/>
  <c r="V141" i="1" l="1"/>
  <c r="AA18" i="1" s="1"/>
  <c r="AA17" i="1" s="1"/>
  <c r="X18" i="1" l="1"/>
  <c r="K31" i="2" l="1"/>
  <c r="N31" i="2" s="1"/>
  <c r="M31" i="2" l="1"/>
  <c r="K32" i="2" s="1"/>
  <c r="M32" i="2" s="1"/>
  <c r="N32" i="2" l="1"/>
  <c r="K33" i="2" s="1"/>
  <c r="M33" i="2" l="1"/>
  <c r="N33" i="2"/>
  <c r="K34" i="2" l="1"/>
  <c r="M34" i="2" l="1"/>
  <c r="N34" i="2"/>
  <c r="K35" i="2" l="1"/>
  <c r="M35" i="2" l="1"/>
  <c r="N35" i="2"/>
  <c r="K36" i="2" l="1"/>
  <c r="M36" i="2" l="1"/>
  <c r="N36" i="2"/>
  <c r="K37" i="2" l="1"/>
  <c r="M37" i="2" l="1"/>
  <c r="N37" i="2"/>
  <c r="K38" i="2" l="1"/>
  <c r="M38" i="2" l="1"/>
  <c r="N38" i="2"/>
  <c r="K39" i="2" l="1"/>
  <c r="M39" i="2" l="1"/>
  <c r="N39" i="2"/>
  <c r="B19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tc={216430E2-05A7-4C08-82D8-80CE6A088BCB}</author>
    <author>tc={602CB15A-BE19-43D4-92A0-1DB43C3CD052}</author>
  </authors>
  <commentList>
    <comment ref="C17" authorId="0" shapeId="0" xr:uid="{216430E2-05A7-4C08-82D8-80CE6A088BCB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in formula for c.c.</t>
      </text>
    </comment>
    <comment ref="I17" authorId="1" shapeId="0" xr:uid="{602CB15A-BE19-43D4-92A0-1DB43C3CD052}">
      <text>
        <t>[Threaded comment]
Your version of Excel allows you to read this threaded comment; however, any edits to it will get removed if the file is opened in a newer version of Excel. Learn more: https://go.microsoft.com/fwlink/?linkid=870924
Comment:
    Formula Changes to Continuous Compounding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Coleman, Will</author>
  </authors>
  <commentList>
    <comment ref="E29" authorId="0" shapeId="0" xr:uid="{68F3EAC8-375F-422A-AEB9-576550BECEEC}">
      <text>
        <r>
          <rPr>
            <b/>
            <sz val="9"/>
            <color indexed="81"/>
            <rFont val="Tahoma"/>
            <family val="2"/>
          </rPr>
          <t>Coleman, Will:</t>
        </r>
        <r>
          <rPr>
            <sz val="9"/>
            <color indexed="81"/>
            <rFont val="Tahoma"/>
            <family val="2"/>
          </rPr>
          <t xml:space="preserve">
Different Formula</t>
        </r>
      </text>
    </comment>
    <comment ref="S29" authorId="0" shapeId="0" xr:uid="{B63FF7C4-0155-454A-A0E0-D16912BD6BC1}">
      <text>
        <r>
          <rPr>
            <b/>
            <sz val="9"/>
            <color indexed="81"/>
            <rFont val="Tahoma"/>
            <family val="2"/>
          </rPr>
          <t>Coleman, Will:</t>
        </r>
        <r>
          <rPr>
            <sz val="9"/>
            <color indexed="81"/>
            <rFont val="Tahoma"/>
            <family val="2"/>
          </rPr>
          <t xml:space="preserve">
Different Formula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Coleman, Will</author>
    <author>tc={0BBFB9E3-607C-4A2E-9D8F-9BB429D99A3E}</author>
  </authors>
  <commentList>
    <comment ref="K9" authorId="0" shapeId="0" xr:uid="{91A62CB9-152F-49FF-99BA-4D554E850F1B}">
      <text>
        <r>
          <rPr>
            <b/>
            <sz val="9"/>
            <color indexed="81"/>
            <rFont val="Tahoma"/>
            <family val="2"/>
          </rPr>
          <t>Coleman, Will:</t>
        </r>
        <r>
          <rPr>
            <sz val="9"/>
            <color indexed="81"/>
            <rFont val="Tahoma"/>
            <family val="2"/>
          </rPr>
          <t xml:space="preserve">
Copy and Paste Value of the Calculated Annual Savings as a Good Check</t>
        </r>
      </text>
    </comment>
    <comment ref="F16" authorId="1" shapeId="0" xr:uid="{0BBFB9E3-607C-4A2E-9D8F-9BB429D99A3E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formula due to withdraws instead of deposits after kid goes to college</t>
      </text>
    </comment>
  </commentList>
</comments>
</file>

<file path=xl/sharedStrings.xml><?xml version="1.0" encoding="utf-8"?>
<sst xmlns="http://schemas.openxmlformats.org/spreadsheetml/2006/main" count="557" uniqueCount="245">
  <si>
    <t>Evaluating Real Estate Investment</t>
  </si>
  <si>
    <t>Discount Rate (APR)</t>
  </si>
  <si>
    <t>Cost of Condominium</t>
  </si>
  <si>
    <t>Monthly Rental Income</t>
  </si>
  <si>
    <t>Annual Maintenance Costs</t>
  </si>
  <si>
    <t>Number of Rental Income Periods</t>
  </si>
  <si>
    <t>Reinvestment Rate (APR)</t>
  </si>
  <si>
    <t>Relavent Rates</t>
  </si>
  <si>
    <t>Term of Investment (years)</t>
  </si>
  <si>
    <t>Cash Flow</t>
  </si>
  <si>
    <t>Sale Price of Condo at 121st period</t>
  </si>
  <si>
    <t>Model Assumptions</t>
  </si>
  <si>
    <t>of each month, starting Jan 1.</t>
  </si>
  <si>
    <t>Month</t>
  </si>
  <si>
    <t>Period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</si>
  <si>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</si>
  <si>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</si>
  <si>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</si>
  <si>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</si>
  <si>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</si>
  <si>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</si>
  <si>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</si>
  <si>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</si>
  <si>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</si>
  <si>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</si>
  <si>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</si>
  <si>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</si>
  <si>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Monthly IRR</t>
  </si>
  <si>
    <t>Annualized IRR</t>
  </si>
  <si>
    <t>Through PV, FV, IRR, and MIRR</t>
  </si>
  <si>
    <t>Model Requirements</t>
  </si>
  <si>
    <t>PV of Costs</t>
  </si>
  <si>
    <t>FV of Income</t>
  </si>
  <si>
    <t>Key Outputs</t>
  </si>
  <si>
    <t>IRR</t>
  </si>
  <si>
    <t>PV of Purchase Price</t>
  </si>
  <si>
    <t>PV of All Income</t>
  </si>
  <si>
    <t>PV of Maintenance Costs</t>
  </si>
  <si>
    <t>PV of Future Sales Price</t>
  </si>
  <si>
    <t>Formulatext</t>
  </si>
  <si>
    <t>Column E</t>
  </si>
  <si>
    <t>Column C</t>
  </si>
  <si>
    <t>Column F</t>
  </si>
  <si>
    <t>Monthly MIRR (Calculated)</t>
  </si>
  <si>
    <t>Monthly MIRR (Function)</t>
  </si>
  <si>
    <t>Annualized MIRR (Calc.)</t>
  </si>
  <si>
    <t>Annualized MIRR (Function)</t>
  </si>
  <si>
    <t>Input Information</t>
  </si>
  <si>
    <t>NPV (sum of rows 11-14)</t>
  </si>
  <si>
    <t xml:space="preserve">1. Assume you buy the condo on the 1st of December, and you will receive the rental income at the beginning </t>
  </si>
  <si>
    <t>1. Calculate anticipated sales price by assuming that the condo will appreciate annually at the annual inflation rate</t>
  </si>
  <si>
    <t>2. Calculate the Internal rate of return using the cash flows</t>
  </si>
  <si>
    <t>3.  Calculate the MIRR using the long method (though cash flows)</t>
  </si>
  <si>
    <t>4.  Calculate the MIRR using the MIRR function</t>
  </si>
  <si>
    <t>5.  Calculate the NPV of the Investment by using the PV function to discount each segment of the cash flows.</t>
  </si>
  <si>
    <t xml:space="preserve">and then sum them. </t>
  </si>
  <si>
    <t>Algebraic</t>
  </si>
  <si>
    <t>1.  Algebraic</t>
  </si>
  <si>
    <t>Deposit Today</t>
  </si>
  <si>
    <t>Discount rate</t>
  </si>
  <si>
    <t>Compounding Frequency</t>
  </si>
  <si>
    <t xml:space="preserve">Annual Deposit </t>
  </si>
  <si>
    <t>2. FV Function</t>
  </si>
  <si>
    <t>3. FV Function - 1 calculation</t>
  </si>
  <si>
    <t>3 Methods</t>
  </si>
  <si>
    <t xml:space="preserve">Beginning </t>
  </si>
  <si>
    <t>Deposit</t>
  </si>
  <si>
    <t>Net Deposit</t>
  </si>
  <si>
    <t>End of Period</t>
  </si>
  <si>
    <t>Compounding from Beginning of Period</t>
  </si>
  <si>
    <t>Key Inputs and Assumptions</t>
  </si>
  <si>
    <t>Funding a Future Investment</t>
  </si>
  <si>
    <t>Forecasted Annual College Tuition</t>
  </si>
  <si>
    <t>Age Today</t>
  </si>
  <si>
    <t>Age Entering College</t>
  </si>
  <si>
    <t>Number of Years in College</t>
  </si>
  <si>
    <t>Years to Save</t>
  </si>
  <si>
    <t>Forecasted Annual Return on Investment</t>
  </si>
  <si>
    <t>Future Value of Investment at Age 18</t>
  </si>
  <si>
    <t>PV of College at 18</t>
  </si>
  <si>
    <t>Age</t>
  </si>
  <si>
    <t>Deposit/Withdrawal</t>
  </si>
  <si>
    <t xml:space="preserve">Solve for the Annual Payment use PMT </t>
  </si>
  <si>
    <t>PV FUNCTION</t>
  </si>
  <si>
    <t>Input 1:  Interest Rate per Period  .06/4 would be for quarterly compounding with a 6% APR</t>
  </si>
  <si>
    <t>Input 2: Total number of payment periods in an investment/loan</t>
  </si>
  <si>
    <t>Input 3:  Is the payment for each period and cannot change over the life of the investment/loan</t>
  </si>
  <si>
    <t>Input 4:  Is the future value of the investment/loan after the last payment is made</t>
  </si>
  <si>
    <t xml:space="preserve">Input 5: Is the logical value:  payment at the beginning of the period =1;  payment at </t>
  </si>
  <si>
    <t>the end of the period is = 0</t>
  </si>
  <si>
    <t>THE FV FUNCTION HAS SEVERAL INPUTS</t>
  </si>
  <si>
    <t>USE THE INPUT FUNCTION WIZARD TO HELP WITH INPUTS</t>
  </si>
  <si>
    <t>INPUT 1:  THE INTEREST RATE</t>
  </si>
  <si>
    <t>INPUT 2:  NUMBER OF PERIODS OF COMPOUNDING</t>
  </si>
  <si>
    <t xml:space="preserve">INPUT 5:  TYPE - CHOOSE 1 IF COMPOUNDING FROM THE </t>
  </si>
  <si>
    <t xml:space="preserve">BEGINNING OF THE PERIOD USE 0 OR LEAVE BLANK IF COMPOUNDING </t>
  </si>
  <si>
    <t>NOTE THAT BOLD INPUTS IN THE FUNCTION WIZARD MUST BE FILLED IN.</t>
  </si>
  <si>
    <t>FROM THE END OF THE PERIOD.  THIS ONLY APPLIES TO PAYMENTS</t>
  </si>
  <si>
    <t>INPUT 3:  PAYMENTS USE IF YOU HAVE MULTIPLE PAYMENTS/DEPOSITS</t>
  </si>
  <si>
    <t>INPUT 4:  THE PRESENT VALUE - USE IF YOU HAVE 1 PAYMENT/DEPOSIT</t>
  </si>
  <si>
    <t>Functions on this Sheet</t>
  </si>
  <si>
    <t>FV</t>
  </si>
  <si>
    <t>PV</t>
  </si>
  <si>
    <t>PMT</t>
  </si>
  <si>
    <t>IRR and MIRR Analysis using Data Tables</t>
  </si>
  <si>
    <t>How does the MIRR change with a change in the reinvestment rate?</t>
  </si>
  <si>
    <t>How does the IRR change with a change in the future sales price?</t>
  </si>
  <si>
    <t>How does a change in the rental income and the annual costs affect the IRR?</t>
  </si>
  <si>
    <t>2. PV Function</t>
  </si>
  <si>
    <t>3. PV Function - 1 calculation</t>
  </si>
  <si>
    <t>Investment Horizon (Years)</t>
  </si>
  <si>
    <t>Number of Periods</t>
  </si>
  <si>
    <t>Monthly Deposit</t>
  </si>
  <si>
    <t>Monthly Discount Rate</t>
  </si>
  <si>
    <t xml:space="preserve">PV </t>
  </si>
  <si>
    <t>PV function</t>
  </si>
  <si>
    <t>Net Present Value</t>
  </si>
  <si>
    <t>PV Function</t>
  </si>
  <si>
    <t>4 Methods</t>
  </si>
  <si>
    <t>Present  Value</t>
  </si>
  <si>
    <t>NPV - Net Present Value</t>
  </si>
  <si>
    <t>You cannot use the PV function in one calc. because of the</t>
  </si>
  <si>
    <t>variable deposits.  You can, however, use the NPV function, but</t>
  </si>
  <si>
    <t>you must cell reference the values in sequence.</t>
  </si>
  <si>
    <t>NPV</t>
  </si>
  <si>
    <t>Variable</t>
  </si>
  <si>
    <t>FV of Investment / Given Annual Savings</t>
  </si>
  <si>
    <t>Annual Return on Investment</t>
  </si>
  <si>
    <t>a limit of 19.722%</t>
  </si>
  <si>
    <t>Continuous Compouding as the Limit of Compounding Frequency</t>
  </si>
  <si>
    <t>Calculation of an Equivalent Rate</t>
  </si>
  <si>
    <t>Amount</t>
  </si>
  <si>
    <t>Compounding Frequency (EAR)</t>
  </si>
  <si>
    <t>For a very large number of compounding periods, the EAR approaches</t>
  </si>
  <si>
    <t>Annually EAR</t>
  </si>
  <si>
    <t>Semi-Annually EAR</t>
  </si>
  <si>
    <t>Quarterly EAR</t>
  </si>
  <si>
    <t>Monthly EAR</t>
  </si>
  <si>
    <t>Bi-Monthly EAR</t>
  </si>
  <si>
    <t>Weekly EAR</t>
  </si>
  <si>
    <t>Daily EAR</t>
  </si>
  <si>
    <t># of Periods/Yr = n</t>
  </si>
  <si>
    <t>Future Value using Continous Compounding</t>
  </si>
  <si>
    <t>Discount rate APR</t>
  </si>
  <si>
    <t>Convert Rate to Continuous Compounding</t>
  </si>
  <si>
    <t>Number of Compounding Periods</t>
  </si>
  <si>
    <t>Investment Horizon (years)</t>
  </si>
  <si>
    <t>Compounding Periods (years)</t>
  </si>
  <si>
    <t xml:space="preserve">Future Value </t>
  </si>
  <si>
    <t>FV when there are Annual Deposits</t>
  </si>
  <si>
    <t>Future Value on a Single Deposit</t>
  </si>
  <si>
    <t>Present Value using Continous Compounding</t>
  </si>
  <si>
    <t>Discount Term (years)</t>
  </si>
  <si>
    <t>PV using CC</t>
  </si>
  <si>
    <t>When each cash flow varies each period, the method of the analysis must change.</t>
  </si>
  <si>
    <t xml:space="preserve">Time is always expressed in years </t>
  </si>
  <si>
    <t>EFFECT</t>
  </si>
  <si>
    <t>EXP</t>
  </si>
  <si>
    <t>FORMULATEXT</t>
  </si>
  <si>
    <t>Returns the Effective Annual Interest Rate</t>
  </si>
  <si>
    <t>Returns e raised to the power of a given number</t>
  </si>
  <si>
    <t>Returns a formula as a string</t>
  </si>
  <si>
    <t>LN</t>
  </si>
  <si>
    <t>Returns the Natural Lograrithm of a number</t>
  </si>
  <si>
    <t>Returns the future value of an investment based on periodic constant payments and a constant interest rate</t>
  </si>
  <si>
    <t>Calculates the payment for a loan based on constant payments and a constant interest rate.</t>
  </si>
  <si>
    <t>Returns the present value of an investment: the total amount that an investment is worth NOW.</t>
  </si>
  <si>
    <t>SUM</t>
  </si>
  <si>
    <t>Adds all the numbers in a range of cells</t>
  </si>
  <si>
    <t>Returns the net present value of an investment based on a discount rates and a series of future payments (negative values) and income (positive values)</t>
  </si>
  <si>
    <t>MIRR</t>
  </si>
  <si>
    <t>IF</t>
  </si>
  <si>
    <t>Checks whether a condition is met, and returns one value if true, and another value if false.</t>
  </si>
  <si>
    <t>Returns the Internal Rate of Return for a series of cash flows.</t>
  </si>
  <si>
    <t>Returns the Internal Rate of Return for a series of periodic cash flows, considering the cost of the investment and interest on reinvested cash.</t>
  </si>
  <si>
    <t>EAR (Use Effect Form.)</t>
  </si>
  <si>
    <t>EAR (Formula Above)</t>
  </si>
  <si>
    <t>The EAR grows as the number (n) of compounding periods increases</t>
  </si>
  <si>
    <t xml:space="preserve">When the number of annual compounding periods (n) gets very large, the </t>
  </si>
  <si>
    <t>Conversion of an APR to an Effective Annual Rate (EAR)</t>
  </si>
  <si>
    <t>Annual Percentage Rate (APR, r)</t>
  </si>
  <si>
    <t>Continuously Compounded EAR</t>
  </si>
  <si>
    <t>Compounding from End of Period</t>
  </si>
  <si>
    <t>Check: PV College = FV Investment?</t>
  </si>
  <si>
    <t xml:space="preserve">Annual </t>
  </si>
  <si>
    <t>1. Algebraic</t>
  </si>
  <si>
    <t>Continuously Compounded Rate (r.c.c.)</t>
  </si>
  <si>
    <t>4. Net Present Value (NPV) Function - 1 calculation</t>
  </si>
  <si>
    <t>Monthly Deposit Increment</t>
  </si>
  <si>
    <t>Rental</t>
  </si>
  <si>
    <t>Income</t>
  </si>
  <si>
    <t>EAR of Discount Rate</t>
  </si>
  <si>
    <t>Compounding Monthly</t>
  </si>
  <si>
    <t>MIN</t>
  </si>
  <si>
    <t>MAX</t>
  </si>
  <si>
    <t>Returns the largest value in a set of values. Ignores logical values and text.</t>
  </si>
  <si>
    <t>Returns the smallest value in a set of values. Ignores logical values and text.</t>
  </si>
  <si>
    <t>Where e = 2.71828182845904 is the base of natural logarithms</t>
  </si>
  <si>
    <t>EAR comes close to: e^(r)-1</t>
  </si>
  <si>
    <t>It is included in Excel as the functon Exp(_), so EAR=EXP(r)-1</t>
  </si>
  <si>
    <t>Deposit Today (End of Period 0)</t>
  </si>
  <si>
    <t>Rate</t>
  </si>
  <si>
    <t># of periods = n</t>
  </si>
  <si>
    <t>The Equivalent Rate implies how do I get the same FV using a Rate that Compounds at N number of periods.</t>
  </si>
  <si>
    <t>N</t>
  </si>
  <si>
    <t>T</t>
  </si>
  <si>
    <t>Equivalent Rate</t>
  </si>
  <si>
    <t>APR (with annual compounding)</t>
  </si>
  <si>
    <t>Continuously Compounded (c.c.)</t>
  </si>
  <si>
    <t>Number of compounding periods</t>
  </si>
  <si>
    <t>Maintenance Cost</t>
  </si>
  <si>
    <t>PV of M.C.</t>
  </si>
  <si>
    <t>formulatext</t>
  </si>
  <si>
    <t>Rental Income</t>
  </si>
  <si>
    <t>PV of all Rental  Income</t>
  </si>
  <si>
    <t>Sale of Property</t>
  </si>
  <si>
    <t>PV of Sale</t>
  </si>
  <si>
    <t xml:space="preserve">IF I hold FV constant, what is the equivalent rate when N increases. </t>
  </si>
  <si>
    <t>The increase in n,  increases the effective annual rate</t>
  </si>
  <si>
    <t>If I compound $100 at 18% with one compounding period per annum</t>
  </si>
  <si>
    <t>If I compound $100 at 18% with two compounding periods per annum</t>
  </si>
  <si>
    <t>If I compound $100 at 18% three compounding periods per annum</t>
  </si>
  <si>
    <t>FV (using APR)</t>
  </si>
  <si>
    <t>FV (using EAR)</t>
  </si>
  <si>
    <t>EAR</t>
  </si>
  <si>
    <t>If I compound $100 at 18% four compounding periods per annum</t>
  </si>
  <si>
    <t>Time (T)</t>
  </si>
  <si>
    <t>Amount (A)</t>
  </si>
  <si>
    <t>Beginning of Month</t>
  </si>
  <si>
    <t>2.  The maintenance costs will occur every January 1st.</t>
  </si>
  <si>
    <t>Time</t>
  </si>
  <si>
    <t>FV using APR, n=1</t>
  </si>
  <si>
    <t>FV using APR,n=2</t>
  </si>
  <si>
    <t>FV using EAR (n=2)</t>
  </si>
  <si>
    <t>FV using EAR using FV Function</t>
  </si>
  <si>
    <t>FV = PV * EAR</t>
  </si>
  <si>
    <t>FV = PV * (1+r)^n</t>
  </si>
  <si>
    <t>To Comment: ALT + rc</t>
  </si>
  <si>
    <t>Using FV Function</t>
  </si>
  <si>
    <t>FV = Ae^rt</t>
  </si>
  <si>
    <t>PV = Ae^-rt</t>
  </si>
  <si>
    <t>Present Value</t>
  </si>
  <si>
    <t>Time in Years</t>
  </si>
  <si>
    <t>FV End of Period</t>
  </si>
  <si>
    <t>$ Saved at time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</si>
</sst>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_(&quot;$&quot;* #,##0_);_(&quot;$&quot;* \(#,##0\);_(&quot;$&quot;* &quot;-&quot;??_);_(@_)"/>
    <numFmt numFmtId="166" formatCode="_(* #,##0_);_(* \(#,##0\);_(* &quot;-&quot;??_);_(@_)"/>
    <numFmt numFmtId="167" formatCode="&quot;$&quot;#,##0.00_);\(&quot;$&quot;#,##0.00\);\–_);&quot;–&quot;_)"/>
    <numFmt numFmtId="168" formatCode="&quot;$&quot;#,##0.0000_);[Red]\(&quot;$&quot;#,##0.0000\)"/>
  </numFmts>
  <fonts count="44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Arial"/>
      <family val="2"/>
    </font>
    <font>
      <i/>
      <sz val="16"/>
      <color theme="1"/>
      <name val="Arial"/>
      <family val="2"/>
    </font>
    <font>
      <sz val="16"/>
      <color theme="4" tint="-0.249977111117893"/>
      <name val="Arial"/>
      <family val="2"/>
    </font>
    <font>
      <sz val="16"/>
      <color theme="0"/>
      <name val="Arial"/>
      <family val="2"/>
    </font>
    <font>
      <sz val="16"/>
      <color rgb="FF0070C0"/>
      <name val="Arial"/>
      <family val="2"/>
    </font>
    <font>
      <sz val="10"/>
      <name val="Calibri"/>
      <family val="2"/>
      <scheme val="minor"/>
    </font>
    <font>
      <i/>
      <sz val="16"/>
      <color rgb="FFFF0000"/>
      <name val="Arial"/>
      <family val="2"/>
    </font>
    <font>
      <b/>
      <sz val="16"/>
      <color theme="0"/>
      <name val="Arial"/>
      <family val="2"/>
    </font>
    <font>
      <b/>
      <sz val="20"/>
      <color theme="4" tint="-0.249977111117893"/>
      <name val="Arial"/>
      <family val="2"/>
    </font>
    <font>
      <b/>
      <sz val="14"/>
      <color rgb="FF000000"/>
      <name val="Arial"/>
      <family val="2"/>
    </font>
    <font>
      <sz val="14"/>
      <color theme="1"/>
      <name val="Arial"/>
      <family val="2"/>
    </font>
    <font>
      <sz val="14"/>
      <color rgb="FF000000"/>
      <name val="Arial"/>
      <family val="2"/>
    </font>
    <font>
      <b/>
      <sz val="14"/>
      <color theme="0"/>
      <name val="Arial"/>
      <family val="2"/>
    </font>
    <font>
      <sz val="16"/>
      <color rgb="FF002060"/>
      <name val="Arial"/>
      <family val="2"/>
    </font>
    <font>
      <i/>
      <sz val="16"/>
      <color rgb="FF002060"/>
      <name val="Arial"/>
      <family val="2"/>
    </font>
    <font>
      <sz val="16"/>
      <name val="Arial"/>
      <family val="2"/>
    </font>
    <font>
      <sz val="16"/>
      <color rgb="FFFF0000"/>
      <name val="Arial"/>
      <family val="2"/>
    </font>
    <font>
      <b/>
      <i/>
      <u/>
      <sz val="20"/>
      <color rgb="FF0070C0"/>
      <name val="Arial"/>
      <family val="2"/>
    </font>
    <font>
      <b/>
      <i/>
      <u/>
      <sz val="22"/>
      <color rgb="FF0070C0"/>
      <name val="Arial"/>
      <family val="2"/>
    </font>
    <font>
      <b/>
      <sz val="16"/>
      <color theme="1"/>
      <name val="Arial"/>
      <family val="2"/>
    </font>
    <font>
      <b/>
      <i/>
      <sz val="16"/>
      <color theme="0"/>
      <name val="Arial"/>
      <family val="2"/>
    </font>
    <font>
      <sz val="16"/>
      <color rgb="FF000000"/>
      <name val="Arial"/>
      <family val="2"/>
    </font>
    <font>
      <sz val="16"/>
      <color rgb="FF0000FF"/>
      <name val="Arial"/>
      <family val="2"/>
    </font>
    <font>
      <sz val="16"/>
      <color rgb="FF800080"/>
      <name val="Arial"/>
      <family val="2"/>
    </font>
    <font>
      <b/>
      <u val="singleAccounting"/>
      <sz val="14"/>
      <color theme="0"/>
      <name val="Arial"/>
      <family val="2"/>
    </font>
    <font>
      <b/>
      <u/>
      <sz val="16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rgb="FFFF0000"/>
      <name val="Arial"/>
      <family val="2"/>
    </font>
    <font>
      <b/>
      <sz val="24"/>
      <color rgb="FFFF0000"/>
      <name val="Arial"/>
      <family val="2"/>
    </font>
    <font>
      <sz val="18"/>
      <color theme="1"/>
      <name val="Arial"/>
      <family val="2"/>
    </font>
    <font>
      <sz val="16"/>
      <color rgb="FF7030A0"/>
      <name val="Arial"/>
      <family val="2"/>
    </font>
    <font>
      <sz val="18"/>
      <color rgb="FF0070C0"/>
      <name val="Arial"/>
      <family val="2"/>
    </font>
    <font>
      <b/>
      <sz val="18"/>
      <color rgb="FF00B050"/>
      <name val="Arial"/>
      <family val="2"/>
    </font>
    <font>
      <i/>
      <sz val="16"/>
      <color rgb="FF0070C0"/>
      <name val="Arial"/>
      <family val="2"/>
    </font>
    <font>
      <i/>
      <sz val="16"/>
      <color rgb="FF7030A0"/>
      <name val="Arial"/>
      <family val="2"/>
    </font>
    <font>
      <sz val="18"/>
      <color theme="0"/>
      <name val="Arial"/>
      <family val="2"/>
    </font>
    <font>
      <b/>
      <sz val="20"/>
      <color rgb="FFFF0000"/>
      <name val="Arial"/>
      <family val="2"/>
    </font>
    <font>
      <b/>
      <u val="singleAccounting"/>
      <sz val="16"/>
      <color theme="0"/>
      <name val="Arial"/>
      <family val="2"/>
    </font>
    <font>
      <sz val="16"/>
      <color theme="4"/>
      <name val="Arial"/>
      <family val="2"/>
    </font>
    <font>
      <b/>
      <u/>
      <sz val="16"/>
      <color rgb="FFFF0000"/>
      <name val="Arial"/>
      <family val="2"/>
    </font>
    <font>
      <sz val="20"/>
      <color theme="4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333F4F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2">
    <xf numFmtId="0" fontId="0" fillId="0" borderId="0" xfId="0"/>
    <xf numFmtId="0" fontId="2" fillId="0" borderId="0" xfId="0" applyFont="1"/>
    <xf numFmtId="0" fontId="3" fillId="0" borderId="0" xfId="0" applyFont="1"/>
    <xf numFmtId="0" fontId="4" fillId="2" borderId="0" xfId="0" applyFont="1" applyFill="1"/>
    <xf numFmtId="10" fontId="2" fillId="0" borderId="0" xfId="2" applyNumberFormat="1" applyFont="1"/>
    <xf numFmtId="10" fontId="4" fillId="0" borderId="0" xfId="2" applyNumberFormat="1" applyFont="1"/>
    <xf numFmtId="0" fontId="4" fillId="0" borderId="0" xfId="0" applyFont="1"/>
    <xf numFmtId="44" fontId="4" fillId="0" borderId="0" xfId="1" applyFont="1"/>
    <xf numFmtId="0" fontId="5" fillId="3" borderId="0" xfId="0" applyFont="1" applyFill="1"/>
    <xf numFmtId="0" fontId="5" fillId="3" borderId="0" xfId="0" applyFont="1" applyFill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44" fontId="2" fillId="0" borderId="0" xfId="1" applyFont="1"/>
    <xf numFmtId="44" fontId="2" fillId="0" borderId="0" xfId="0" applyNumberFormat="1" applyFont="1"/>
    <xf numFmtId="0" fontId="5" fillId="3" borderId="0" xfId="0" applyFont="1" applyFill="1" applyAlignment="1"/>
    <xf numFmtId="0" fontId="6" fillId="0" borderId="0" xfId="0" applyFont="1" applyAlignment="1">
      <alignment horizontal="left"/>
    </xf>
    <xf numFmtId="16" fontId="6" fillId="0" borderId="0" xfId="0" applyNumberFormat="1" applyFont="1" applyAlignment="1">
      <alignment horizontal="left"/>
    </xf>
    <xf numFmtId="10" fontId="2" fillId="0" borderId="0" xfId="0" applyNumberFormat="1" applyFont="1"/>
    <xf numFmtId="0" fontId="8" fillId="0" borderId="0" xfId="0" applyFont="1"/>
    <xf numFmtId="0" fontId="8" fillId="2" borderId="0" xfId="0" applyFont="1" applyFill="1"/>
    <xf numFmtId="10" fontId="8" fillId="0" borderId="0" xfId="0" applyNumberFormat="1" applyFont="1"/>
    <xf numFmtId="44" fontId="8" fillId="0" borderId="0" xfId="0" applyNumberFormat="1" applyFont="1" applyBorder="1"/>
    <xf numFmtId="44" fontId="8" fillId="2" borderId="0" xfId="0" applyNumberFormat="1" applyFont="1" applyFill="1"/>
    <xf numFmtId="0" fontId="2" fillId="0" borderId="0" xfId="0" applyFont="1" applyBorder="1"/>
    <xf numFmtId="0" fontId="8" fillId="0" borderId="0" xfId="0" applyFont="1" applyBorder="1"/>
    <xf numFmtId="0" fontId="10" fillId="2" borderId="0" xfId="0" applyFont="1" applyFill="1"/>
    <xf numFmtId="164" fontId="4" fillId="0" borderId="0" xfId="2" applyNumberFormat="1" applyFont="1"/>
    <xf numFmtId="44" fontId="6" fillId="0" borderId="0" xfId="1" applyFont="1"/>
    <xf numFmtId="10" fontId="6" fillId="0" borderId="0" xfId="2" applyNumberFormat="1" applyFont="1"/>
    <xf numFmtId="0" fontId="2" fillId="0" borderId="0" xfId="0" applyFont="1" applyAlignment="1">
      <alignment horizontal="right"/>
    </xf>
    <xf numFmtId="44" fontId="2" fillId="4" borderId="0" xfId="0" applyNumberFormat="1" applyFont="1" applyFill="1"/>
    <xf numFmtId="0" fontId="8" fillId="4" borderId="0" xfId="0" applyFont="1" applyFill="1"/>
    <xf numFmtId="8" fontId="2" fillId="4" borderId="0" xfId="0" applyNumberFormat="1" applyFont="1" applyFill="1"/>
    <xf numFmtId="44" fontId="2" fillId="4" borderId="0" xfId="1" applyFont="1" applyFill="1"/>
    <xf numFmtId="8" fontId="2" fillId="4" borderId="0" xfId="1" applyNumberFormat="1" applyFont="1" applyFill="1"/>
    <xf numFmtId="0" fontId="5" fillId="3" borderId="0" xfId="0" applyFont="1" applyFill="1" applyAlignment="1">
      <alignment horizontal="center"/>
    </xf>
    <xf numFmtId="0" fontId="12" fillId="0" borderId="0" xfId="0" applyFont="1"/>
    <xf numFmtId="0" fontId="13" fillId="0" borderId="5" xfId="0" applyFont="1" applyBorder="1"/>
    <xf numFmtId="0" fontId="12" fillId="0" borderId="0" xfId="0" applyFont="1" applyBorder="1"/>
    <xf numFmtId="0" fontId="2" fillId="0" borderId="6" xfId="0" applyFont="1" applyBorder="1"/>
    <xf numFmtId="0" fontId="11" fillId="0" borderId="5" xfId="0" applyFont="1" applyBorder="1"/>
    <xf numFmtId="0" fontId="13" fillId="0" borderId="7" xfId="0" applyFont="1" applyBorder="1"/>
    <xf numFmtId="0" fontId="12" fillId="0" borderId="8" xfId="0" applyFont="1" applyBorder="1"/>
    <xf numFmtId="0" fontId="2" fillId="0" borderId="9" xfId="0" applyFont="1" applyBorder="1"/>
    <xf numFmtId="165" fontId="6" fillId="0" borderId="0" xfId="1" applyNumberFormat="1" applyFont="1"/>
    <xf numFmtId="10" fontId="2" fillId="6" borderId="0" xfId="2" applyNumberFormat="1" applyFont="1" applyFill="1"/>
    <xf numFmtId="44" fontId="15" fillId="0" borderId="5" xfId="1" applyFont="1" applyBorder="1"/>
    <xf numFmtId="44" fontId="16" fillId="0" borderId="0" xfId="1" applyFont="1" applyBorder="1"/>
    <xf numFmtId="0" fontId="16" fillId="0" borderId="0" xfId="0" applyFont="1"/>
    <xf numFmtId="0" fontId="16" fillId="0" borderId="6" xfId="0" applyFont="1" applyBorder="1"/>
    <xf numFmtId="44" fontId="15" fillId="0" borderId="7" xfId="1" applyFont="1" applyBorder="1"/>
    <xf numFmtId="44" fontId="16" fillId="0" borderId="8" xfId="1" applyFont="1" applyBorder="1"/>
    <xf numFmtId="0" fontId="16" fillId="0" borderId="8" xfId="0" applyFont="1" applyBorder="1"/>
    <xf numFmtId="0" fontId="16" fillId="0" borderId="9" xfId="0" applyFont="1" applyBorder="1"/>
    <xf numFmtId="0" fontId="8" fillId="0" borderId="1" xfId="0" applyFont="1" applyBorder="1"/>
    <xf numFmtId="44" fontId="5" fillId="3" borderId="0" xfId="1" applyFont="1" applyFill="1" applyAlignment="1">
      <alignment horizontal="center"/>
    </xf>
    <xf numFmtId="8" fontId="2" fillId="8" borderId="0" xfId="0" applyNumberFormat="1" applyFont="1" applyFill="1"/>
    <xf numFmtId="0" fontId="2" fillId="2" borderId="0" xfId="0" applyFont="1" applyFill="1"/>
    <xf numFmtId="0" fontId="18" fillId="2" borderId="0" xfId="0" applyFont="1" applyFill="1"/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5" fillId="9" borderId="1" xfId="0" applyFont="1" applyFill="1" applyBorder="1" applyAlignment="1">
      <alignment horizontal="center" wrapText="1"/>
    </xf>
    <xf numFmtId="0" fontId="5" fillId="9" borderId="1" xfId="0" applyFont="1" applyFill="1" applyBorder="1" applyAlignment="1">
      <alignment horizontal="center"/>
    </xf>
    <xf numFmtId="164" fontId="2" fillId="4" borderId="0" xfId="2" applyNumberFormat="1" applyFont="1" applyFill="1" applyAlignment="1">
      <alignment horizontal="center"/>
    </xf>
    <xf numFmtId="164" fontId="2" fillId="4" borderId="0" xfId="2" applyNumberFormat="1" applyFont="1" applyFill="1"/>
    <xf numFmtId="0" fontId="5" fillId="9" borderId="0" xfId="0" applyFont="1" applyFill="1" applyAlignment="1"/>
    <xf numFmtId="44" fontId="6" fillId="2" borderId="0" xfId="1" applyFont="1" applyFill="1"/>
    <xf numFmtId="166" fontId="6" fillId="0" borderId="0" xfId="3" applyNumberFormat="1" applyFont="1"/>
    <xf numFmtId="10" fontId="2" fillId="4" borderId="0" xfId="2" applyNumberFormat="1" applyFont="1" applyFill="1"/>
    <xf numFmtId="164" fontId="2" fillId="6" borderId="0" xfId="2" applyNumberFormat="1" applyFont="1" applyFill="1" applyAlignment="1">
      <alignment horizontal="right"/>
    </xf>
    <xf numFmtId="164" fontId="2" fillId="6" borderId="0" xfId="0" applyNumberFormat="1" applyFont="1" applyFill="1" applyAlignment="1">
      <alignment horizontal="right"/>
    </xf>
    <xf numFmtId="0" fontId="19" fillId="0" borderId="0" xfId="0" applyFont="1"/>
    <xf numFmtId="0" fontId="20" fillId="0" borderId="0" xfId="0" applyFont="1"/>
    <xf numFmtId="0" fontId="19" fillId="2" borderId="0" xfId="0" applyFont="1" applyFill="1"/>
    <xf numFmtId="0" fontId="21" fillId="0" borderId="0" xfId="0" applyFont="1"/>
    <xf numFmtId="0" fontId="21" fillId="0" borderId="0" xfId="0" applyFont="1" applyAlignment="1">
      <alignment horizontal="center"/>
    </xf>
    <xf numFmtId="14" fontId="2" fillId="2" borderId="0" xfId="0" applyNumberFormat="1" applyFont="1" applyFill="1"/>
    <xf numFmtId="0" fontId="21" fillId="0" borderId="0" xfId="0" applyFont="1" applyAlignment="1"/>
    <xf numFmtId="0" fontId="5" fillId="3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18" fillId="0" borderId="0" xfId="0" applyFont="1" applyFill="1"/>
    <xf numFmtId="0" fontId="19" fillId="0" borderId="0" xfId="0" applyFont="1" applyFill="1"/>
    <xf numFmtId="0" fontId="25" fillId="0" borderId="0" xfId="0" applyFont="1"/>
    <xf numFmtId="0" fontId="18" fillId="0" borderId="0" xfId="0" applyFont="1"/>
    <xf numFmtId="0" fontId="14" fillId="10" borderId="0" xfId="0" applyFont="1" applyFill="1" applyAlignment="1">
      <alignment horizontal="centerContinuous"/>
    </xf>
    <xf numFmtId="0" fontId="26" fillId="10" borderId="0" xfId="0" applyFont="1" applyFill="1" applyBorder="1" applyAlignment="1">
      <alignment horizontal="centerContinuous"/>
    </xf>
    <xf numFmtId="0" fontId="21" fillId="0" borderId="0" xfId="0" applyFont="1" applyBorder="1" applyAlignment="1">
      <alignment horizontal="center"/>
    </xf>
    <xf numFmtId="0" fontId="5" fillId="3" borderId="0" xfId="0" applyFont="1" applyFill="1" applyAlignment="1">
      <alignment horizontal="centerContinuous"/>
    </xf>
    <xf numFmtId="0" fontId="9" fillId="3" borderId="0" xfId="0" applyFont="1" applyFill="1" applyAlignment="1">
      <alignment horizontal="centerContinuous"/>
    </xf>
    <xf numFmtId="0" fontId="9" fillId="10" borderId="0" xfId="0" applyFont="1" applyFill="1" applyAlignment="1">
      <alignment horizontal="centerContinuous"/>
    </xf>
    <xf numFmtId="44" fontId="24" fillId="4" borderId="0" xfId="0" applyNumberFormat="1" applyFont="1" applyFill="1"/>
    <xf numFmtId="44" fontId="25" fillId="4" borderId="0" xfId="0" applyNumberFormat="1" applyFont="1" applyFill="1"/>
    <xf numFmtId="0" fontId="23" fillId="4" borderId="0" xfId="0" applyFont="1" applyFill="1"/>
    <xf numFmtId="8" fontId="25" fillId="4" borderId="0" xfId="0" applyNumberFormat="1" applyFont="1" applyFill="1"/>
    <xf numFmtId="0" fontId="8" fillId="2" borderId="0" xfId="0" applyFont="1" applyFill="1" applyBorder="1"/>
    <xf numFmtId="8" fontId="2" fillId="4" borderId="0" xfId="0" applyNumberFormat="1" applyFont="1" applyFill="1" applyBorder="1"/>
    <xf numFmtId="0" fontId="2" fillId="0" borderId="11" xfId="0" applyFont="1" applyFill="1" applyBorder="1"/>
    <xf numFmtId="8" fontId="2" fillId="4" borderId="12" xfId="0" applyNumberFormat="1" applyFont="1" applyFill="1" applyBorder="1"/>
    <xf numFmtId="0" fontId="2" fillId="0" borderId="11" xfId="0" applyFont="1" applyBorder="1"/>
    <xf numFmtId="0" fontId="23" fillId="0" borderId="0" xfId="0" applyFont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13" xfId="0" applyFont="1" applyFill="1" applyBorder="1" applyAlignment="1">
      <alignment horizontal="center"/>
    </xf>
    <xf numFmtId="0" fontId="8" fillId="2" borderId="13" xfId="0" applyFont="1" applyFill="1" applyBorder="1"/>
    <xf numFmtId="8" fontId="25" fillId="8" borderId="0" xfId="0" applyNumberFormat="1" applyFont="1" applyFill="1"/>
    <xf numFmtId="0" fontId="5" fillId="5" borderId="0" xfId="0" applyFont="1" applyFill="1" applyAlignment="1">
      <alignment horizontal="centerContinuous"/>
    </xf>
    <xf numFmtId="0" fontId="5" fillId="5" borderId="0" xfId="0" applyFont="1" applyFill="1" applyAlignment="1">
      <alignment horizontal="centerContinuous" vertical="center" wrapText="1"/>
    </xf>
    <xf numFmtId="0" fontId="5" fillId="5" borderId="0" xfId="0" applyFont="1" applyFill="1" applyAlignment="1">
      <alignment horizontal="center" vertical="center" wrapText="1"/>
    </xf>
    <xf numFmtId="44" fontId="6" fillId="0" borderId="0" xfId="1" applyNumberFormat="1" applyFont="1"/>
    <xf numFmtId="44" fontId="6" fillId="0" borderId="10" xfId="1" applyNumberFormat="1" applyFont="1" applyBorder="1"/>
    <xf numFmtId="44" fontId="25" fillId="0" borderId="0" xfId="1" applyNumberFormat="1" applyFont="1"/>
    <xf numFmtId="44" fontId="2" fillId="12" borderId="14" xfId="1" applyNumberFormat="1" applyFont="1" applyFill="1" applyBorder="1"/>
    <xf numFmtId="44" fontId="2" fillId="12" borderId="13" xfId="1" applyNumberFormat="1" applyFont="1" applyFill="1" applyBorder="1"/>
    <xf numFmtId="44" fontId="2" fillId="12" borderId="15" xfId="1" applyNumberFormat="1" applyFont="1" applyFill="1" applyBorder="1"/>
    <xf numFmtId="44" fontId="2" fillId="12" borderId="16" xfId="1" applyNumberFormat="1" applyFont="1" applyFill="1" applyBorder="1"/>
    <xf numFmtId="44" fontId="2" fillId="12" borderId="0" xfId="1" applyNumberFormat="1" applyFont="1" applyFill="1" applyBorder="1"/>
    <xf numFmtId="44" fontId="2" fillId="12" borderId="17" xfId="1" applyNumberFormat="1" applyFont="1" applyFill="1" applyBorder="1"/>
    <xf numFmtId="44" fontId="2" fillId="12" borderId="18" xfId="1" applyNumberFormat="1" applyFont="1" applyFill="1" applyBorder="1"/>
    <xf numFmtId="44" fontId="2" fillId="12" borderId="19" xfId="1" applyNumberFormat="1" applyFont="1" applyFill="1" applyBorder="1"/>
    <xf numFmtId="44" fontId="2" fillId="12" borderId="20" xfId="1" applyNumberFormat="1" applyFont="1" applyFill="1" applyBorder="1"/>
    <xf numFmtId="44" fontId="17" fillId="11" borderId="10" xfId="1" applyNumberFormat="1" applyFont="1" applyFill="1" applyBorder="1"/>
    <xf numFmtId="44" fontId="22" fillId="3" borderId="2" xfId="1" applyFont="1" applyFill="1" applyBorder="1" applyAlignment="1">
      <alignment horizontal="centerContinuous"/>
    </xf>
    <xf numFmtId="44" fontId="22" fillId="3" borderId="3" xfId="1" applyFont="1" applyFill="1" applyBorder="1" applyAlignment="1">
      <alignment horizontal="centerContinuous"/>
    </xf>
    <xf numFmtId="44" fontId="22" fillId="3" borderId="4" xfId="1" applyFont="1" applyFill="1" applyBorder="1" applyAlignment="1">
      <alignment horizontal="centerContinuous"/>
    </xf>
    <xf numFmtId="0" fontId="9" fillId="10" borderId="0" xfId="0" applyFont="1" applyFill="1" applyAlignment="1">
      <alignment horizontal="centerContinuous" vertical="center"/>
    </xf>
    <xf numFmtId="0" fontId="9" fillId="7" borderId="1" xfId="0" applyFont="1" applyFill="1" applyBorder="1" applyAlignment="1">
      <alignment horizontal="centerContinuous"/>
    </xf>
    <xf numFmtId="0" fontId="5" fillId="7" borderId="1" xfId="0" applyFont="1" applyFill="1" applyBorder="1" applyAlignment="1">
      <alignment horizontal="centerContinuous"/>
    </xf>
    <xf numFmtId="0" fontId="9" fillId="7" borderId="0" xfId="0" applyFont="1" applyFill="1" applyAlignment="1">
      <alignment horizontal="centerContinuous"/>
    </xf>
    <xf numFmtId="10" fontId="23" fillId="0" borderId="0" xfId="2" applyNumberFormat="1" applyFont="1"/>
    <xf numFmtId="0" fontId="23" fillId="0" borderId="0" xfId="0" applyFont="1"/>
    <xf numFmtId="0" fontId="6" fillId="0" borderId="0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/>
    </xf>
    <xf numFmtId="44" fontId="23" fillId="0" borderId="0" xfId="0" applyNumberFormat="1" applyFont="1"/>
    <xf numFmtId="44" fontId="25" fillId="0" borderId="0" xfId="0" applyNumberFormat="1" applyFont="1"/>
    <xf numFmtId="44" fontId="2" fillId="0" borderId="0" xfId="0" applyNumberFormat="1" applyFont="1" applyBorder="1"/>
    <xf numFmtId="0" fontId="23" fillId="6" borderId="0" xfId="0" applyFont="1" applyFill="1"/>
    <xf numFmtId="164" fontId="23" fillId="6" borderId="0" xfId="0" applyNumberFormat="1" applyFont="1" applyFill="1" applyAlignment="1">
      <alignment horizontal="right"/>
    </xf>
    <xf numFmtId="0" fontId="2" fillId="0" borderId="13" xfId="0" applyFont="1" applyFill="1" applyBorder="1"/>
    <xf numFmtId="0" fontId="6" fillId="0" borderId="0" xfId="0" applyFont="1" applyBorder="1" applyAlignment="1">
      <alignment horizontal="left"/>
    </xf>
    <xf numFmtId="10" fontId="8" fillId="0" borderId="13" xfId="0" applyNumberFormat="1" applyFont="1" applyFill="1" applyBorder="1"/>
    <xf numFmtId="167" fontId="2" fillId="6" borderId="0" xfId="1" applyNumberFormat="1" applyFont="1" applyFill="1" applyAlignment="1">
      <alignment horizontal="right"/>
    </xf>
    <xf numFmtId="167" fontId="2" fillId="6" borderId="0" xfId="1" applyNumberFormat="1" applyFont="1" applyFill="1" applyBorder="1" applyAlignment="1">
      <alignment horizontal="right"/>
    </xf>
    <xf numFmtId="10" fontId="25" fillId="8" borderId="0" xfId="2" applyNumberFormat="1" applyFont="1" applyFill="1"/>
    <xf numFmtId="0" fontId="2" fillId="0" borderId="0" xfId="0" applyFont="1" applyFill="1"/>
    <xf numFmtId="0" fontId="27" fillId="0" borderId="0" xfId="0" applyFont="1" applyFill="1"/>
    <xf numFmtId="0" fontId="25" fillId="0" borderId="0" xfId="0" applyFont="1" applyFill="1" applyAlignment="1">
      <alignment horizontal="right"/>
    </xf>
    <xf numFmtId="164" fontId="6" fillId="2" borderId="0" xfId="0" applyNumberFormat="1" applyFont="1" applyFill="1"/>
    <xf numFmtId="0" fontId="5" fillId="13" borderId="0" xfId="0" applyFont="1" applyFill="1" applyAlignment="1">
      <alignment horizontal="center"/>
    </xf>
    <xf numFmtId="0" fontId="2" fillId="0" borderId="21" xfId="0" applyFont="1" applyFill="1" applyBorder="1"/>
    <xf numFmtId="0" fontId="12" fillId="0" borderId="21" xfId="0" applyFont="1" applyFill="1" applyBorder="1"/>
    <xf numFmtId="44" fontId="25" fillId="4" borderId="10" xfId="0" applyNumberFormat="1" applyFont="1" applyFill="1" applyBorder="1"/>
    <xf numFmtId="0" fontId="2" fillId="2" borderId="0" xfId="0" applyFont="1" applyFill="1" applyAlignment="1">
      <alignment horizontal="right"/>
    </xf>
    <xf numFmtId="10" fontId="6" fillId="2" borderId="0" xfId="2" applyNumberFormat="1" applyFont="1" applyFill="1"/>
    <xf numFmtId="44" fontId="2" fillId="2" borderId="0" xfId="0" applyNumberFormat="1" applyFont="1" applyFill="1"/>
    <xf numFmtId="0" fontId="30" fillId="2" borderId="0" xfId="0" applyFont="1" applyFill="1"/>
    <xf numFmtId="0" fontId="31" fillId="2" borderId="0" xfId="0" applyFont="1" applyFill="1"/>
    <xf numFmtId="0" fontId="32" fillId="2" borderId="0" xfId="0" applyFont="1" applyFill="1"/>
    <xf numFmtId="0" fontId="5" fillId="9" borderId="0" xfId="0" applyFont="1" applyFill="1" applyAlignment="1">
      <alignment horizontal="center"/>
    </xf>
    <xf numFmtId="44" fontId="34" fillId="2" borderId="0" xfId="1" applyFont="1" applyFill="1"/>
    <xf numFmtId="0" fontId="2" fillId="2" borderId="0" xfId="0" applyFont="1" applyFill="1" applyAlignment="1">
      <alignment horizontal="left"/>
    </xf>
    <xf numFmtId="0" fontId="35" fillId="2" borderId="0" xfId="0" applyFont="1" applyFill="1"/>
    <xf numFmtId="8" fontId="2" fillId="0" borderId="0" xfId="0" applyNumberFormat="1" applyFont="1"/>
    <xf numFmtId="0" fontId="6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8" fontId="21" fillId="4" borderId="0" xfId="0" applyNumberFormat="1" applyFont="1" applyFill="1"/>
    <xf numFmtId="44" fontId="14" fillId="10" borderId="0" xfId="1" applyFont="1" applyFill="1" applyAlignment="1">
      <alignment horizontal="centerContinuous"/>
    </xf>
    <xf numFmtId="44" fontId="0" fillId="0" borderId="0" xfId="1" applyFont="1"/>
    <xf numFmtId="44" fontId="21" fillId="4" borderId="0" xfId="1" applyFont="1" applyFill="1"/>
    <xf numFmtId="0" fontId="38" fillId="7" borderId="0" xfId="0" applyFont="1" applyFill="1"/>
    <xf numFmtId="0" fontId="5" fillId="7" borderId="0" xfId="0" applyFont="1" applyFill="1"/>
    <xf numFmtId="0" fontId="39" fillId="2" borderId="0" xfId="0" applyFont="1" applyFill="1"/>
    <xf numFmtId="0" fontId="40" fillId="10" borderId="0" xfId="0" applyFont="1" applyFill="1" applyBorder="1" applyAlignment="1">
      <alignment horizontal="centerContinuous"/>
    </xf>
    <xf numFmtId="168" fontId="18" fillId="0" borderId="0" xfId="0" applyNumberFormat="1" applyFont="1"/>
    <xf numFmtId="44" fontId="6" fillId="0" borderId="0" xfId="0" applyNumberFormat="1" applyFont="1" applyFill="1"/>
    <xf numFmtId="167" fontId="2" fillId="0" borderId="0" xfId="0" applyNumberFormat="1" applyFont="1"/>
    <xf numFmtId="0" fontId="4" fillId="0" borderId="0" xfId="0" applyFont="1" applyFill="1"/>
    <xf numFmtId="44" fontId="33" fillId="4" borderId="0" xfId="0" applyNumberFormat="1" applyFont="1" applyFill="1" applyAlignment="1">
      <alignment horizontal="center"/>
    </xf>
    <xf numFmtId="10" fontId="33" fillId="4" borderId="0" xfId="2" applyNumberFormat="1" applyFont="1" applyFill="1" applyAlignment="1">
      <alignment horizontal="center"/>
    </xf>
    <xf numFmtId="10" fontId="2" fillId="4" borderId="0" xfId="2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0" fontId="23" fillId="4" borderId="0" xfId="2" applyNumberFormat="1" applyFont="1" applyFill="1"/>
    <xf numFmtId="167" fontId="2" fillId="2" borderId="0" xfId="1" applyNumberFormat="1" applyFont="1" applyFill="1" applyAlignment="1">
      <alignment horizontal="right"/>
    </xf>
    <xf numFmtId="44" fontId="17" fillId="4" borderId="10" xfId="0" applyNumberFormat="1" applyFont="1" applyFill="1" applyBorder="1"/>
    <xf numFmtId="44" fontId="17" fillId="4" borderId="0" xfId="0" applyNumberFormat="1" applyFont="1" applyFill="1"/>
    <xf numFmtId="164" fontId="17" fillId="4" borderId="13" xfId="0" applyNumberFormat="1" applyFont="1" applyFill="1" applyBorder="1"/>
    <xf numFmtId="164" fontId="17" fillId="4" borderId="0" xfId="2" applyNumberFormat="1" applyFont="1" applyFill="1"/>
    <xf numFmtId="167" fontId="23" fillId="4" borderId="0" xfId="0" applyNumberFormat="1" applyFont="1" applyFill="1"/>
    <xf numFmtId="167" fontId="2" fillId="4" borderId="0" xfId="0" applyNumberFormat="1" applyFont="1" applyFill="1"/>
    <xf numFmtId="167" fontId="2" fillId="4" borderId="13" xfId="0" applyNumberFormat="1" applyFont="1" applyFill="1" applyBorder="1"/>
    <xf numFmtId="0" fontId="2" fillId="4" borderId="0" xfId="0" applyFont="1" applyFill="1"/>
    <xf numFmtId="44" fontId="6" fillId="4" borderId="0" xfId="1" applyFont="1" applyFill="1" applyAlignment="1">
      <alignment horizontal="center"/>
    </xf>
    <xf numFmtId="8" fontId="23" fillId="4" borderId="0" xfId="0" applyNumberFormat="1" applyFont="1" applyFill="1" applyAlignment="1">
      <alignment horizontal="center"/>
    </xf>
    <xf numFmtId="8" fontId="23" fillId="4" borderId="1" xfId="0" applyNumberFormat="1" applyFont="1" applyFill="1" applyBorder="1" applyAlignment="1">
      <alignment horizontal="center"/>
    </xf>
    <xf numFmtId="8" fontId="23" fillId="4" borderId="0" xfId="0" applyNumberFormat="1" applyFont="1" applyFill="1" applyBorder="1" applyAlignment="1">
      <alignment horizontal="center"/>
    </xf>
    <xf numFmtId="44" fontId="36" fillId="4" borderId="0" xfId="1" applyFont="1" applyFill="1"/>
    <xf numFmtId="44" fontId="37" fillId="4" borderId="1" xfId="1" applyFont="1" applyFill="1" applyBorder="1"/>
    <xf numFmtId="44" fontId="33" fillId="4" borderId="0" xfId="1" applyFont="1" applyFill="1"/>
    <xf numFmtId="0" fontId="0" fillId="4" borderId="0" xfId="0" applyFill="1"/>
    <xf numFmtId="8" fontId="2" fillId="2" borderId="0" xfId="0" applyNumberFormat="1" applyFont="1" applyFill="1"/>
    <xf numFmtId="0" fontId="17" fillId="2" borderId="0" xfId="0" applyFont="1" applyFill="1" applyAlignment="1">
      <alignment horizontal="right"/>
    </xf>
    <xf numFmtId="6" fontId="41" fillId="2" borderId="0" xfId="0" applyNumberFormat="1" applyFont="1" applyFill="1"/>
    <xf numFmtId="0" fontId="41" fillId="2" borderId="0" xfId="0" applyFont="1" applyFill="1"/>
    <xf numFmtId="0" fontId="42" fillId="0" borderId="0" xfId="0" applyFont="1" applyFill="1"/>
    <xf numFmtId="44" fontId="43" fillId="0" borderId="0" xfId="1" applyFont="1"/>
    <xf numFmtId="44" fontId="25" fillId="4" borderId="22" xfId="0" applyNumberFormat="1" applyFont="1" applyFill="1" applyBorder="1"/>
    <xf numFmtId="8" fontId="25" fillId="4" borderId="22" xfId="0" applyNumberFormat="1" applyFont="1" applyFill="1" applyBorder="1"/>
    <xf numFmtId="44" fontId="2" fillId="4" borderId="22" xfId="0" applyNumberFormat="1" applyFont="1" applyFill="1" applyBorder="1"/>
    <xf numFmtId="8" fontId="2" fillId="4" borderId="22" xfId="0" applyNumberFormat="1" applyFont="1" applyFill="1" applyBorder="1"/>
    <xf numFmtId="8" fontId="2" fillId="12" borderId="0" xfId="1" applyNumberFormat="1" applyFont="1" applyFill="1"/>
    <xf numFmtId="0" fontId="17" fillId="4" borderId="0" xfId="0" applyFont="1" applyFill="1"/>
    <xf numFmtId="8" fontId="2" fillId="0" borderId="0" xfId="1" applyNumberFormat="1" applyFont="1"/>
    <xf numFmtId="7" fontId="2" fillId="0" borderId="0" xfId="0" applyNumberFormat="1" applyFont="1"/>
    <xf numFmtId="8" fontId="8" fillId="4" borderId="0" xfId="0" applyNumberFormat="1" applyFont="1" applyFill="1"/>
    <xf numFmtId="164" fontId="2" fillId="8" borderId="0" xfId="2" applyNumberFormat="1" applyFont="1" applyFill="1"/>
    <xf numFmtId="164" fontId="2" fillId="6" borderId="0" xfId="2" applyNumberFormat="1" applyFont="1" applyFill="1"/>
    <xf numFmtId="0" fontId="14" fillId="3" borderId="2" xfId="0" applyFont="1" applyFill="1" applyBorder="1" applyAlignment="1">
      <alignment horizontal="center"/>
    </xf>
    <xf numFmtId="0" fontId="14" fillId="3" borderId="3" xfId="0" applyFont="1" applyFill="1" applyBorder="1" applyAlignment="1">
      <alignment horizontal="center"/>
    </xf>
    <xf numFmtId="0" fontId="14" fillId="3" borderId="4" xfId="0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0" fontId="14" fillId="3" borderId="6" xfId="0" applyFont="1" applyFill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002060"/>
      <color rgb="FF333F4F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 for a Given Sales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 Inv (PV, FV, IRR, MIRR)'!$J$31:$J$39</c:f>
              <c:numCache>
                <c:formatCode>_("$"* #,##0_);_("$"* \(#,##0\);_("$"* "-"??_);_(@_)</c:formatCode>
                <c:ptCount val="9"/>
                <c:pt idx="0">
                  <c:v>200000</c:v>
                </c:pt>
                <c:pt idx="1">
                  <c:v>225000</c:v>
                </c:pt>
                <c:pt idx="2">
                  <c:v>250000</c:v>
                </c:pt>
                <c:pt idx="3">
                  <c:v>275000</c:v>
                </c:pt>
                <c:pt idx="4">
                  <c:v>300000</c:v>
                </c:pt>
                <c:pt idx="5">
                  <c:v>325000</c:v>
                </c:pt>
                <c:pt idx="6">
                  <c:v>350000</c:v>
                </c:pt>
                <c:pt idx="7">
                  <c:v>375000</c:v>
                </c:pt>
                <c:pt idx="8">
                  <c:v>400000</c:v>
                </c:pt>
              </c:numCache>
            </c:numRef>
          </c:xVal>
          <c:yVal>
            <c:numRef>
              <c:f>'RE Inv (PV, FV, IRR, MIRR)'!$K$31:$K$39</c:f>
              <c:numCache>
                <c:formatCode>0.00%</c:formatCode>
                <c:ptCount val="9"/>
                <c:pt idx="0">
                  <c:v>6.029820754345816E-2</c:v>
                </c:pt>
                <c:pt idx="1">
                  <c:v>6.8318320267352961E-2</c:v>
                </c:pt>
                <c:pt idx="2">
                  <c:v>7.5758617894925884E-2</c:v>
                </c:pt>
                <c:pt idx="3">
                  <c:v>8.2702917073745885E-2</c:v>
                </c:pt>
                <c:pt idx="4">
                  <c:v>8.9217661943053361E-2</c:v>
                </c:pt>
                <c:pt idx="5">
                  <c:v>9.5356472389201752E-2</c:v>
                </c:pt>
                <c:pt idx="6">
                  <c:v>0.10116328440585454</c:v>
                </c:pt>
                <c:pt idx="7">
                  <c:v>0.10667457760911425</c:v>
                </c:pt>
                <c:pt idx="8">
                  <c:v>0.1119209924016078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09-4832-8596-893ECA30E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748192"/>
        <c:axId val="724750816"/>
      </c:scatterChart>
      <c:valAx>
        <c:axId val="724748192"/>
        <c:scaling>
          <c:orientation val="minMax"/>
          <c:max val="400000"/>
          <c:min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50816"/>
        <c:crosses val="autoZero"/>
        <c:crossBetween val="midCat"/>
      </c:valAx>
      <c:valAx>
        <c:axId val="724750816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IRR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4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MIRR for a given reinvestment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 Inv (PV, FV, IRR, MIRR)'!$J$43:$J$55</c:f>
              <c:numCache>
                <c:formatCode>0.00%</c:formatCode>
                <c:ptCount val="13"/>
                <c:pt idx="0">
                  <c:v>0.01</c:v>
                </c:pt>
                <c:pt idx="1">
                  <c:v>1.4999999999999999E-2</c:v>
                </c:pt>
                <c:pt idx="2">
                  <c:v>0.02</c:v>
                </c:pt>
                <c:pt idx="3">
                  <c:v>2.5000000000000001E-2</c:v>
                </c:pt>
                <c:pt idx="4">
                  <c:v>0.03</c:v>
                </c:pt>
                <c:pt idx="5">
                  <c:v>3.5000000000000003E-2</c:v>
                </c:pt>
                <c:pt idx="6">
                  <c:v>0.04</c:v>
                </c:pt>
                <c:pt idx="7">
                  <c:v>4.4999999999999998E-2</c:v>
                </c:pt>
                <c:pt idx="8">
                  <c:v>0.05</c:v>
                </c:pt>
                <c:pt idx="9">
                  <c:v>5.5E-2</c:v>
                </c:pt>
                <c:pt idx="10">
                  <c:v>0.06</c:v>
                </c:pt>
                <c:pt idx="11">
                  <c:v>6.5000000000000002E-2</c:v>
                </c:pt>
                <c:pt idx="12">
                  <c:v>7.0000000000000007E-2</c:v>
                </c:pt>
              </c:numCache>
            </c:numRef>
          </c:xVal>
          <c:yVal>
            <c:numRef>
              <c:f>'RE Inv (PV, FV, IRR, MIRR)'!$K$43:$K$55</c:f>
              <c:numCache>
                <c:formatCode>0.00%</c:formatCode>
                <c:ptCount val="13"/>
                <c:pt idx="0">
                  <c:v>6.1316403623807192E-2</c:v>
                </c:pt>
                <c:pt idx="1">
                  <c:v>6.2487556384378751E-2</c:v>
                </c:pt>
                <c:pt idx="2">
                  <c:v>6.3686129934856339E-2</c:v>
                </c:pt>
                <c:pt idx="3">
                  <c:v>6.4912639017024043E-2</c:v>
                </c:pt>
                <c:pt idx="4">
                  <c:v>6.6167598566456709E-2</c:v>
                </c:pt>
                <c:pt idx="5">
                  <c:v>6.7451523181127016E-2</c:v>
                </c:pt>
                <c:pt idx="6">
                  <c:v>6.8764926574468754E-2</c:v>
                </c:pt>
                <c:pt idx="7">
                  <c:v>7.0108321014067165E-2</c:v>
                </c:pt>
                <c:pt idx="8">
                  <c:v>7.1482216747239757E-2</c:v>
                </c:pt>
                <c:pt idx="9">
                  <c:v>7.2887121414904055E-2</c:v>
                </c:pt>
                <c:pt idx="10">
                  <c:v>7.432353945523551E-2</c:v>
                </c:pt>
                <c:pt idx="11">
                  <c:v>7.5791971498720523E-2</c:v>
                </c:pt>
                <c:pt idx="12">
                  <c:v>7.7292913756336956E-2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05-49A2-9E3D-661085335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870464"/>
        <c:axId val="657866856"/>
      </c:scatterChart>
      <c:valAx>
        <c:axId val="657870464"/>
        <c:scaling>
          <c:orientation val="minMax"/>
          <c:min val="5.000000000000001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Reinvestment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66856"/>
        <c:crosses val="autoZero"/>
        <c:crossBetween val="midCat"/>
      </c:valAx>
      <c:valAx>
        <c:axId val="657866856"/>
        <c:scaling>
          <c:orientation val="minMax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MIRR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7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978478</xdr:colOff>
      <xdr:row>5</xdr:row>
      <xdr:rowOff>152588</xdr:rowOff>
    </xdr:from>
    <xdr:ext cx="4385829" cy="4341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FA94718-0D40-4668-AA95-507446E14453}"/>
                </a:ext>
              </a:extLst>
            </xdr:cNvPr>
            <xdr:cNvSpPr txBox="1"/>
          </xdr:nvSpPr>
          <xdr:spPr>
            <a:xfrm>
              <a:off x="17848056" y="1629154"/>
              <a:ext cx="4385829" cy="434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000" b="0">
                  <a:solidFill>
                    <a:srgbClr val="00B050"/>
                  </a:solidFill>
                </a:rPr>
                <a:t>Equivalent</a:t>
              </a:r>
              <a:r>
                <a:rPr lang="en-US" sz="2000" b="0" baseline="0">
                  <a:solidFill>
                    <a:srgbClr val="00B050"/>
                  </a:solidFill>
                </a:rPr>
                <a:t> Rate</a:t>
              </a:r>
              <a14:m>
                <m:oMath xmlns:m="http://schemas.openxmlformats.org/officeDocument/2006/math">
                  <m:r>
                    <a:rPr lang="en-US" sz="2000" b="0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en-US" sz="2000" b="0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𝑛</m:t>
                  </m:r>
                  <m:r>
                    <a:rPr lang="en-US" sz="2000" b="0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 ∗[</m:t>
                  </m:r>
                  <m:sSup>
                    <m:sSupPr>
                      <m:ctrlPr>
                        <a:rPr lang="en-US" sz="2000" b="0" i="1">
                          <a:solidFill>
                            <a:srgbClr val="00B050"/>
                          </a:solidFill>
                          <a:latin typeface="Cambria Math" panose="02040503050406030204" pitchFamily="18" charset="0"/>
                        </a:rPr>
                      </m:ctrlPr>
                    </m:sSupPr>
                    <m:e>
                      <m:d>
                        <m:dPr>
                          <m:ctrlPr>
                            <a:rPr lang="en-US" sz="2000" b="0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n-US" sz="2000" b="0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1+</m:t>
                          </m:r>
                          <m:r>
                            <a:rPr lang="en-US" sz="2000" b="0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𝑟</m:t>
                          </m:r>
                        </m:e>
                      </m:d>
                    </m:e>
                    <m:sup>
                      <m:f>
                        <m:fPr>
                          <m:ctrlPr>
                            <a:rPr lang="en-US" sz="2000" b="0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US" sz="2000" b="0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1</m:t>
                          </m:r>
                        </m:num>
                        <m:den>
                          <m:r>
                            <a:rPr lang="en-US" sz="2000" b="0" i="1">
                              <a:solidFill>
                                <a:srgbClr val="00B050"/>
                              </a:solidFill>
                              <a:latin typeface="Cambria Math" panose="02040503050406030204" pitchFamily="18" charset="0"/>
                            </a:rPr>
                            <m:t>𝑛</m:t>
                          </m:r>
                        </m:den>
                      </m:f>
                    </m:sup>
                  </m:sSup>
                  <m:r>
                    <a:rPr lang="en-US" sz="2000" b="0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−1</m:t>
                  </m:r>
                </m:oMath>
              </a14:m>
              <a:r>
                <a:rPr lang="en-US" sz="2000">
                  <a:solidFill>
                    <a:srgbClr val="00B050"/>
                  </a:solidFill>
                </a:rPr>
                <a:t>]</a:t>
              </a: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FA94718-0D40-4668-AA95-507446E14453}"/>
                </a:ext>
              </a:extLst>
            </xdr:cNvPr>
            <xdr:cNvSpPr txBox="1"/>
          </xdr:nvSpPr>
          <xdr:spPr>
            <a:xfrm>
              <a:off x="17848056" y="1629154"/>
              <a:ext cx="4385829" cy="4341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000" b="0">
                  <a:solidFill>
                    <a:srgbClr val="00B050"/>
                  </a:solidFill>
                </a:rPr>
                <a:t>Equivalent</a:t>
              </a:r>
              <a:r>
                <a:rPr lang="en-US" sz="2000" b="0" baseline="0">
                  <a:solidFill>
                    <a:srgbClr val="00B050"/>
                  </a:solidFill>
                </a:rPr>
                <a:t> Rate</a:t>
              </a:r>
              <a:r>
                <a:rPr lang="en-US" sz="2000" b="0" i="0">
                  <a:solidFill>
                    <a:srgbClr val="00B050"/>
                  </a:solidFill>
                  <a:latin typeface="Cambria Math" panose="02040503050406030204" pitchFamily="18" charset="0"/>
                </a:rPr>
                <a:t>=𝑛 ∗[(1+𝑟)^(1/𝑛)−1</a:t>
              </a:r>
              <a:r>
                <a:rPr lang="en-US" sz="2000">
                  <a:solidFill>
                    <a:srgbClr val="00B050"/>
                  </a:solidFill>
                </a:rPr>
                <a:t>]</a:t>
              </a:r>
            </a:p>
          </xdr:txBody>
        </xdr:sp>
      </mc:Fallback>
    </mc:AlternateContent>
    <xdr:clientData/>
  </xdr:oneCellAnchor>
  <xdr:oneCellAnchor>
    <xdr:from>
      <xdr:col>3</xdr:col>
      <xdr:colOff>103156</xdr:colOff>
      <xdr:row>0</xdr:row>
      <xdr:rowOff>232251</xdr:rowOff>
    </xdr:from>
    <xdr:ext cx="2319225" cy="5629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1362098-9BB3-4BB6-8C24-5B651DF19ACC}"/>
                </a:ext>
              </a:extLst>
            </xdr:cNvPr>
            <xdr:cNvSpPr txBox="1"/>
          </xdr:nvSpPr>
          <xdr:spPr>
            <a:xfrm>
              <a:off x="9229838" y="232251"/>
              <a:ext cx="2319225" cy="5629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𝐸𝐴𝑅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2000" b="0" i="1">
                                <a:solidFill>
                                  <a:srgbClr val="00B05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2000" b="0" i="1">
                                <a:solidFill>
                                  <a:srgbClr val="00B050"/>
                                </a:solidFill>
                                <a:latin typeface="Cambria Math" panose="02040503050406030204" pitchFamily="18" charset="0"/>
                              </a:rPr>
                              <m:t>1+</m:t>
                            </m:r>
                            <m:f>
                              <m:fPr>
                                <m:ctrlPr>
                                  <a:rPr lang="en-US" sz="2000" b="0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2000" b="0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  <m:t>𝑟</m:t>
                                </m:r>
                              </m:num>
                              <m:den>
                                <m:r>
                                  <a:rPr lang="en-US" sz="2000" b="0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</m:e>
                        </m:d>
                      </m:e>
                      <m:sup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𝑛</m:t>
                        </m:r>
                      </m:sup>
                    </m:sSup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−1</m:t>
                    </m:r>
                  </m:oMath>
                </m:oMathPara>
              </a14:m>
              <a:endParaRPr lang="en-US" sz="2000">
                <a:solidFill>
                  <a:srgbClr val="00B050"/>
                </a:solidFill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1362098-9BB3-4BB6-8C24-5B651DF19ACC}"/>
                </a:ext>
              </a:extLst>
            </xdr:cNvPr>
            <xdr:cNvSpPr txBox="1"/>
          </xdr:nvSpPr>
          <xdr:spPr>
            <a:xfrm>
              <a:off x="9229838" y="232251"/>
              <a:ext cx="2319225" cy="5629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2000" b="0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𝐸𝐴𝑅=(1+𝑟/𝑛)^𝑛−1</a:t>
              </a:r>
              <a:endParaRPr lang="en-US" sz="2000">
                <a:solidFill>
                  <a:srgbClr val="00B050"/>
                </a:solidFill>
              </a:endParaRPr>
            </a:p>
          </xdr:txBody>
        </xdr:sp>
      </mc:Fallback>
    </mc:AlternateContent>
    <xdr:clientData/>
  </xdr:oneCellAnchor>
  <xdr:oneCellAnchor>
    <xdr:from>
      <xdr:col>7</xdr:col>
      <xdr:colOff>2345861</xdr:colOff>
      <xdr:row>17</xdr:row>
      <xdr:rowOff>59069</xdr:rowOff>
    </xdr:from>
    <xdr:ext cx="6864764" cy="5974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15439B1F-2BB9-4D44-BBD8-C3379A62E3B4}"/>
                </a:ext>
              </a:extLst>
            </xdr:cNvPr>
            <xdr:cNvSpPr txBox="1"/>
          </xdr:nvSpPr>
          <xdr:spPr>
            <a:xfrm>
              <a:off x="20096997" y="14831478"/>
              <a:ext cx="6864764" cy="5974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𝑪𝒐𝒏𝒕𝒊𝒏𝒖𝒐𝒖𝒔𝒍𝒚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𝑪𝒐𝒎𝒑𝒐𝒖𝒏𝒅𝒆𝒅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𝑬𝒒𝒖𝒊𝒗𝒂𝒍𝒆𝒏𝒕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𝑹𝒂𝒕𝒆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d>
                      <m:dPr>
                        <m:ctrlP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𝒓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.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𝒄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.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𝒄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.</m:t>
                        </m:r>
                      </m:e>
                    </m:d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a:rPr lang="en-US" sz="1600" b="1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𝐧</m:t>
                        </m:r>
                        <m:r>
                          <a:rPr lang="en-US" sz="1600" b="1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r>
                          <a:rPr lang="en-US" sz="1600" b="1" i="0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𝐥𝐧</m:t>
                        </m:r>
                      </m:fName>
                      <m:e>
                        <m:d>
                          <m:dPr>
                            <m:ctrlPr>
                              <a:rPr lang="en-US" sz="1600" b="1" i="1">
                                <a:solidFill>
                                  <a:srgbClr val="00B05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600" b="1" i="1">
                                <a:solidFill>
                                  <a:srgbClr val="00B050"/>
                                </a:solidFill>
                                <a:latin typeface="Cambria Math" panose="02040503050406030204" pitchFamily="18" charset="0"/>
                              </a:rPr>
                              <m:t>𝟏</m:t>
                            </m:r>
                            <m:r>
                              <a:rPr lang="en-US" sz="1600" b="1" i="1">
                                <a:solidFill>
                                  <a:srgbClr val="00B050"/>
                                </a:solidFill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sz="1600" b="1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600" b="1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  <m:t>𝒓</m:t>
                                </m:r>
                              </m:num>
                              <m:den>
                                <m:r>
                                  <a:rPr lang="en-US" sz="1600" b="1" i="1">
                                    <a:solidFill>
                                      <a:srgbClr val="00B050"/>
                                    </a:solidFill>
                                    <a:latin typeface="Cambria Math" panose="02040503050406030204" pitchFamily="18" charset="0"/>
                                  </a:rPr>
                                  <m:t>𝒏</m:t>
                                </m:r>
                              </m:den>
                            </m:f>
                          </m:e>
                        </m:d>
                      </m:e>
                    </m:func>
                  </m:oMath>
                </m:oMathPara>
              </a14:m>
              <a:endParaRPr lang="en-US" sz="1100" b="1"/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15439B1F-2BB9-4D44-BBD8-C3379A62E3B4}"/>
                </a:ext>
              </a:extLst>
            </xdr:cNvPr>
            <xdr:cNvSpPr txBox="1"/>
          </xdr:nvSpPr>
          <xdr:spPr>
            <a:xfrm>
              <a:off x="20096997" y="14831478"/>
              <a:ext cx="6864764" cy="5974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6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𝑪𝒐𝒏𝒕𝒊𝒏𝒖𝒐𝒖𝒔𝒍𝒚 𝑪𝒐𝒎𝒑𝒐𝒖𝒏𝒅𝒆𝒅 𝑬𝒒𝒖𝒊𝒗𝒂𝒍𝒆𝒏𝒕 𝑹𝒂𝒕𝒆 (𝒓.𝒄.𝒄.)=〖𝐧∗𝐥𝐧〗⁡(𝟏+𝒓/𝒏)</a:t>
              </a:r>
              <a:endParaRPr lang="en-US" sz="1100" b="1"/>
            </a:p>
            <a:p>
              <a:endParaRPr lang="en-US" sz="1100"/>
            </a:p>
          </xdr:txBody>
        </xdr:sp>
      </mc:Fallback>
    </mc:AlternateContent>
    <xdr:clientData/>
  </xdr:oneCellAnchor>
  <xdr:oneCellAnchor>
    <xdr:from>
      <xdr:col>11</xdr:col>
      <xdr:colOff>1116270</xdr:colOff>
      <xdr:row>17</xdr:row>
      <xdr:rowOff>172503</xdr:rowOff>
    </xdr:from>
    <xdr:ext cx="4698402" cy="30374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9C8E9EB-FE39-4A14-A49C-7387D0C0644E}"/>
                </a:ext>
              </a:extLst>
            </xdr:cNvPr>
            <xdr:cNvSpPr txBox="1"/>
          </xdr:nvSpPr>
          <xdr:spPr>
            <a:xfrm>
              <a:off x="26061187" y="4860920"/>
              <a:ext cx="4698402" cy="3037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𝑭𝒖𝒕𝒖𝒓𝒆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𝑽𝒂𝒍𝒖𝒆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𝒖𝒔𝒊𝒏𝒈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𝒓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𝒄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𝒄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. =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𝑨𝒎𝒐𝒖𝒏𝒕</m:t>
                    </m:r>
                    <m:r>
                      <a:rPr lang="en-US" sz="1600" b="1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∗</m:t>
                    </m:r>
                    <m:sSup>
                      <m:sSupPr>
                        <m:ctrlP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𝒆</m:t>
                        </m:r>
                      </m:e>
                      <m:sup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𝒓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.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𝒄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.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𝒄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.∗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𝑻</m:t>
                        </m:r>
                        <m:r>
                          <a:rPr lang="en-US" sz="1600" b="1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</m:sup>
                    </m:sSup>
                  </m:oMath>
                </m:oMathPara>
              </a14:m>
              <a:endParaRPr lang="en-US" sz="1100" b="1"/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9C8E9EB-FE39-4A14-A49C-7387D0C0644E}"/>
                </a:ext>
              </a:extLst>
            </xdr:cNvPr>
            <xdr:cNvSpPr txBox="1"/>
          </xdr:nvSpPr>
          <xdr:spPr>
            <a:xfrm>
              <a:off x="26061187" y="4860920"/>
              <a:ext cx="4698402" cy="30374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600" b="1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𝑭𝒖𝒕𝒖𝒓𝒆 𝑽𝒂𝒍𝒖𝒆 𝒖𝒔𝒊𝒏𝒈 𝒓.𝒄.𝒄. =𝑨𝒎𝒐𝒖𝒏𝒕∗𝒆^(𝒓.𝒄.𝒄.∗𝑻 )</a:t>
              </a:r>
              <a:endParaRPr lang="en-US" sz="1100" b="1"/>
            </a:p>
            <a:p>
              <a:endParaRPr lang="en-US" sz="1100"/>
            </a:p>
          </xdr:txBody>
        </xdr:sp>
      </mc:Fallback>
    </mc:AlternateContent>
    <xdr:clientData/>
  </xdr:oneCellAnchor>
  <xdr:oneCellAnchor>
    <xdr:from>
      <xdr:col>12</xdr:col>
      <xdr:colOff>218209</xdr:colOff>
      <xdr:row>6</xdr:row>
      <xdr:rowOff>45027</xdr:rowOff>
    </xdr:from>
    <xdr:ext cx="4319155" cy="5373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11D664CC-7622-4491-ACF6-394AEAC43B9E}"/>
                </a:ext>
              </a:extLst>
            </xdr:cNvPr>
            <xdr:cNvSpPr txBox="1"/>
          </xdr:nvSpPr>
          <xdr:spPr>
            <a:xfrm>
              <a:off x="33313254" y="11890663"/>
              <a:ext cx="4319155" cy="5373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n-US" sz="2400" b="0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𝐹𝑉</m:t>
                  </m:r>
                  <m:r>
                    <a:rPr lang="en-US" sz="2400" b="0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=</m:t>
                  </m:r>
                  <m:r>
                    <a:rPr lang="en-US" sz="2400" b="0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𝐴</m:t>
                  </m:r>
                  <m:r>
                    <a:rPr lang="en-US" sz="2400" b="0" i="1">
                      <a:solidFill>
                        <a:srgbClr val="00B050"/>
                      </a:solidFill>
                      <a:latin typeface="Cambria Math" panose="02040503050406030204" pitchFamily="18" charset="0"/>
                    </a:rPr>
                    <m:t>∗(1+</m:t>
                  </m:r>
                  <m:f>
                    <m:fPr>
                      <m:ctrlPr>
                        <a:rPr lang="en-US" sz="2400" b="0" i="1">
                          <a:solidFill>
                            <a:srgbClr val="00B050"/>
                          </a:solidFill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2400" b="0" i="1">
                          <a:solidFill>
                            <a:srgbClr val="00B050"/>
                          </a:solidFill>
                          <a:latin typeface="Cambria Math" panose="02040503050406030204" pitchFamily="18" charset="0"/>
                        </a:rPr>
                        <m:t>𝑒𝑞𝑢𝑖𝑣𝑎𝑙𝑒𝑛𝑡</m:t>
                      </m:r>
                      <m:r>
                        <a:rPr lang="en-US" sz="2400" b="0" i="1">
                          <a:solidFill>
                            <a:srgbClr val="00B050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n-US" sz="2400" b="0" i="1">
                          <a:solidFill>
                            <a:srgbClr val="00B050"/>
                          </a:solidFill>
                          <a:latin typeface="Cambria Math" panose="02040503050406030204" pitchFamily="18" charset="0"/>
                        </a:rPr>
                        <m:t>𝑟𝑎𝑡𝑒</m:t>
                      </m:r>
                    </m:num>
                    <m:den>
                      <m:r>
                        <a:rPr lang="en-US" sz="2400" b="0" i="1">
                          <a:solidFill>
                            <a:srgbClr val="00B050"/>
                          </a:solidFill>
                          <a:latin typeface="Cambria Math" panose="02040503050406030204" pitchFamily="18" charset="0"/>
                        </a:rPr>
                        <m:t>𝑛</m:t>
                      </m:r>
                    </m:den>
                  </m:f>
                </m:oMath>
              </a14:m>
              <a:r>
                <a:rPr lang="en-US" sz="2400">
                  <a:solidFill>
                    <a:srgbClr val="00B050"/>
                  </a:solidFill>
                </a:rPr>
                <a:t>)</a:t>
              </a:r>
              <a:r>
                <a:rPr lang="en-US" sz="2400" strike="noStrike" baseline="30000">
                  <a:solidFill>
                    <a:srgbClr val="00B050"/>
                  </a:solidFill>
                </a:rPr>
                <a:t>(n*T)</a:t>
              </a: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11D664CC-7622-4491-ACF6-394AEAC43B9E}"/>
                </a:ext>
              </a:extLst>
            </xdr:cNvPr>
            <xdr:cNvSpPr txBox="1"/>
          </xdr:nvSpPr>
          <xdr:spPr>
            <a:xfrm>
              <a:off x="33313254" y="11890663"/>
              <a:ext cx="4319155" cy="5373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 b="0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𝐹𝑉=𝐴∗(1+(𝑒𝑞𝑢𝑖𝑣𝑎𝑙𝑒𝑛𝑡 𝑟𝑎𝑡𝑒)/𝑛</a:t>
              </a:r>
              <a:r>
                <a:rPr lang="en-US" sz="2400">
                  <a:solidFill>
                    <a:srgbClr val="00B050"/>
                  </a:solidFill>
                </a:rPr>
                <a:t>)</a:t>
              </a:r>
              <a:r>
                <a:rPr lang="en-US" sz="2400" strike="noStrike" baseline="30000">
                  <a:solidFill>
                    <a:srgbClr val="00B050"/>
                  </a:solidFill>
                </a:rPr>
                <a:t>(n*T)</a:t>
              </a:r>
            </a:p>
          </xdr:txBody>
        </xdr:sp>
      </mc:Fallback>
    </mc:AlternateContent>
    <xdr:clientData/>
  </xdr:oneCellAnchor>
  <xdr:oneCellAnchor>
    <xdr:from>
      <xdr:col>0</xdr:col>
      <xdr:colOff>0</xdr:colOff>
      <xdr:row>27</xdr:row>
      <xdr:rowOff>79663</xdr:rowOff>
    </xdr:from>
    <xdr:ext cx="5618019" cy="375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6FF2304A-DC1F-4A22-B374-BBBD0FF1D8CA}"/>
                </a:ext>
              </a:extLst>
            </xdr:cNvPr>
            <xdr:cNvSpPr txBox="1"/>
          </xdr:nvSpPr>
          <xdr:spPr>
            <a:xfrm>
              <a:off x="0" y="10730345"/>
              <a:ext cx="5618019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24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𝐹𝑉</m:t>
                    </m:r>
                    <m:r>
                      <a:rPr lang="en-US" sz="24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24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𝐴</m:t>
                    </m:r>
                    <m:r>
                      <a:rPr lang="en-US" sz="24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∗</m:t>
                    </m:r>
                    <m:d>
                      <m:dPr>
                        <m:ctrlPr>
                          <a:rPr lang="en-US" sz="24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24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1+</m:t>
                        </m:r>
                        <m:r>
                          <a:rPr lang="en-US" sz="24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𝑒𝑓𝑓𝑒𝑐𝑡𝑖𝑣𝑒</m:t>
                        </m:r>
                        <m:r>
                          <a:rPr lang="en-US" sz="24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4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𝑟𝑎𝑡𝑒</m:t>
                        </m:r>
                      </m:e>
                    </m:d>
                    <m:r>
                      <a:rPr lang="en-US" sz="2400" b="0" i="1" baseline="30000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𝑇</m:t>
                    </m:r>
                  </m:oMath>
                </m:oMathPara>
              </a14:m>
              <a:endParaRPr lang="en-US" sz="1100" baseline="30000">
                <a:solidFill>
                  <a:srgbClr val="00B050"/>
                </a:solidFill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6FF2304A-DC1F-4A22-B374-BBBD0FF1D8CA}"/>
                </a:ext>
              </a:extLst>
            </xdr:cNvPr>
            <xdr:cNvSpPr txBox="1"/>
          </xdr:nvSpPr>
          <xdr:spPr>
            <a:xfrm>
              <a:off x="0" y="10730345"/>
              <a:ext cx="5618019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 b="0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𝐹𝑉=𝐴 ∗(1+𝑒𝑓𝑓𝑒𝑐𝑡𝑖𝑣𝑒 𝑟𝑎𝑡𝑒)</a:t>
              </a:r>
              <a:r>
                <a:rPr lang="en-US" sz="2400" b="0" i="0" baseline="30000">
                  <a:solidFill>
                    <a:srgbClr val="00B050"/>
                  </a:solidFill>
                  <a:latin typeface="Cambria Math" panose="02040503050406030204" pitchFamily="18" charset="0"/>
                </a:rPr>
                <a:t>𝑇</a:t>
              </a:r>
              <a:endParaRPr lang="en-US" sz="1100" baseline="30000">
                <a:solidFill>
                  <a:srgbClr val="00B050"/>
                </a:solidFill>
              </a:endParaRP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20</xdr:col>
      <xdr:colOff>1230785</xdr:colOff>
      <xdr:row>25</xdr:row>
      <xdr:rowOff>328132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B058DA-47AC-41D8-A286-FEE113C3E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45364" y="0"/>
          <a:ext cx="10565284" cy="704758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21</xdr:col>
      <xdr:colOff>710836</xdr:colOff>
      <xdr:row>102</xdr:row>
      <xdr:rowOff>35319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7552AC-590E-4B81-8B1A-505BB357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72909" y="12036136"/>
          <a:ext cx="23813040" cy="158814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25</xdr:row>
      <xdr:rowOff>79852</xdr:rowOff>
    </xdr:from>
    <xdr:ext cx="6057364" cy="43211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B6A2539-9353-4290-AA08-FDB57F0C661E}"/>
                </a:ext>
              </a:extLst>
            </xdr:cNvPr>
            <xdr:cNvSpPr txBox="1"/>
          </xdr:nvSpPr>
          <xdr:spPr>
            <a:xfrm>
              <a:off x="0" y="6699727"/>
              <a:ext cx="6057364" cy="4321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𝑃𝑟𝑒𝑠𝑒𝑛𝑡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𝑉𝑎𝑙𝑢𝑒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𝑢𝑠𝑖𝑛𝑔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𝑟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𝑐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.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𝑐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. =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𝐴𝑚𝑜𝑢𝑛𝑡</m:t>
                    </m:r>
                    <m:r>
                      <a:rPr lang="en-US" sz="2000" b="0" i="1">
                        <a:solidFill>
                          <a:srgbClr val="00B050"/>
                        </a:solidFill>
                        <a:latin typeface="Cambria Math" panose="02040503050406030204" pitchFamily="18" charset="0"/>
                      </a:rPr>
                      <m:t> ∗</m:t>
                    </m:r>
                    <m:sSup>
                      <m:sSupPr>
                        <m:ctrlP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𝑟</m:t>
                        </m:r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.</m:t>
                        </m:r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𝑐</m:t>
                        </m:r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.</m:t>
                        </m:r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𝑐</m:t>
                        </m:r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.∗</m:t>
                        </m:r>
                        <m:r>
                          <a:rPr lang="en-US" sz="2000" b="0" i="1">
                            <a:solidFill>
                              <a:srgbClr val="00B050"/>
                            </a:solidFill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</m:sSup>
                  </m:oMath>
                </m:oMathPara>
              </a14:m>
              <a:endParaRPr lang="en-US" sz="2000" b="0">
                <a:solidFill>
                  <a:srgbClr val="00B050"/>
                </a:solidFill>
              </a:endParaRPr>
            </a:p>
            <a:p>
              <a:endParaRPr lang="en-US" sz="20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7B6A2539-9353-4290-AA08-FDB57F0C661E}"/>
                </a:ext>
              </a:extLst>
            </xdr:cNvPr>
            <xdr:cNvSpPr txBox="1"/>
          </xdr:nvSpPr>
          <xdr:spPr>
            <a:xfrm>
              <a:off x="0" y="6699727"/>
              <a:ext cx="6057364" cy="4321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2000" b="0" i="0">
                  <a:solidFill>
                    <a:srgbClr val="00B050"/>
                  </a:solidFill>
                  <a:latin typeface="Cambria Math" panose="02040503050406030204" pitchFamily="18" charset="0"/>
                </a:rPr>
                <a:t>𝑃𝑟𝑒𝑠𝑒𝑛𝑡 𝑉𝑎𝑙𝑢𝑒 𝑢𝑠𝑖𝑛𝑔 𝑟.𝑐.𝑐. =𝐴𝑚𝑜𝑢𝑛𝑡 ∗𝑒^(−𝑟.𝑐.𝑐.∗𝑇)</a:t>
              </a:r>
              <a:endParaRPr lang="en-US" sz="2000" b="0">
                <a:solidFill>
                  <a:srgbClr val="00B050"/>
                </a:solidFill>
              </a:endParaRPr>
            </a:p>
            <a:p>
              <a:endParaRPr lang="en-US" sz="20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559592</xdr:colOff>
      <xdr:row>29</xdr:row>
      <xdr:rowOff>80963</xdr:rowOff>
    </xdr:from>
    <xdr:to>
      <xdr:col>16</xdr:col>
      <xdr:colOff>1166811</xdr:colOff>
      <xdr:row>39</xdr:row>
      <xdr:rowOff>204788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237F3-D15B-4281-B7AB-FDCB6CA76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541734</xdr:colOff>
      <xdr:row>41</xdr:row>
      <xdr:rowOff>104775</xdr:rowOff>
    </xdr:from>
    <xdr:to>
      <xdr:col>16</xdr:col>
      <xdr:colOff>1154906</xdr:colOff>
      <xdr:row>54</xdr:row>
      <xdr:rowOff>214312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205B02-CA17-4585-A6F7-5B510846F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Corcoran" id="{0F898915-79FD-4B57-A605-4871D8DE4CFD}" userId="549bec91a8651c45" providerId="Windows Live"/>
  <person displayName="Spicer, Cara" id="{70A67EF2-E40E-4151-B3F8-245A694F9E2C}" userId="S::caspicer@vt.edu::9080a5d6-ab2a-4b85-bbc8-19f73224800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7" dT="2021-01-03T15:51:07.93" personId="{70A67EF2-E40E-4151-B3F8-245A694F9E2C}" id="{216430E2-05A7-4C08-82D8-80CE6A088BCB}">
    <text>change in formula for c.c.</text>
  </threadedComment>
  <threadedComment ref="I17" dT="2021-08-26T15:50:28.81" personId="{0F898915-79FD-4B57-A605-4871D8DE4CFD}" id="{602CB15A-BE19-43D4-92A0-1DB43C3CD052}">
    <text>Formula Changes to Continuous Compounding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6" dT="2021-08-31T15:53:51.23" personId="{0F898915-79FD-4B57-A605-4871D8DE4CFD}" id="{0BBFB9E3-607C-4A2E-9D8F-9BB429D99A3E}">
    <text>Changing formula due to withdraws instead of deposits after kid goes to college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1FEAE-73B6-4AA3-B199-4290687B709F}">
  <sheetPr>
    <pageSetUpPr fitToPage="1"/>
  </sheetPr>
  <dimension ref="A2:Q59"/>
  <sheetViews>
    <sheetView showGridLines="0" topLeftCell="A32" zoomScale="72" zoomScaleNormal="60" workbookViewId="0">
      <selection activeCell="B7" sqref="B7"/>
    </sheetView>
  </sheetViews>
  <sheetFormatPr defaultColWidth="17.8984375" defaultRowHeight="20" x14ac:dyDescent="0.4"/>
  <cols>
    <col min="1" max="1" width="32.546875" style="57" customWidth="1"/>
    <col min="2" max="6" width="17.8984375" style="57"/>
    <col min="7" max="7" width="10.84765625" style="57" customWidth="1"/>
    <col min="8" max="8" width="7.69921875" style="57" customWidth="1"/>
    <col min="9" max="9" width="12.1484375" style="57" bestFit="1" customWidth="1"/>
    <col min="10" max="10" width="17.8984375" style="57"/>
    <col min="11" max="11" width="25.69921875" style="57" customWidth="1"/>
    <col min="12" max="15" width="17.8984375" style="57"/>
    <col min="16" max="16" width="13.84765625" style="57" bestFit="1" customWidth="1"/>
    <col min="17" max="17" width="21.94921875" style="57" bestFit="1" customWidth="1"/>
    <col min="18" max="16384" width="17.8984375" style="57"/>
  </cols>
  <sheetData>
    <row r="2" spans="1:17" ht="25" x14ac:dyDescent="0.5">
      <c r="A2" s="82" t="s">
        <v>179</v>
      </c>
      <c r="H2" s="82" t="s">
        <v>130</v>
      </c>
    </row>
    <row r="3" spans="1:17" ht="25" x14ac:dyDescent="0.5">
      <c r="H3" s="171" t="s">
        <v>203</v>
      </c>
    </row>
    <row r="4" spans="1:17" ht="26" x14ac:dyDescent="0.6">
      <c r="A4" s="57" t="s">
        <v>180</v>
      </c>
      <c r="B4" s="147">
        <v>0.18</v>
      </c>
      <c r="H4" s="169" t="s">
        <v>217</v>
      </c>
      <c r="I4" s="170"/>
      <c r="J4"/>
      <c r="K4"/>
    </row>
    <row r="5" spans="1:17" x14ac:dyDescent="0.4">
      <c r="B5" s="147"/>
      <c r="K5" s="160" t="s">
        <v>226</v>
      </c>
      <c r="L5" s="59">
        <v>2</v>
      </c>
    </row>
    <row r="6" spans="1:17" x14ac:dyDescent="0.4">
      <c r="B6" s="147"/>
      <c r="K6" s="57" t="s">
        <v>207</v>
      </c>
      <c r="L6" s="153">
        <v>0.18</v>
      </c>
    </row>
    <row r="7" spans="1:17" ht="23" x14ac:dyDescent="0.5">
      <c r="B7" s="147"/>
      <c r="H7" s="161"/>
      <c r="J7" s="157"/>
      <c r="K7" s="57" t="s">
        <v>209</v>
      </c>
      <c r="L7" s="59">
        <v>1</v>
      </c>
    </row>
    <row r="8" spans="1:17" ht="22.5" x14ac:dyDescent="0.45">
      <c r="J8" s="157"/>
      <c r="K8" s="157" t="s">
        <v>227</v>
      </c>
      <c r="L8" s="159">
        <v>100</v>
      </c>
    </row>
    <row r="9" spans="1:17" ht="20.5" thickBot="1" x14ac:dyDescent="0.45">
      <c r="A9" s="61" t="s">
        <v>132</v>
      </c>
      <c r="B9" s="62" t="s">
        <v>141</v>
      </c>
      <c r="C9" s="62" t="s">
        <v>176</v>
      </c>
      <c r="D9" s="62" t="s">
        <v>39</v>
      </c>
      <c r="E9" s="62" t="s">
        <v>175</v>
      </c>
      <c r="F9" s="62" t="s">
        <v>39</v>
      </c>
      <c r="G9" s="81"/>
      <c r="H9" s="158" t="s">
        <v>131</v>
      </c>
      <c r="I9" s="158" t="s">
        <v>206</v>
      </c>
      <c r="J9" s="158"/>
      <c r="K9" s="158" t="s">
        <v>204</v>
      </c>
      <c r="L9" s="158" t="s">
        <v>205</v>
      </c>
      <c r="M9" s="158" t="s">
        <v>101</v>
      </c>
      <c r="N9" s="58"/>
      <c r="P9" s="57" t="s">
        <v>238</v>
      </c>
    </row>
    <row r="10" spans="1:17" ht="21" thickTop="1" x14ac:dyDescent="0.45">
      <c r="A10" s="57" t="s">
        <v>134</v>
      </c>
      <c r="B10" s="60">
        <v>1</v>
      </c>
      <c r="C10" s="63">
        <f>((1+($B$4/B10))^B10)-1</f>
        <v>0.17999999999999994</v>
      </c>
      <c r="D10" s="58" t="str">
        <f ca="1">_xlfn.FORMULATEXT(C10)</f>
        <v>=((1+($B$4/B10))^B10)-1</v>
      </c>
      <c r="E10" s="64">
        <f>EFFECT($B$4, B10)</f>
        <v>0.17999999999999994</v>
      </c>
      <c r="F10" s="58" t="str">
        <f ca="1">_xlfn.FORMULATEXT(E10)</f>
        <v>=EFFECT($B$4, B10)</v>
      </c>
      <c r="G10" s="81" t="b">
        <f>E10=C10</f>
        <v>1</v>
      </c>
      <c r="H10" s="177">
        <f>$L$8</f>
        <v>100</v>
      </c>
      <c r="I10" s="178">
        <f>K10*((1+$L$6)^(1/K10)-1)</f>
        <v>0.17999999999999994</v>
      </c>
      <c r="J10" s="60" t="str">
        <f ca="1">_xlfn.FORMULATEXT(I10)</f>
        <v>=K10*((1+$L$6)^(1/K10)-1)</v>
      </c>
      <c r="K10" s="60">
        <v>1</v>
      </c>
      <c r="L10" s="180">
        <f>$L$5</f>
        <v>2</v>
      </c>
      <c r="M10" s="34">
        <f>H10*(1+I10/K10)^(K10*L10)</f>
        <v>139.23999999999998</v>
      </c>
      <c r="N10" s="19" t="str">
        <f t="shared" ref="N10:N17" ca="1" si="0">_xlfn.FORMULATEXT(M10)</f>
        <v>=H10*(1+I10/K10)^(K10*L10)</v>
      </c>
      <c r="P10" s="199">
        <f>FV(I10/K10, K10*L10,,-H10)</f>
        <v>139.23999999999998</v>
      </c>
      <c r="Q10" s="58" t="str">
        <f t="shared" ref="Q10:Q16" ca="1" si="1">_xlfn.FORMULATEXT(P10)</f>
        <v>=FV(I10/K10, K10*L10,,-H10)</v>
      </c>
    </row>
    <row r="11" spans="1:17" ht="20.5" x14ac:dyDescent="0.45">
      <c r="A11" s="57" t="s">
        <v>135</v>
      </c>
      <c r="B11" s="60">
        <v>2</v>
      </c>
      <c r="C11" s="63">
        <f t="shared" ref="C11:C16" si="2">((1+($B$4/B11))^B11)-1</f>
        <v>0.18810000000000016</v>
      </c>
      <c r="D11" s="58" t="str">
        <f t="shared" ref="D11:D17" ca="1" si="3">_xlfn.FORMULATEXT(C11)</f>
        <v>=((1+($B$4/B11))^B11)-1</v>
      </c>
      <c r="E11" s="64">
        <f t="shared" ref="E11:E16" si="4">EFFECT($B$4, B11)</f>
        <v>0.18810000000000016</v>
      </c>
      <c r="F11" s="58" t="str">
        <f t="shared" ref="F11:F16" ca="1" si="5">_xlfn.FORMULATEXT(E11)</f>
        <v>=EFFECT($B$4, B11)</v>
      </c>
      <c r="G11" s="81" t="b">
        <f t="shared" ref="G11:G16" si="6">E11=C11</f>
        <v>1</v>
      </c>
      <c r="H11" s="177">
        <f>$L$8</f>
        <v>100</v>
      </c>
      <c r="I11" s="178">
        <f>K11*((1+$L$6)^(1/K11)-1)</f>
        <v>0.17255609824004292</v>
      </c>
      <c r="J11" s="60" t="str">
        <f t="shared" ref="J11:J17" ca="1" si="7">_xlfn.FORMULATEXT(I11)</f>
        <v>=K11*((1+$L$6)^(1/K11)-1)</v>
      </c>
      <c r="K11" s="60">
        <v>2</v>
      </c>
      <c r="L11" s="180">
        <f t="shared" ref="L11:L17" si="8">$L$5</f>
        <v>2</v>
      </c>
      <c r="M11" s="34">
        <f t="shared" ref="M11:M16" si="9">H11*(1+I11/K11)^(K11*L11)</f>
        <v>139.23999999999995</v>
      </c>
      <c r="N11" s="19" t="str">
        <f t="shared" ca="1" si="0"/>
        <v>=H11*(1+I11/K11)^(K11*L11)</v>
      </c>
      <c r="P11" s="199">
        <f t="shared" ref="P11:P16" si="10">FV(I11/K11, K11*L11,,-H11)</f>
        <v>139.23999999999995</v>
      </c>
      <c r="Q11" s="58" t="str">
        <f t="shared" ca="1" si="1"/>
        <v>=FV(I11/K11, K11*L11,,-H11)</v>
      </c>
    </row>
    <row r="12" spans="1:17" ht="20.5" x14ac:dyDescent="0.45">
      <c r="A12" s="57" t="s">
        <v>136</v>
      </c>
      <c r="B12" s="60">
        <v>4</v>
      </c>
      <c r="C12" s="63">
        <f t="shared" si="2"/>
        <v>0.19251860062499948</v>
      </c>
      <c r="D12" s="58" t="str">
        <f t="shared" ca="1" si="3"/>
        <v>=((1+($B$4/B12))^B12)-1</v>
      </c>
      <c r="E12" s="64">
        <f t="shared" si="4"/>
        <v>0.19251860062499948</v>
      </c>
      <c r="F12" s="58" t="str">
        <f t="shared" ca="1" si="5"/>
        <v>=EFFECT($B$4, B12)</v>
      </c>
      <c r="G12" s="81" t="b">
        <f t="shared" si="6"/>
        <v>1</v>
      </c>
      <c r="H12" s="177">
        <f t="shared" ref="H12:H17" si="11">$L$8</f>
        <v>100</v>
      </c>
      <c r="I12" s="178">
        <f t="shared" ref="I12:I16" si="12">K12*((1+$L$6)^(1/K12)-1)</f>
        <v>0.1689865418252845</v>
      </c>
      <c r="J12" s="60" t="str">
        <f t="shared" ca="1" si="7"/>
        <v>=K12*((1+$L$6)^(1/K12)-1)</v>
      </c>
      <c r="K12" s="60">
        <v>4</v>
      </c>
      <c r="L12" s="180">
        <f t="shared" si="8"/>
        <v>2</v>
      </c>
      <c r="M12" s="34">
        <f t="shared" si="9"/>
        <v>139.23999999999995</v>
      </c>
      <c r="N12" s="19" t="str">
        <f t="shared" ca="1" si="0"/>
        <v>=H12*(1+I12/K12)^(K12*L12)</v>
      </c>
      <c r="P12" s="199">
        <f t="shared" si="10"/>
        <v>139.23999999999995</v>
      </c>
      <c r="Q12" s="58" t="str">
        <f t="shared" ca="1" si="1"/>
        <v>=FV(I12/K12, K12*L12,,-H12)</v>
      </c>
    </row>
    <row r="13" spans="1:17" ht="20.5" x14ac:dyDescent="0.45">
      <c r="A13" s="57" t="s">
        <v>137</v>
      </c>
      <c r="B13" s="60">
        <v>12</v>
      </c>
      <c r="C13" s="63">
        <f t="shared" si="2"/>
        <v>0.19561817146153326</v>
      </c>
      <c r="D13" s="58" t="str">
        <f t="shared" ca="1" si="3"/>
        <v>=((1+($B$4/B13))^B13)-1</v>
      </c>
      <c r="E13" s="64">
        <f t="shared" si="4"/>
        <v>0.19561817146153326</v>
      </c>
      <c r="F13" s="58" t="str">
        <f t="shared" ca="1" si="5"/>
        <v>=EFFECT($B$4, B13)</v>
      </c>
      <c r="G13" s="81" t="b">
        <f t="shared" si="6"/>
        <v>1</v>
      </c>
      <c r="H13" s="177">
        <f t="shared" si="11"/>
        <v>100</v>
      </c>
      <c r="I13" s="178">
        <f t="shared" si="12"/>
        <v>0.16666116418091903</v>
      </c>
      <c r="J13" s="60" t="str">
        <f t="shared" ca="1" si="7"/>
        <v>=K13*((1+$L$6)^(1/K13)-1)</v>
      </c>
      <c r="K13" s="60">
        <v>12</v>
      </c>
      <c r="L13" s="180">
        <f t="shared" si="8"/>
        <v>2</v>
      </c>
      <c r="M13" s="34">
        <f t="shared" si="9"/>
        <v>139.23999999999955</v>
      </c>
      <c r="N13" s="19" t="str">
        <f t="shared" ca="1" si="0"/>
        <v>=H13*(1+I13/K13)^(K13*L13)</v>
      </c>
      <c r="P13" s="199">
        <f t="shared" si="10"/>
        <v>139.23999999999955</v>
      </c>
      <c r="Q13" s="58" t="str">
        <f t="shared" ca="1" si="1"/>
        <v>=FV(I13/K13, K13*L13,,-H13)</v>
      </c>
    </row>
    <row r="14" spans="1:17" ht="20.5" x14ac:dyDescent="0.45">
      <c r="A14" s="57" t="s">
        <v>138</v>
      </c>
      <c r="B14" s="60">
        <v>24</v>
      </c>
      <c r="C14" s="63">
        <f t="shared" si="2"/>
        <v>0.1964135293926228</v>
      </c>
      <c r="D14" s="58" t="str">
        <f t="shared" ca="1" si="3"/>
        <v>=((1+($B$4/B14))^B14)-1</v>
      </c>
      <c r="E14" s="64">
        <f t="shared" si="4"/>
        <v>0.1964135293926228</v>
      </c>
      <c r="F14" s="58" t="str">
        <f t="shared" ca="1" si="5"/>
        <v>=EFFECT($B$4, B14)</v>
      </c>
      <c r="G14" s="81" t="b">
        <f t="shared" si="6"/>
        <v>1</v>
      </c>
      <c r="H14" s="177">
        <f t="shared" si="11"/>
        <v>100</v>
      </c>
      <c r="I14" s="178">
        <f t="shared" si="12"/>
        <v>0.16608648252100089</v>
      </c>
      <c r="J14" s="60" t="str">
        <f t="shared" ca="1" si="7"/>
        <v>=K14*((1+$L$6)^(1/K14)-1)</v>
      </c>
      <c r="K14" s="60">
        <v>24</v>
      </c>
      <c r="L14" s="180">
        <f t="shared" si="8"/>
        <v>2</v>
      </c>
      <c r="M14" s="34">
        <f t="shared" si="9"/>
        <v>139.24000000000021</v>
      </c>
      <c r="N14" s="19" t="str">
        <f t="shared" ca="1" si="0"/>
        <v>=H14*(1+I14/K14)^(K14*L14)</v>
      </c>
      <c r="P14" s="199">
        <f t="shared" si="10"/>
        <v>139.24000000000021</v>
      </c>
      <c r="Q14" s="58" t="str">
        <f t="shared" ca="1" si="1"/>
        <v>=FV(I14/K14, K14*L14,,-H14)</v>
      </c>
    </row>
    <row r="15" spans="1:17" ht="20.5" x14ac:dyDescent="0.45">
      <c r="A15" s="57" t="s">
        <v>139</v>
      </c>
      <c r="B15" s="60">
        <v>52</v>
      </c>
      <c r="C15" s="63">
        <f t="shared" si="2"/>
        <v>0.19684530018489221</v>
      </c>
      <c r="D15" s="58" t="str">
        <f t="shared" ca="1" si="3"/>
        <v>=((1+($B$4/B15))^B15)-1</v>
      </c>
      <c r="E15" s="64">
        <f t="shared" si="4"/>
        <v>0.19684530018489221</v>
      </c>
      <c r="F15" s="58" t="str">
        <f t="shared" ca="1" si="5"/>
        <v>=EFFECT($B$4, B15)</v>
      </c>
      <c r="G15" s="81" t="b">
        <f t="shared" si="6"/>
        <v>1</v>
      </c>
      <c r="H15" s="177">
        <f t="shared" si="11"/>
        <v>100</v>
      </c>
      <c r="I15" s="178">
        <f t="shared" si="12"/>
        <v>0.16577813192314927</v>
      </c>
      <c r="J15" s="60" t="str">
        <f t="shared" ca="1" si="7"/>
        <v>=K15*((1+$L$6)^(1/K15)-1)</v>
      </c>
      <c r="K15" s="60">
        <v>52</v>
      </c>
      <c r="L15" s="180">
        <f t="shared" si="8"/>
        <v>2</v>
      </c>
      <c r="M15" s="34">
        <f t="shared" si="9"/>
        <v>139.23999999999879</v>
      </c>
      <c r="N15" s="19" t="str">
        <f t="shared" ca="1" si="0"/>
        <v>=H15*(1+I15/K15)^(K15*L15)</v>
      </c>
      <c r="P15" s="199">
        <f t="shared" si="10"/>
        <v>139.23999999999879</v>
      </c>
      <c r="Q15" s="58" t="str">
        <f t="shared" ca="1" si="1"/>
        <v>=FV(I15/K15, K15*L15,,-H15)</v>
      </c>
    </row>
    <row r="16" spans="1:17" ht="20.5" x14ac:dyDescent="0.45">
      <c r="A16" s="57" t="s">
        <v>140</v>
      </c>
      <c r="B16" s="60">
        <v>365</v>
      </c>
      <c r="C16" s="63">
        <f t="shared" si="2"/>
        <v>0.19716424499274088</v>
      </c>
      <c r="D16" s="58" t="str">
        <f t="shared" ca="1" si="3"/>
        <v>=((1+($B$4/B16))^B16)-1</v>
      </c>
      <c r="E16" s="64">
        <f t="shared" si="4"/>
        <v>0.19716424499274088</v>
      </c>
      <c r="F16" s="58" t="str">
        <f t="shared" ca="1" si="5"/>
        <v>=EFFECT($B$4, B16)</v>
      </c>
      <c r="G16" s="81" t="b">
        <f t="shared" si="6"/>
        <v>1</v>
      </c>
      <c r="H16" s="177">
        <f t="shared" si="11"/>
        <v>100</v>
      </c>
      <c r="I16" s="178">
        <f t="shared" si="12"/>
        <v>0.16555197158810264</v>
      </c>
      <c r="J16" s="60" t="str">
        <f t="shared" ca="1" si="7"/>
        <v>=K16*((1+$L$6)^(1/K16)-1)</v>
      </c>
      <c r="K16" s="60">
        <v>365</v>
      </c>
      <c r="L16" s="180">
        <f t="shared" si="8"/>
        <v>2</v>
      </c>
      <c r="M16" s="34">
        <f t="shared" si="9"/>
        <v>139.23999999999674</v>
      </c>
      <c r="N16" s="19" t="str">
        <f t="shared" ca="1" si="0"/>
        <v>=H16*(1+I16/K16)^(K16*L16)</v>
      </c>
      <c r="P16" s="199">
        <f t="shared" si="10"/>
        <v>139.23999999999674</v>
      </c>
      <c r="Q16" s="58" t="str">
        <f t="shared" ca="1" si="1"/>
        <v>=FV(I16/K16, K16*L16,,-H16)</v>
      </c>
    </row>
    <row r="17" spans="1:17" ht="20.5" x14ac:dyDescent="0.45">
      <c r="A17" s="144" t="s">
        <v>181</v>
      </c>
      <c r="C17" s="63">
        <f>EXP(B4)-1</f>
        <v>0.19721736312181015</v>
      </c>
      <c r="D17" s="58" t="str">
        <f t="shared" ca="1" si="3"/>
        <v>=EXP(B4)-1</v>
      </c>
      <c r="E17" s="64"/>
      <c r="H17" s="177">
        <f t="shared" si="11"/>
        <v>100</v>
      </c>
      <c r="I17" s="179">
        <f>L7*LN(1+L6/L7)</f>
        <v>0.16551443847757333</v>
      </c>
      <c r="J17" s="60" t="str">
        <f t="shared" ca="1" si="7"/>
        <v>=L7*LN(1+L6/L7)</v>
      </c>
      <c r="K17" s="57" t="s">
        <v>208</v>
      </c>
      <c r="L17" s="180">
        <f t="shared" si="8"/>
        <v>2</v>
      </c>
      <c r="M17" s="34">
        <f>H17*EXP(I17*L17)</f>
        <v>139.23999999999998</v>
      </c>
      <c r="N17" s="19" t="str">
        <f t="shared" ca="1" si="0"/>
        <v>=H17*EXP(I17*L17)</v>
      </c>
      <c r="Q17" s="199"/>
    </row>
    <row r="18" spans="1:17" x14ac:dyDescent="0.4">
      <c r="D18" s="58"/>
    </row>
    <row r="19" spans="1:17" x14ac:dyDescent="0.4">
      <c r="A19" s="65" t="s">
        <v>129</v>
      </c>
      <c r="B19" s="65"/>
      <c r="F19" s="76"/>
    </row>
    <row r="20" spans="1:17" x14ac:dyDescent="0.4">
      <c r="A20" s="144" t="s">
        <v>177</v>
      </c>
      <c r="C20" s="200" t="s">
        <v>131</v>
      </c>
      <c r="D20" s="201">
        <v>100</v>
      </c>
      <c r="F20" s="76"/>
      <c r="M20" s="199"/>
    </row>
    <row r="21" spans="1:17" x14ac:dyDescent="0.4">
      <c r="A21" s="57" t="s">
        <v>133</v>
      </c>
      <c r="C21" s="200" t="s">
        <v>230</v>
      </c>
      <c r="D21" s="202">
        <v>2</v>
      </c>
      <c r="H21" s="57" t="s">
        <v>237</v>
      </c>
      <c r="M21" s="199"/>
    </row>
    <row r="22" spans="1:17" x14ac:dyDescent="0.4">
      <c r="A22" s="57" t="s">
        <v>128</v>
      </c>
      <c r="C22" s="200" t="s">
        <v>231</v>
      </c>
      <c r="D22" s="199">
        <f>FV(C10,D21,,-D20)</f>
        <v>139.23999999999998</v>
      </c>
      <c r="E22" s="58" t="str">
        <f ca="1">_xlfn.FORMULATEXT(D22)</f>
        <v>=FV(C10,D21,,-D20)</v>
      </c>
      <c r="H22" s="57" t="s">
        <v>239</v>
      </c>
    </row>
    <row r="23" spans="1:17" x14ac:dyDescent="0.4">
      <c r="A23" s="57" t="s">
        <v>178</v>
      </c>
      <c r="C23" s="200" t="s">
        <v>232</v>
      </c>
      <c r="D23" s="199">
        <f>FV(B4/B11, D21*B11,,-D20)</f>
        <v>141.15816100000004</v>
      </c>
      <c r="E23" s="58" t="str">
        <f t="shared" ref="E23:E24" ca="1" si="13">_xlfn.FORMULATEXT(D23)</f>
        <v>=FV(B4/B11, D21*B11,,-D20)</v>
      </c>
      <c r="H23" s="57" t="s">
        <v>240</v>
      </c>
    </row>
    <row r="24" spans="1:17" x14ac:dyDescent="0.4">
      <c r="A24" s="57" t="s">
        <v>198</v>
      </c>
      <c r="C24" s="200" t="s">
        <v>233</v>
      </c>
      <c r="D24" s="199">
        <f>FV(C11, D21,, -D20)</f>
        <v>141.15816100000004</v>
      </c>
      <c r="E24" s="58" t="str">
        <f t="shared" ca="1" si="13"/>
        <v>=FV(C11, D21,, -D20)</v>
      </c>
    </row>
    <row r="25" spans="1:17" x14ac:dyDescent="0.4">
      <c r="A25" s="57" t="s">
        <v>197</v>
      </c>
    </row>
    <row r="26" spans="1:17" x14ac:dyDescent="0.4">
      <c r="A26" s="57" t="s">
        <v>199</v>
      </c>
    </row>
    <row r="27" spans="1:17" ht="24" customHeight="1" x14ac:dyDescent="0.4"/>
    <row r="31" spans="1:17" ht="30" x14ac:dyDescent="0.6">
      <c r="A31" s="155" t="s">
        <v>218</v>
      </c>
      <c r="B31" s="156"/>
      <c r="C31" s="156"/>
    </row>
    <row r="32" spans="1:17" x14ac:dyDescent="0.4">
      <c r="A32" s="152" t="s">
        <v>131</v>
      </c>
      <c r="B32" s="66">
        <v>100</v>
      </c>
      <c r="C32" s="152" t="s">
        <v>201</v>
      </c>
      <c r="D32" s="153">
        <v>0.18</v>
      </c>
    </row>
    <row r="34" spans="1:5" x14ac:dyDescent="0.4">
      <c r="A34" s="57" t="s">
        <v>219</v>
      </c>
    </row>
    <row r="35" spans="1:5" x14ac:dyDescent="0.4">
      <c r="A35" s="152" t="s">
        <v>202</v>
      </c>
      <c r="B35" s="59">
        <v>1</v>
      </c>
    </row>
    <row r="36" spans="1:5" ht="20.5" x14ac:dyDescent="0.45">
      <c r="A36" s="152" t="s">
        <v>222</v>
      </c>
      <c r="B36" s="32">
        <f>FV(D32,B35,,-B32)</f>
        <v>118</v>
      </c>
      <c r="C36" s="19" t="str">
        <f ca="1">_xlfn.FORMULATEXT(B36)</f>
        <v>=FV(D32,B35,,-B32)</v>
      </c>
    </row>
    <row r="37" spans="1:5" ht="20.5" x14ac:dyDescent="0.45">
      <c r="A37" s="152"/>
      <c r="B37" s="154"/>
      <c r="C37" s="19"/>
    </row>
    <row r="38" spans="1:5" x14ac:dyDescent="0.4">
      <c r="A38" s="57" t="s">
        <v>220</v>
      </c>
    </row>
    <row r="39" spans="1:5" x14ac:dyDescent="0.4">
      <c r="A39" s="152" t="s">
        <v>202</v>
      </c>
      <c r="B39" s="59">
        <v>2</v>
      </c>
    </row>
    <row r="40" spans="1:5" ht="20.5" x14ac:dyDescent="0.45">
      <c r="A40" s="152" t="s">
        <v>222</v>
      </c>
      <c r="B40" s="32">
        <f>$B$32*(1+$D$32/B39)^B39</f>
        <v>118.81000000000002</v>
      </c>
      <c r="C40" s="19" t="str">
        <f ca="1">_xlfn.FORMULATEXT(B40)</f>
        <v>=$B$32*(1+$D$32/B39)^B39</v>
      </c>
      <c r="E40" s="57" t="s">
        <v>236</v>
      </c>
    </row>
    <row r="41" spans="1:5" ht="20.5" x14ac:dyDescent="0.45">
      <c r="A41" s="152" t="s">
        <v>224</v>
      </c>
      <c r="B41" s="68">
        <f>EFFECT(D32,B39)</f>
        <v>0.18810000000000016</v>
      </c>
      <c r="C41" s="19" t="str">
        <f t="shared" ref="C41:C43" ca="1" si="14">_xlfn.FORMULATEXT(B41)</f>
        <v>=EFFECT(D32,B39)</v>
      </c>
    </row>
    <row r="42" spans="1:5" ht="20.5" x14ac:dyDescent="0.45">
      <c r="A42" s="152" t="s">
        <v>223</v>
      </c>
      <c r="B42" s="32">
        <f>$B$32*(1+B41)</f>
        <v>118.81000000000002</v>
      </c>
      <c r="C42" s="19" t="str">
        <f t="shared" ca="1" si="14"/>
        <v>=$B$32*(1+B41)</v>
      </c>
      <c r="E42" s="57" t="s">
        <v>235</v>
      </c>
    </row>
    <row r="43" spans="1:5" ht="20.5" x14ac:dyDescent="0.45">
      <c r="A43" s="152" t="s">
        <v>234</v>
      </c>
      <c r="B43" s="32">
        <f>FV(B41,$B$35,,-$B$32)</f>
        <v>118.81000000000002</v>
      </c>
      <c r="C43" s="19" t="str">
        <f t="shared" ca="1" si="14"/>
        <v>=FV(B41,$B$35,,-$B$32)</v>
      </c>
    </row>
    <row r="44" spans="1:5" x14ac:dyDescent="0.4">
      <c r="A44" s="57" t="s">
        <v>221</v>
      </c>
    </row>
    <row r="45" spans="1:5" x14ac:dyDescent="0.4">
      <c r="A45" s="152" t="str">
        <f>A39</f>
        <v># of periods = n</v>
      </c>
      <c r="B45" s="59">
        <v>3</v>
      </c>
    </row>
    <row r="46" spans="1:5" ht="20.5" x14ac:dyDescent="0.45">
      <c r="A46" s="152" t="s">
        <v>222</v>
      </c>
      <c r="B46" s="32">
        <f>$B$32*(1+$D$32/B45)^B45</f>
        <v>119.10160000000003</v>
      </c>
      <c r="C46" s="19" t="str">
        <f ca="1">_xlfn.FORMULATEXT(B46)</f>
        <v>=$B$32*(1+$D$32/B45)^B45</v>
      </c>
    </row>
    <row r="47" spans="1:5" ht="20.5" x14ac:dyDescent="0.45">
      <c r="A47" s="152" t="str">
        <f t="shared" ref="A47" si="15">A41</f>
        <v>EAR</v>
      </c>
      <c r="B47" s="68">
        <f>EFFECT(D32,B45)</f>
        <v>0.1910160000000003</v>
      </c>
      <c r="C47" s="19" t="str">
        <f t="shared" ref="C47:C49" ca="1" si="16">_xlfn.FORMULATEXT(B47)</f>
        <v>=EFFECT(D32,B45)</v>
      </c>
    </row>
    <row r="48" spans="1:5" ht="20.5" x14ac:dyDescent="0.45">
      <c r="A48" s="152" t="s">
        <v>223</v>
      </c>
      <c r="B48" s="32">
        <f>$B$32*(1+B47)</f>
        <v>119.10160000000003</v>
      </c>
      <c r="C48" s="19" t="str">
        <f t="shared" ca="1" si="16"/>
        <v>=$B$32*(1+B47)</v>
      </c>
    </row>
    <row r="49" spans="1:3" ht="20.5" x14ac:dyDescent="0.45">
      <c r="A49" s="152" t="s">
        <v>234</v>
      </c>
      <c r="B49" s="32">
        <f>FV(B47,$B$35,,-$B$32)</f>
        <v>119.10160000000003</v>
      </c>
      <c r="C49" s="19" t="str">
        <f t="shared" ca="1" si="16"/>
        <v>=FV(B47,$B$35,,-$B$32)</v>
      </c>
    </row>
    <row r="50" spans="1:3" x14ac:dyDescent="0.4">
      <c r="A50" s="57" t="s">
        <v>225</v>
      </c>
    </row>
    <row r="51" spans="1:3" x14ac:dyDescent="0.4">
      <c r="A51" s="152" t="str">
        <f>A39</f>
        <v># of periods = n</v>
      </c>
      <c r="B51" s="59">
        <v>4</v>
      </c>
    </row>
    <row r="52" spans="1:3" ht="20.5" x14ac:dyDescent="0.45">
      <c r="A52" s="152" t="s">
        <v>222</v>
      </c>
      <c r="B52" s="32">
        <f>$B$32*(1+$D$32/B51)^B51</f>
        <v>119.25186006249994</v>
      </c>
      <c r="C52" s="19" t="str">
        <f ca="1">_xlfn.FORMULATEXT(B52)</f>
        <v>=$B$32*(1+$D$32/B51)^B51</v>
      </c>
    </row>
    <row r="53" spans="1:3" ht="20.5" x14ac:dyDescent="0.45">
      <c r="A53" s="152" t="str">
        <f>A41</f>
        <v>EAR</v>
      </c>
      <c r="B53" s="68">
        <f>EFFECT(D32,B51)</f>
        <v>0.19251860062499948</v>
      </c>
      <c r="C53" s="19" t="str">
        <f t="shared" ref="C53:C55" ca="1" si="17">_xlfn.FORMULATEXT(B53)</f>
        <v>=EFFECT(D32,B51)</v>
      </c>
    </row>
    <row r="54" spans="1:3" ht="20.5" x14ac:dyDescent="0.45">
      <c r="A54" s="152" t="s">
        <v>223</v>
      </c>
      <c r="B54" s="32">
        <f>$B$32*(1+B53)</f>
        <v>119.25186006249994</v>
      </c>
      <c r="C54" s="19" t="str">
        <f t="shared" ca="1" si="17"/>
        <v>=$B$32*(1+B53)</v>
      </c>
    </row>
    <row r="55" spans="1:3" ht="20.5" x14ac:dyDescent="0.45">
      <c r="A55" s="152" t="s">
        <v>234</v>
      </c>
      <c r="B55" s="32">
        <f>FV(B53,$B$35,,-$B$32)</f>
        <v>119.25186006249994</v>
      </c>
      <c r="C55" s="19" t="str">
        <f t="shared" ca="1" si="17"/>
        <v>=FV(B53,$B$35,,-$B$32)</v>
      </c>
    </row>
    <row r="56" spans="1:3" ht="24.5" x14ac:dyDescent="0.85">
      <c r="A56" s="172" t="s">
        <v>100</v>
      </c>
      <c r="B56" s="86"/>
      <c r="C56" s="86"/>
    </row>
    <row r="57" spans="1:3" x14ac:dyDescent="0.4">
      <c r="A57" s="87" t="s">
        <v>156</v>
      </c>
      <c r="B57" s="23" t="s">
        <v>159</v>
      </c>
      <c r="C57" s="23"/>
    </row>
    <row r="58" spans="1:3" x14ac:dyDescent="0.4">
      <c r="A58" s="75" t="s">
        <v>157</v>
      </c>
      <c r="B58" s="1" t="s">
        <v>160</v>
      </c>
    </row>
    <row r="59" spans="1:3" x14ac:dyDescent="0.4">
      <c r="A59" s="75" t="s">
        <v>158</v>
      </c>
      <c r="B59" s="1" t="s">
        <v>161</v>
      </c>
    </row>
  </sheetData>
  <pageMargins left="0.7" right="0.7" top="0.75" bottom="0.75" header="0.3" footer="0.3"/>
  <pageSetup scale="28" orientation="landscape" horizontalDpi="4294967295" verticalDpi="4294967295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59925-CD79-42AD-82A4-C2E9CA1C677C}">
  <sheetPr>
    <pageSetUpPr fitToPage="1"/>
  </sheetPr>
  <dimension ref="A1:AC48"/>
  <sheetViews>
    <sheetView showGridLines="0" topLeftCell="A8" zoomScale="77" zoomScaleNormal="55" workbookViewId="0">
      <selection activeCell="B22" sqref="B22"/>
    </sheetView>
  </sheetViews>
  <sheetFormatPr defaultColWidth="9.1484375" defaultRowHeight="20" x14ac:dyDescent="0.4"/>
  <cols>
    <col min="1" max="1" width="29.796875" style="1" customWidth="1"/>
    <col min="2" max="2" width="10.19921875" style="1" bestFit="1" customWidth="1"/>
    <col min="3" max="3" width="16.84765625" style="1" customWidth="1"/>
    <col min="4" max="4" width="14.19921875" style="1" bestFit="1" customWidth="1"/>
    <col min="5" max="5" width="10.1484375" style="1" customWidth="1"/>
    <col min="6" max="6" width="37.546875" style="1" customWidth="1"/>
    <col min="7" max="7" width="13.69921875" style="1" customWidth="1"/>
    <col min="8" max="8" width="38.3984375" style="1" customWidth="1"/>
    <col min="9" max="9" width="9" style="1" customWidth="1"/>
    <col min="10" max="13" width="12.296875" style="1" customWidth="1"/>
    <col min="14" max="14" width="12.84765625" style="1" customWidth="1"/>
    <col min="15" max="15" width="18.5" style="1" customWidth="1"/>
    <col min="16" max="17" width="9.1484375" style="1"/>
    <col min="18" max="18" width="13.3984375" style="1" customWidth="1"/>
    <col min="19" max="19" width="12.296875" style="1" customWidth="1"/>
    <col min="20" max="20" width="26.046875" style="1" bestFit="1" customWidth="1"/>
    <col min="21" max="21" width="13.546875" style="1" customWidth="1"/>
    <col min="22" max="22" width="26.296875" style="1" bestFit="1" customWidth="1"/>
    <col min="23" max="23" width="9.1484375" style="1"/>
    <col min="24" max="24" width="11.5" style="1" customWidth="1"/>
    <col min="25" max="25" width="9" style="1" bestFit="1" customWidth="1"/>
    <col min="26" max="26" width="7.69921875" style="1" bestFit="1" customWidth="1"/>
    <col min="27" max="27" width="9.296875" style="1" bestFit="1" customWidth="1"/>
    <col min="28" max="28" width="10.3984375" style="1" bestFit="1" customWidth="1"/>
    <col min="29" max="29" width="18.296875" style="1" bestFit="1" customWidth="1"/>
    <col min="30" max="16384" width="9.1484375" style="1"/>
  </cols>
  <sheetData>
    <row r="1" spans="1:14" ht="25" x14ac:dyDescent="0.5">
      <c r="A1" s="71" t="s">
        <v>150</v>
      </c>
    </row>
    <row r="2" spans="1:14" ht="20.5" thickBot="1" x14ac:dyDescent="0.45"/>
    <row r="3" spans="1:14" ht="20.5" thickBot="1" x14ac:dyDescent="0.45">
      <c r="A3" s="80" t="s">
        <v>64</v>
      </c>
      <c r="D3" s="148" t="s">
        <v>242</v>
      </c>
      <c r="E3" s="148" t="str">
        <f>$A$4</f>
        <v>1.  Algebraic</v>
      </c>
      <c r="F3" s="9" t="s">
        <v>39</v>
      </c>
      <c r="G3" s="148" t="str">
        <f>$A$5</f>
        <v>2. FV Function</v>
      </c>
      <c r="H3" s="9" t="s">
        <v>39</v>
      </c>
      <c r="J3" s="216" t="s">
        <v>90</v>
      </c>
      <c r="K3" s="217"/>
      <c r="L3" s="217"/>
      <c r="M3" s="217"/>
      <c r="N3" s="218"/>
    </row>
    <row r="4" spans="1:14" ht="21" thickTop="1" x14ac:dyDescent="0.45">
      <c r="A4" s="1" t="s">
        <v>57</v>
      </c>
      <c r="D4" s="11">
        <v>0</v>
      </c>
      <c r="E4" s="30">
        <f>$B$9*(1+$B$10/$B$12)^($B$12*D4)</f>
        <v>100</v>
      </c>
      <c r="F4" s="31" t="str">
        <f t="shared" ref="F4:F14" ca="1" si="0">_xlfn.FORMULATEXT(E4)</f>
        <v>=$B$9*(1+$B$10/$B$12)^($B$12*D4)</v>
      </c>
      <c r="G4" s="32">
        <f>FV($B$18/$B$19,D4*$B$19,,-$B$17)</f>
        <v>100</v>
      </c>
      <c r="H4" s="31" t="str">
        <f t="shared" ref="H4:H14" ca="1" si="1">_xlfn.FORMULATEXT(G4)</f>
        <v>=FV($B$18/$B$19,D4*$B$19,,-$B$17)</v>
      </c>
      <c r="I4" s="84" t="b">
        <f>G4=E4</f>
        <v>1</v>
      </c>
      <c r="J4" s="219" t="s">
        <v>91</v>
      </c>
      <c r="K4" s="220"/>
      <c r="L4" s="220"/>
      <c r="M4" s="220"/>
      <c r="N4" s="221"/>
    </row>
    <row r="5" spans="1:14" ht="20.5" x14ac:dyDescent="0.45">
      <c r="A5" s="1" t="s">
        <v>62</v>
      </c>
      <c r="D5" s="11">
        <v>1</v>
      </c>
      <c r="E5" s="30">
        <f t="shared" ref="E5:E13" si="2">$B$9*(1+$B$10/$B$12)^($B$12*D5)</f>
        <v>106.08999999999999</v>
      </c>
      <c r="F5" s="31" t="str">
        <f t="shared" ca="1" si="0"/>
        <v>=$B$9*(1+$B$10/$B$12)^($B$12*D5)</v>
      </c>
      <c r="G5" s="32">
        <f t="shared" ref="G5:G13" si="3">FV($B$18/$B$19,D5*$B$19,,-$B$17)</f>
        <v>106.08999999999999</v>
      </c>
      <c r="H5" s="31" t="str">
        <f t="shared" ca="1" si="1"/>
        <v>=FV($B$18/$B$19,D5*$B$19,,-$B$17)</v>
      </c>
      <c r="I5" s="84" t="b">
        <f t="shared" ref="I5:I14" si="4">G5=E5</f>
        <v>1</v>
      </c>
      <c r="J5" s="37" t="s">
        <v>92</v>
      </c>
      <c r="K5" s="38"/>
      <c r="L5" s="38"/>
      <c r="M5" s="38"/>
      <c r="N5" s="39"/>
    </row>
    <row r="6" spans="1:14" ht="20.5" x14ac:dyDescent="0.45">
      <c r="A6" s="1" t="s">
        <v>63</v>
      </c>
      <c r="D6" s="11">
        <v>2</v>
      </c>
      <c r="E6" s="30">
        <f t="shared" si="2"/>
        <v>112.55088099999999</v>
      </c>
      <c r="F6" s="31" t="str">
        <f t="shared" ca="1" si="0"/>
        <v>=$B$9*(1+$B$10/$B$12)^($B$12*D6)</v>
      </c>
      <c r="G6" s="32">
        <f t="shared" si="3"/>
        <v>112.55088099999999</v>
      </c>
      <c r="H6" s="31" t="str">
        <f t="shared" ca="1" si="1"/>
        <v>=FV($B$18/$B$19,D6*$B$19,,-$B$17)</v>
      </c>
      <c r="I6" s="84" t="b">
        <f t="shared" si="4"/>
        <v>1</v>
      </c>
      <c r="J6" s="37" t="s">
        <v>93</v>
      </c>
      <c r="K6" s="38"/>
      <c r="L6" s="38"/>
      <c r="M6" s="38"/>
      <c r="N6" s="39"/>
    </row>
    <row r="7" spans="1:14" ht="20.5" x14ac:dyDescent="0.45">
      <c r="D7" s="11">
        <v>3</v>
      </c>
      <c r="E7" s="30">
        <f t="shared" si="2"/>
        <v>119.40522965289999</v>
      </c>
      <c r="F7" s="31" t="str">
        <f t="shared" ca="1" si="0"/>
        <v>=$B$9*(1+$B$10/$B$12)^($B$12*D7)</v>
      </c>
      <c r="G7" s="32">
        <f t="shared" si="3"/>
        <v>119.40522965289999</v>
      </c>
      <c r="H7" s="31" t="str">
        <f t="shared" ca="1" si="1"/>
        <v>=FV($B$18/$B$19,D7*$B$19,,-$B$17)</v>
      </c>
      <c r="I7" s="84" t="b">
        <f t="shared" si="4"/>
        <v>1</v>
      </c>
      <c r="J7" s="40" t="s">
        <v>98</v>
      </c>
      <c r="K7" s="38"/>
      <c r="L7" s="38"/>
      <c r="M7" s="38"/>
      <c r="N7" s="39"/>
    </row>
    <row r="8" spans="1:14" ht="20.5" x14ac:dyDescent="0.45">
      <c r="A8" s="89" t="s">
        <v>70</v>
      </c>
      <c r="B8" s="88"/>
      <c r="D8" s="11">
        <v>4</v>
      </c>
      <c r="E8" s="30">
        <f t="shared" si="2"/>
        <v>126.67700813876159</v>
      </c>
      <c r="F8" s="31" t="str">
        <f t="shared" ca="1" si="0"/>
        <v>=$B$9*(1+$B$10/$B$12)^($B$12*D8)</v>
      </c>
      <c r="G8" s="32">
        <f t="shared" si="3"/>
        <v>126.67700813876159</v>
      </c>
      <c r="H8" s="31" t="str">
        <f t="shared" ca="1" si="1"/>
        <v>=FV($B$18/$B$19,D8*$B$19,,-$B$17)</v>
      </c>
      <c r="I8" s="84" t="b">
        <f t="shared" si="4"/>
        <v>1</v>
      </c>
      <c r="J8" s="40" t="s">
        <v>99</v>
      </c>
      <c r="K8" s="38"/>
      <c r="L8" s="38"/>
      <c r="M8" s="38"/>
      <c r="N8" s="39"/>
    </row>
    <row r="9" spans="1:14" ht="20.5" x14ac:dyDescent="0.45">
      <c r="A9" s="1" t="s">
        <v>200</v>
      </c>
      <c r="B9" s="27">
        <v>100</v>
      </c>
      <c r="D9" s="11">
        <v>5</v>
      </c>
      <c r="E9" s="30">
        <f t="shared" si="2"/>
        <v>134.39163793441219</v>
      </c>
      <c r="F9" s="31" t="str">
        <f t="shared" ca="1" si="0"/>
        <v>=$B$9*(1+$B$10/$B$12)^($B$12*D9)</v>
      </c>
      <c r="G9" s="32">
        <f t="shared" si="3"/>
        <v>134.39163793441219</v>
      </c>
      <c r="H9" s="31" t="str">
        <f t="shared" ca="1" si="1"/>
        <v>=FV($B$18/$B$19,D9*$B$19,,-$B$17)</v>
      </c>
      <c r="I9" s="84" t="b">
        <f t="shared" si="4"/>
        <v>1</v>
      </c>
      <c r="J9" s="37" t="s">
        <v>94</v>
      </c>
      <c r="K9" s="38"/>
      <c r="L9" s="38"/>
      <c r="M9" s="38"/>
      <c r="N9" s="39"/>
    </row>
    <row r="10" spans="1:14" ht="20.5" x14ac:dyDescent="0.45">
      <c r="A10" s="1" t="s">
        <v>59</v>
      </c>
      <c r="B10" s="28">
        <v>0.06</v>
      </c>
      <c r="D10" s="11">
        <v>6</v>
      </c>
      <c r="E10" s="30">
        <f t="shared" si="2"/>
        <v>142.57608868461787</v>
      </c>
      <c r="F10" s="31" t="str">
        <f t="shared" ca="1" si="0"/>
        <v>=$B$9*(1+$B$10/$B$12)^($B$12*D10)</v>
      </c>
      <c r="G10" s="32">
        <f t="shared" si="3"/>
        <v>142.57608868461787</v>
      </c>
      <c r="H10" s="31" t="str">
        <f t="shared" ca="1" si="1"/>
        <v>=FV($B$18/$B$19,D10*$B$19,,-$B$17)</v>
      </c>
      <c r="I10" s="84" t="b">
        <f t="shared" si="4"/>
        <v>1</v>
      </c>
      <c r="J10" s="37" t="s">
        <v>95</v>
      </c>
      <c r="K10" s="38"/>
      <c r="L10" s="38"/>
      <c r="M10" s="38"/>
      <c r="N10" s="39"/>
    </row>
    <row r="11" spans="1:14" ht="20.5" x14ac:dyDescent="0.45">
      <c r="A11" s="1" t="s">
        <v>146</v>
      </c>
      <c r="B11" s="10">
        <v>10</v>
      </c>
      <c r="D11" s="11">
        <v>7</v>
      </c>
      <c r="E11" s="30">
        <f t="shared" si="2"/>
        <v>151.25897248551109</v>
      </c>
      <c r="F11" s="31" t="str">
        <f t="shared" ca="1" si="0"/>
        <v>=$B$9*(1+$B$10/$B$12)^($B$12*D11)</v>
      </c>
      <c r="G11" s="32">
        <f t="shared" si="3"/>
        <v>151.25897248551109</v>
      </c>
      <c r="H11" s="31" t="str">
        <f t="shared" ca="1" si="1"/>
        <v>=FV($B$18/$B$19,D11*$B$19,,-$B$17)</v>
      </c>
      <c r="I11" s="84" t="b">
        <f t="shared" si="4"/>
        <v>1</v>
      </c>
      <c r="J11" s="37" t="s">
        <v>97</v>
      </c>
      <c r="K11" s="38"/>
      <c r="L11" s="38"/>
      <c r="M11" s="38"/>
      <c r="N11" s="39"/>
    </row>
    <row r="12" spans="1:14" ht="21" thickBot="1" x14ac:dyDescent="0.5">
      <c r="A12" s="1" t="s">
        <v>147</v>
      </c>
      <c r="B12" s="10">
        <v>2</v>
      </c>
      <c r="D12" s="11">
        <v>8</v>
      </c>
      <c r="E12" s="30">
        <f t="shared" si="2"/>
        <v>160.4706439098787</v>
      </c>
      <c r="F12" s="31" t="str">
        <f t="shared" ca="1" si="0"/>
        <v>=$B$9*(1+$B$10/$B$12)^($B$12*D12)</v>
      </c>
      <c r="G12" s="32">
        <f t="shared" si="3"/>
        <v>160.4706439098787</v>
      </c>
      <c r="H12" s="31" t="str">
        <f t="shared" ca="1" si="1"/>
        <v>=FV($B$18/$B$19,D12*$B$19,,-$B$17)</v>
      </c>
      <c r="I12" s="84" t="b">
        <f t="shared" si="4"/>
        <v>1</v>
      </c>
      <c r="J12" s="41" t="s">
        <v>96</v>
      </c>
      <c r="K12" s="42"/>
      <c r="L12" s="42"/>
      <c r="M12" s="42"/>
      <c r="N12" s="43"/>
    </row>
    <row r="13" spans="1:14" ht="20.5" x14ac:dyDescent="0.45">
      <c r="A13" s="1" t="s">
        <v>60</v>
      </c>
      <c r="B13" s="10">
        <v>1</v>
      </c>
      <c r="D13" s="11">
        <v>9</v>
      </c>
      <c r="E13" s="30">
        <f t="shared" si="2"/>
        <v>170.24330612399032</v>
      </c>
      <c r="F13" s="31" t="str">
        <f t="shared" ca="1" si="0"/>
        <v>=$B$9*(1+$B$10/$B$12)^($B$12*D13)</v>
      </c>
      <c r="G13" s="32">
        <f t="shared" si="3"/>
        <v>170.24330612399032</v>
      </c>
      <c r="H13" s="31" t="str">
        <f t="shared" ca="1" si="1"/>
        <v>=FV($B$18/$B$19,D13*$B$19,,-$B$17)</v>
      </c>
      <c r="I13" s="84" t="b">
        <f t="shared" si="4"/>
        <v>1</v>
      </c>
      <c r="K13" s="36"/>
      <c r="L13" s="36"/>
      <c r="M13" s="36"/>
    </row>
    <row r="14" spans="1:14" ht="20.5" x14ac:dyDescent="0.45">
      <c r="A14" s="145" t="s">
        <v>182</v>
      </c>
      <c r="B14" s="84"/>
      <c r="D14" s="11">
        <v>10</v>
      </c>
      <c r="E14" s="30">
        <f>$B$9*(1+$B$10/$B$12)^($B$12*D14)</f>
        <v>180.61112346694134</v>
      </c>
      <c r="F14" s="31" t="str">
        <f t="shared" ca="1" si="0"/>
        <v>=$B$9*(1+$B$10/$B$12)^($B$12*D14)</v>
      </c>
      <c r="G14" s="32">
        <f>FV($B$18/$B$19,D14*$B$19,,-$B$17)</f>
        <v>180.61112346694134</v>
      </c>
      <c r="H14" s="31" t="str">
        <f t="shared" ca="1" si="1"/>
        <v>=FV($B$18/$B$19,D14*$B$19,,-$B$17)</v>
      </c>
      <c r="I14" s="84" t="b">
        <f t="shared" si="4"/>
        <v>1</v>
      </c>
      <c r="J14" s="84"/>
      <c r="L14" s="36"/>
      <c r="M14" s="36"/>
    </row>
    <row r="15" spans="1:14" x14ac:dyDescent="0.4">
      <c r="L15" s="36"/>
      <c r="M15" s="36"/>
    </row>
    <row r="16" spans="1:14" ht="20.5" x14ac:dyDescent="0.45">
      <c r="A16" s="89" t="s">
        <v>142</v>
      </c>
      <c r="B16" s="89"/>
      <c r="F16" s="146" t="str">
        <f>A6</f>
        <v>3. FV Function - 1 calculation</v>
      </c>
      <c r="G16" s="32">
        <f>FV(B10/B12,B11*B12,,-B9)</f>
        <v>180.61112346694134</v>
      </c>
      <c r="H16" s="31" t="str">
        <f ca="1">_xlfn.FORMULATEXT(G16)</f>
        <v>=FV(B10/B12,B11*B12,,-B9)</v>
      </c>
      <c r="L16" s="36"/>
      <c r="M16" s="36"/>
    </row>
    <row r="17" spans="1:29" x14ac:dyDescent="0.4">
      <c r="A17" s="1" t="s">
        <v>58</v>
      </c>
      <c r="B17" s="27">
        <v>100</v>
      </c>
      <c r="L17" s="36"/>
      <c r="M17" s="36"/>
    </row>
    <row r="18" spans="1:29" x14ac:dyDescent="0.4">
      <c r="A18" s="1" t="s">
        <v>143</v>
      </c>
      <c r="B18" s="28">
        <v>0.06</v>
      </c>
      <c r="L18" s="36"/>
      <c r="M18" s="36"/>
    </row>
    <row r="19" spans="1:29" x14ac:dyDescent="0.4">
      <c r="A19" s="1" t="s">
        <v>145</v>
      </c>
      <c r="B19" s="67">
        <v>2</v>
      </c>
      <c r="L19" s="36"/>
      <c r="M19" s="36"/>
    </row>
    <row r="20" spans="1:29" x14ac:dyDescent="0.4">
      <c r="A20" s="1" t="s">
        <v>146</v>
      </c>
      <c r="B20" s="10">
        <v>10</v>
      </c>
      <c r="L20" s="36"/>
      <c r="M20" s="36"/>
    </row>
    <row r="21" spans="1:29" ht="20.5" x14ac:dyDescent="0.45">
      <c r="A21" s="1" t="s">
        <v>144</v>
      </c>
      <c r="B21" s="68">
        <f>B19*LN(1+B18/B19)</f>
        <v>5.9117604483088858E-2</v>
      </c>
      <c r="C21" s="31" t="str">
        <f t="shared" ref="C21:C22" ca="1" si="5">_xlfn.FORMULATEXT(B21)</f>
        <v>=B19*LN(1+B18/B19)</v>
      </c>
      <c r="L21" s="36"/>
      <c r="M21" s="36"/>
    </row>
    <row r="22" spans="1:29" ht="20.5" x14ac:dyDescent="0.45">
      <c r="A22" s="1" t="s">
        <v>148</v>
      </c>
      <c r="B22" s="30">
        <f>B17*EXP(B21*B20)</f>
        <v>180.61112346694148</v>
      </c>
      <c r="C22" s="31" t="str">
        <f t="shared" ca="1" si="5"/>
        <v>=B17*EXP(B21*B20)</v>
      </c>
      <c r="L22" s="36"/>
      <c r="M22" s="36"/>
    </row>
    <row r="23" spans="1:29" x14ac:dyDescent="0.4">
      <c r="A23" s="1" t="s">
        <v>241</v>
      </c>
      <c r="L23" s="36"/>
      <c r="M23" s="36"/>
    </row>
    <row r="24" spans="1:29" ht="26.5" thickBot="1" x14ac:dyDescent="0.65">
      <c r="A24" s="149"/>
      <c r="B24" s="149"/>
      <c r="C24" s="149"/>
      <c r="D24" s="149"/>
      <c r="E24" s="149"/>
      <c r="F24" s="149"/>
      <c r="G24" s="149"/>
      <c r="H24" s="149"/>
      <c r="I24" s="149"/>
      <c r="J24" s="149"/>
      <c r="K24" s="149"/>
      <c r="L24" s="150"/>
      <c r="M24" s="150"/>
      <c r="N24" s="149"/>
      <c r="O24" s="149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29" ht="26" x14ac:dyDescent="0.6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38"/>
      <c r="M25" s="38"/>
      <c r="N25" s="23"/>
      <c r="O25" s="23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29" ht="28" x14ac:dyDescent="0.6">
      <c r="A26" s="72" t="s">
        <v>149</v>
      </c>
      <c r="L26" s="36"/>
      <c r="M26" s="3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29" ht="26" x14ac:dyDescent="0.6"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29" ht="26.5" thickBot="1" x14ac:dyDescent="0.65">
      <c r="A28" s="80" t="str">
        <f>A3</f>
        <v>3 Methods</v>
      </c>
      <c r="D28" s="9" t="str">
        <f>N28</f>
        <v>FV End of Period</v>
      </c>
      <c r="E28" s="9" t="str">
        <f t="shared" ref="E28:H28" si="6">E3</f>
        <v>1.  Algebraic</v>
      </c>
      <c r="F28" s="9" t="str">
        <f t="shared" si="6"/>
        <v>Formulatext</v>
      </c>
      <c r="G28" s="9" t="str">
        <f t="shared" si="6"/>
        <v>2. FV Function</v>
      </c>
      <c r="H28" s="9" t="str">
        <f t="shared" si="6"/>
        <v>Formulatext</v>
      </c>
      <c r="J28" s="8"/>
      <c r="K28" s="9" t="s">
        <v>65</v>
      </c>
      <c r="L28" s="9" t="s">
        <v>66</v>
      </c>
      <c r="M28" s="8" t="s">
        <v>67</v>
      </c>
      <c r="N28" s="9" t="s">
        <v>243</v>
      </c>
      <c r="O28" s="9" t="s">
        <v>39</v>
      </c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29" ht="26.5" thickTop="1" x14ac:dyDescent="0.6">
      <c r="A29" s="83" t="str">
        <f>A4</f>
        <v>1.  Algebraic</v>
      </c>
      <c r="D29" s="11">
        <v>0</v>
      </c>
      <c r="E29" s="151">
        <f>B34</f>
        <v>0</v>
      </c>
      <c r="F29" s="19" t="str">
        <f t="shared" ref="F29:F39" ca="1" si="7">_xlfn.FORMULATEXT(E29)</f>
        <v>=B34</v>
      </c>
      <c r="G29" s="34">
        <f>FV($B$36/$B$39, D29*$B$38, -$B$35, -$B$34, 1)</f>
        <v>0</v>
      </c>
      <c r="H29" s="19" t="str">
        <f t="shared" ref="H29:H39" ca="1" si="8">_xlfn.FORMULATEXT(G29)</f>
        <v>=FV($B$36/$B$39, D29*$B$38, -$B$35, -$B$34, 1)</v>
      </c>
      <c r="I29" s="173">
        <f>G29-E29</f>
        <v>0</v>
      </c>
      <c r="J29" s="11">
        <v>0</v>
      </c>
      <c r="K29" s="92">
        <f>N29</f>
        <v>0</v>
      </c>
      <c r="L29" s="92">
        <f>$B$34</f>
        <v>0</v>
      </c>
      <c r="M29" s="30">
        <f>K29+L29</f>
        <v>0</v>
      </c>
      <c r="N29" s="30">
        <f>B34</f>
        <v>0</v>
      </c>
      <c r="O29" s="19" t="str">
        <f t="shared" ref="O29:O38" ca="1" si="9">_xlfn.FORMULATEXT(N29)</f>
        <v>=B34</v>
      </c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29" ht="26" x14ac:dyDescent="0.6">
      <c r="A30" s="83" t="str">
        <f t="shared" ref="A30:A31" si="10">A5</f>
        <v>2. FV Function</v>
      </c>
      <c r="D30" s="100">
        <f>D29+1</f>
        <v>1</v>
      </c>
      <c r="E30" s="30">
        <f>(E29+$B$35)*(1+$B$36/$B$39)^($B$39*$B$38)</f>
        <v>106</v>
      </c>
      <c r="F30" s="19" t="str">
        <f t="shared" ca="1" si="7"/>
        <v>=(E29+$B$35)*(1+$B$36/$B$39)^($B$39*$B$38)</v>
      </c>
      <c r="G30" s="34">
        <f>FV($B$36/$B$39, D30*$B$39, -$B$35, -$B$34, 1)</f>
        <v>106.0000000000001</v>
      </c>
      <c r="H30" s="19" t="str">
        <f t="shared" ca="1" si="8"/>
        <v>=FV($B$36/$B$39, D30*$B$39, -$B$35, -$B$34, 1)</v>
      </c>
      <c r="I30" s="173">
        <f t="shared" ref="I30:I39" si="11">G30-E30</f>
        <v>0</v>
      </c>
      <c r="J30" s="11">
        <v>1</v>
      </c>
      <c r="K30" s="92">
        <f>N29</f>
        <v>0</v>
      </c>
      <c r="L30" s="92">
        <f>$B$35</f>
        <v>100</v>
      </c>
      <c r="M30" s="30">
        <f>K30+L30</f>
        <v>100</v>
      </c>
      <c r="N30" s="32">
        <f>FV($B$36/$B$39,$B$38*$B$39,-L30, -K30,1)</f>
        <v>106.0000000000001</v>
      </c>
      <c r="O30" s="19" t="str">
        <f t="shared" ca="1" si="9"/>
        <v>=FV($B$36/$B$39,$B$38*$B$39,-L30, -K30,1)</v>
      </c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29" ht="26" x14ac:dyDescent="0.6">
      <c r="A31" s="83" t="str">
        <f t="shared" si="10"/>
        <v>3. FV Function - 1 calculation</v>
      </c>
      <c r="D31" s="100">
        <f t="shared" ref="D31:D39" si="12">D30+1</f>
        <v>2</v>
      </c>
      <c r="E31" s="30">
        <f t="shared" ref="E31:E38" si="13">(E30+$B$35)*(1+$B$36/$B$39)^($B$39*$B$38)</f>
        <v>218.36</v>
      </c>
      <c r="F31" s="19" t="str">
        <f t="shared" ca="1" si="7"/>
        <v>=(E30+$B$35)*(1+$B$36/$B$39)^($B$39*$B$38)</v>
      </c>
      <c r="G31" s="34">
        <f t="shared" ref="G31:G38" si="14">FV($B$36/$B$39, D31*$B$39, -$B$35, -$B$34, 1)</f>
        <v>218.3600000000003</v>
      </c>
      <c r="H31" s="19" t="str">
        <f t="shared" ca="1" si="8"/>
        <v>=FV($B$36/$B$39, D31*$B$39, -$B$35, -$B$34, 1)</v>
      </c>
      <c r="I31" s="173">
        <f t="shared" si="11"/>
        <v>2.8421709430404007E-13</v>
      </c>
      <c r="J31" s="11">
        <v>2</v>
      </c>
      <c r="K31" s="92">
        <f t="shared" ref="K31:K39" si="15">N30</f>
        <v>106.0000000000001</v>
      </c>
      <c r="L31" s="92">
        <f t="shared" ref="L31:L39" si="16">$B$35</f>
        <v>100</v>
      </c>
      <c r="M31" s="30">
        <f t="shared" ref="M31:M39" si="17">K31+L31</f>
        <v>206.00000000000011</v>
      </c>
      <c r="N31" s="32">
        <f t="shared" ref="N31:N39" si="18">FV($B$36/$B$39,$B$38*$B$39,-L31, -K31,1)</f>
        <v>218.36000000000021</v>
      </c>
      <c r="O31" s="19" t="str">
        <f t="shared" ca="1" si="9"/>
        <v>=FV($B$36/$B$39,$B$38*$B$39,-L31, -K31,1)</v>
      </c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29" ht="26" x14ac:dyDescent="0.6">
      <c r="D32" s="100">
        <f t="shared" si="12"/>
        <v>3</v>
      </c>
      <c r="E32" s="30">
        <f t="shared" si="13"/>
        <v>337.46160000000003</v>
      </c>
      <c r="F32" s="19" t="str">
        <f t="shared" ca="1" si="7"/>
        <v>=(E31+$B$35)*(1+$B$36/$B$39)^($B$39*$B$38)</v>
      </c>
      <c r="G32" s="34">
        <f t="shared" si="14"/>
        <v>337.46160000000054</v>
      </c>
      <c r="H32" s="19" t="str">
        <f t="shared" ca="1" si="8"/>
        <v>=FV($B$36/$B$39, D32*$B$39, -$B$35, -$B$34, 1)</v>
      </c>
      <c r="I32" s="173">
        <f t="shared" si="11"/>
        <v>5.1159076974727213E-13</v>
      </c>
      <c r="J32" s="11">
        <v>3</v>
      </c>
      <c r="K32" s="92">
        <f t="shared" si="15"/>
        <v>218.36000000000021</v>
      </c>
      <c r="L32" s="92">
        <f t="shared" si="16"/>
        <v>100</v>
      </c>
      <c r="M32" s="30">
        <f t="shared" si="17"/>
        <v>318.36000000000024</v>
      </c>
      <c r="N32" s="32">
        <f t="shared" si="18"/>
        <v>337.46160000000032</v>
      </c>
      <c r="O32" s="19" t="str">
        <f t="shared" ca="1" si="9"/>
        <v>=FV($B$36/$B$39,$B$38*$B$39,-L32, -K32,1)</v>
      </c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1:29" ht="26" x14ac:dyDescent="0.6">
      <c r="A33" s="89" t="str">
        <f>A8</f>
        <v>Key Inputs and Assumptions</v>
      </c>
      <c r="B33" s="89"/>
      <c r="D33" s="100">
        <f t="shared" si="12"/>
        <v>4</v>
      </c>
      <c r="E33" s="30">
        <f t="shared" si="13"/>
        <v>463.70929600000005</v>
      </c>
      <c r="F33" s="19" t="str">
        <f t="shared" ca="1" si="7"/>
        <v>=(E32+$B$35)*(1+$B$36/$B$39)^($B$39*$B$38)</v>
      </c>
      <c r="G33" s="34">
        <f t="shared" si="14"/>
        <v>463.70929600000068</v>
      </c>
      <c r="H33" s="19" t="str">
        <f t="shared" ca="1" si="8"/>
        <v>=FV($B$36/$B$39, D33*$B$39, -$B$35, -$B$34, 1)</v>
      </c>
      <c r="I33" s="173">
        <f t="shared" si="11"/>
        <v>6.2527760746888816E-13</v>
      </c>
      <c r="J33" s="11">
        <v>4</v>
      </c>
      <c r="K33" s="92">
        <f t="shared" si="15"/>
        <v>337.46160000000032</v>
      </c>
      <c r="L33" s="92">
        <f t="shared" si="16"/>
        <v>100</v>
      </c>
      <c r="M33" s="30">
        <f t="shared" si="17"/>
        <v>437.46160000000032</v>
      </c>
      <c r="N33" s="32">
        <f t="shared" si="18"/>
        <v>463.70929600000045</v>
      </c>
      <c r="O33" s="19" t="str">
        <f t="shared" ca="1" si="9"/>
        <v>=FV($B$36/$B$39,$B$38*$B$39,-L33, -K33,1)</v>
      </c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1:29" ht="26" x14ac:dyDescent="0.6">
      <c r="A34" s="1" t="s">
        <v>200</v>
      </c>
      <c r="B34" s="27">
        <v>0</v>
      </c>
      <c r="D34" s="100">
        <f t="shared" si="12"/>
        <v>5</v>
      </c>
      <c r="E34" s="30">
        <f t="shared" si="13"/>
        <v>597.53185375999999</v>
      </c>
      <c r="F34" s="19" t="str">
        <f t="shared" ca="1" si="7"/>
        <v>=(E33+$B$35)*(1+$B$36/$B$39)^($B$39*$B$38)</v>
      </c>
      <c r="G34" s="34">
        <f t="shared" si="14"/>
        <v>597.5318537600009</v>
      </c>
      <c r="H34" s="19" t="str">
        <f t="shared" ca="1" si="8"/>
        <v>=FV($B$36/$B$39, D34*$B$39, -$B$35, -$B$34, 1)</v>
      </c>
      <c r="I34" s="173">
        <f t="shared" si="11"/>
        <v>9.0949470177292824E-13</v>
      </c>
      <c r="J34" s="11">
        <v>5</v>
      </c>
      <c r="K34" s="92">
        <f t="shared" si="15"/>
        <v>463.70929600000045</v>
      </c>
      <c r="L34" s="92">
        <f t="shared" si="16"/>
        <v>100</v>
      </c>
      <c r="M34" s="30">
        <f t="shared" si="17"/>
        <v>563.70929600000045</v>
      </c>
      <c r="N34" s="32">
        <f t="shared" si="18"/>
        <v>597.53185376000056</v>
      </c>
      <c r="O34" s="19" t="str">
        <f t="shared" ca="1" si="9"/>
        <v>=FV($B$36/$B$39,$B$38*$B$39,-L34, -K34,1)</v>
      </c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29" ht="26" x14ac:dyDescent="0.6">
      <c r="A35" s="1" t="s">
        <v>61</v>
      </c>
      <c r="B35" s="27">
        <v>100</v>
      </c>
      <c r="D35" s="100">
        <f t="shared" si="12"/>
        <v>6</v>
      </c>
      <c r="E35" s="30">
        <f t="shared" si="13"/>
        <v>739.38376498560001</v>
      </c>
      <c r="F35" s="19" t="str">
        <f t="shared" ca="1" si="7"/>
        <v>=(E34+$B$35)*(1+$B$36/$B$39)^($B$39*$B$38)</v>
      </c>
      <c r="G35" s="34">
        <f t="shared" si="14"/>
        <v>739.38376498560103</v>
      </c>
      <c r="H35" s="19" t="str">
        <f t="shared" ca="1" si="8"/>
        <v>=FV($B$36/$B$39, D35*$B$39, -$B$35, -$B$34, 1)</v>
      </c>
      <c r="I35" s="173">
        <f t="shared" si="11"/>
        <v>1.0231815394945443E-12</v>
      </c>
      <c r="J35" s="11">
        <v>6</v>
      </c>
      <c r="K35" s="92">
        <f t="shared" si="15"/>
        <v>597.53185376000056</v>
      </c>
      <c r="L35" s="92">
        <f t="shared" si="16"/>
        <v>100</v>
      </c>
      <c r="M35" s="30">
        <f t="shared" si="17"/>
        <v>697.53185376000056</v>
      </c>
      <c r="N35" s="32">
        <f t="shared" si="18"/>
        <v>739.38376498560069</v>
      </c>
      <c r="O35" s="19" t="str">
        <f t="shared" ca="1" si="9"/>
        <v>=FV($B$36/$B$39,$B$38*$B$39,-L35, -K35,1)</v>
      </c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26" x14ac:dyDescent="0.6">
      <c r="A36" s="1" t="s">
        <v>59</v>
      </c>
      <c r="B36" s="28">
        <v>0.06</v>
      </c>
      <c r="D36" s="100">
        <f t="shared" si="12"/>
        <v>7</v>
      </c>
      <c r="E36" s="30">
        <f t="shared" si="13"/>
        <v>889.74679088473601</v>
      </c>
      <c r="F36" s="19" t="str">
        <f t="shared" ca="1" si="7"/>
        <v>=(E35+$B$35)*(1+$B$36/$B$39)^($B$39*$B$38)</v>
      </c>
      <c r="G36" s="34">
        <f t="shared" si="14"/>
        <v>889.74679088473749</v>
      </c>
      <c r="H36" s="19" t="str">
        <f t="shared" ca="1" si="8"/>
        <v>=FV($B$36/$B$39, D36*$B$39, -$B$35, -$B$34, 1)</v>
      </c>
      <c r="I36" s="173">
        <f t="shared" si="11"/>
        <v>1.4779288903810084E-12</v>
      </c>
      <c r="J36" s="11">
        <v>7</v>
      </c>
      <c r="K36" s="92">
        <f t="shared" si="15"/>
        <v>739.38376498560069</v>
      </c>
      <c r="L36" s="92">
        <f t="shared" si="16"/>
        <v>100</v>
      </c>
      <c r="M36" s="30">
        <f t="shared" si="17"/>
        <v>839.38376498560069</v>
      </c>
      <c r="N36" s="32">
        <f t="shared" si="18"/>
        <v>889.74679088473692</v>
      </c>
      <c r="O36" s="19" t="str">
        <f t="shared" ca="1" si="9"/>
        <v>=FV($B$36/$B$39,$B$38*$B$39,-L36, -K36,1)</v>
      </c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29" ht="26" x14ac:dyDescent="0.6">
      <c r="A37" s="1" t="s">
        <v>146</v>
      </c>
      <c r="B37" s="10">
        <v>10</v>
      </c>
      <c r="D37" s="100">
        <f t="shared" si="12"/>
        <v>8</v>
      </c>
      <c r="E37" s="30">
        <f t="shared" si="13"/>
        <v>1049.1315983378202</v>
      </c>
      <c r="F37" s="19" t="str">
        <f t="shared" ca="1" si="7"/>
        <v>=(E36+$B$35)*(1+$B$36/$B$39)^($B$39*$B$38)</v>
      </c>
      <c r="G37" s="34">
        <f t="shared" si="14"/>
        <v>1049.1315983378217</v>
      </c>
      <c r="H37" s="19" t="str">
        <f t="shared" ca="1" si="8"/>
        <v>=FV($B$36/$B$39, D37*$B$39, -$B$35, -$B$34, 1)</v>
      </c>
      <c r="I37" s="173">
        <f t="shared" si="11"/>
        <v>0</v>
      </c>
      <c r="J37" s="11">
        <v>8</v>
      </c>
      <c r="K37" s="92">
        <f t="shared" si="15"/>
        <v>889.74679088473692</v>
      </c>
      <c r="L37" s="92">
        <f t="shared" si="16"/>
        <v>100</v>
      </c>
      <c r="M37" s="30">
        <f t="shared" si="17"/>
        <v>989.74679088473692</v>
      </c>
      <c r="N37" s="32">
        <f t="shared" si="18"/>
        <v>1049.1315983378213</v>
      </c>
      <c r="O37" s="19" t="str">
        <f t="shared" ca="1" si="9"/>
        <v>=FV($B$36/$B$39,$B$38*$B$39,-L37, -K37,1)</v>
      </c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29" ht="26" x14ac:dyDescent="0.6">
      <c r="A38" s="1" t="s">
        <v>147</v>
      </c>
      <c r="B38" s="10">
        <v>1</v>
      </c>
      <c r="D38" s="100">
        <f t="shared" si="12"/>
        <v>9</v>
      </c>
      <c r="E38" s="30">
        <f t="shared" si="13"/>
        <v>1218.0794942380894</v>
      </c>
      <c r="F38" s="19" t="str">
        <f t="shared" ca="1" si="7"/>
        <v>=(E37+$B$35)*(1+$B$36/$B$39)^($B$39*$B$38)</v>
      </c>
      <c r="G38" s="34">
        <f t="shared" si="14"/>
        <v>1218.0794942380908</v>
      </c>
      <c r="H38" s="19" t="str">
        <f t="shared" ca="1" si="8"/>
        <v>=FV($B$36/$B$39, D38*$B$39, -$B$35, -$B$34, 1)</v>
      </c>
      <c r="I38" s="173">
        <f t="shared" si="11"/>
        <v>0</v>
      </c>
      <c r="J38" s="11">
        <v>9</v>
      </c>
      <c r="K38" s="92">
        <f t="shared" si="15"/>
        <v>1049.1315983378213</v>
      </c>
      <c r="L38" s="92">
        <f t="shared" si="16"/>
        <v>100</v>
      </c>
      <c r="M38" s="30">
        <f t="shared" si="17"/>
        <v>1149.1315983378213</v>
      </c>
      <c r="N38" s="32">
        <f t="shared" si="18"/>
        <v>1218.0794942380905</v>
      </c>
      <c r="O38" s="19" t="str">
        <f t="shared" ca="1" si="9"/>
        <v>=FV($B$36/$B$39,$B$38*$B$39,-L38, -K38,1)</v>
      </c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1:29" ht="26" x14ac:dyDescent="0.6">
      <c r="A39" s="1" t="s">
        <v>60</v>
      </c>
      <c r="B39" s="10">
        <v>1</v>
      </c>
      <c r="D39" s="100">
        <f t="shared" si="12"/>
        <v>10</v>
      </c>
      <c r="E39" s="30">
        <f>(E38+$B$35)*(1+$B$36/$B$39)^($B$39*$B$38)</f>
        <v>1397.1642638923749</v>
      </c>
      <c r="F39" s="19" t="str">
        <f t="shared" ca="1" si="7"/>
        <v>=(E38+$B$35)*(1+$B$36/$B$39)^($B$39*$B$38)</v>
      </c>
      <c r="G39" s="34">
        <f>FV($B$36/$B$39, D39*$B$39, -$B$35, -$B$34, 1)</f>
        <v>1397.1642638923765</v>
      </c>
      <c r="H39" s="19" t="str">
        <f t="shared" ca="1" si="8"/>
        <v>=FV($B$36/$B$39, D39*$B$39, -$B$35, -$B$34, 1)</v>
      </c>
      <c r="I39" s="173">
        <f t="shared" si="11"/>
        <v>0</v>
      </c>
      <c r="J39" s="11">
        <v>10</v>
      </c>
      <c r="K39" s="92">
        <f t="shared" si="15"/>
        <v>1218.0794942380905</v>
      </c>
      <c r="L39" s="92">
        <f t="shared" si="16"/>
        <v>100</v>
      </c>
      <c r="M39" s="30">
        <f t="shared" si="17"/>
        <v>1318.0794942380905</v>
      </c>
      <c r="N39" s="32">
        <f t="shared" si="18"/>
        <v>1397.1642638923761</v>
      </c>
      <c r="O39" s="1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1:29" ht="26" x14ac:dyDescent="0.6">
      <c r="A40" s="203" t="s">
        <v>69</v>
      </c>
      <c r="B40" s="84"/>
      <c r="F40" s="84"/>
      <c r="H40" s="57"/>
      <c r="I40" s="84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1:29" ht="26" x14ac:dyDescent="0.6">
      <c r="F41" s="146" t="str">
        <f>A6</f>
        <v>3. FV Function - 1 calculation</v>
      </c>
      <c r="G41" s="32">
        <f>FV(B36/B39,B37*B39,-B35,-B34,1)</f>
        <v>1397.1642638923765</v>
      </c>
      <c r="H41" s="19" t="str">
        <f ca="1">_xlfn.FORMULATEXT(G41)</f>
        <v>=FV(B36/B39,B37*B39,-B35,-B34,1)</v>
      </c>
      <c r="I41" s="84"/>
      <c r="Q41"/>
      <c r="R41"/>
      <c r="S41"/>
      <c r="T41"/>
      <c r="U41"/>
      <c r="V41"/>
      <c r="W41"/>
      <c r="X41"/>
      <c r="Y41"/>
      <c r="Z41"/>
      <c r="AA41"/>
      <c r="AB41"/>
      <c r="AC41"/>
    </row>
    <row r="45" spans="1:29" x14ac:dyDescent="0.4">
      <c r="A45" s="90" t="s">
        <v>100</v>
      </c>
      <c r="B45" s="85"/>
      <c r="C45" s="85"/>
      <c r="D45" s="85"/>
      <c r="E45" s="85"/>
      <c r="F45" s="85"/>
      <c r="G45" s="85"/>
    </row>
    <row r="46" spans="1:29" x14ac:dyDescent="0.4">
      <c r="A46" s="75" t="s">
        <v>157</v>
      </c>
      <c r="B46" s="1" t="s">
        <v>160</v>
      </c>
    </row>
    <row r="47" spans="1:29" x14ac:dyDescent="0.4">
      <c r="A47" s="75" t="s">
        <v>101</v>
      </c>
      <c r="B47" s="1" t="s">
        <v>164</v>
      </c>
    </row>
    <row r="48" spans="1:29" x14ac:dyDescent="0.4">
      <c r="A48" s="75" t="s">
        <v>162</v>
      </c>
      <c r="B48" s="1" t="s">
        <v>163</v>
      </c>
    </row>
  </sheetData>
  <mergeCells count="2">
    <mergeCell ref="J3:N3"/>
    <mergeCell ref="J4:N4"/>
  </mergeCells>
  <pageMargins left="0.25" right="0.25" top="0.75" bottom="0.75" header="0.3" footer="0.3"/>
  <pageSetup scale="35" orientation="landscape" horizontalDpi="4294967295" verticalDpi="4294967295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58EE-2D2A-447A-9C71-D16067A5A070}">
  <sheetPr>
    <pageSetUpPr fitToPage="1"/>
  </sheetPr>
  <dimension ref="A1:W45"/>
  <sheetViews>
    <sheetView showGridLines="0" zoomScale="55" zoomScaleNormal="55" workbookViewId="0">
      <selection activeCell="H3" sqref="H3"/>
    </sheetView>
  </sheetViews>
  <sheetFormatPr defaultRowHeight="26" x14ac:dyDescent="0.6"/>
  <cols>
    <col min="1" max="1" width="31.94921875" customWidth="1"/>
    <col min="2" max="2" width="17.6484375" customWidth="1"/>
    <col min="3" max="3" width="19.19921875" customWidth="1"/>
    <col min="4" max="4" width="5" bestFit="1" customWidth="1"/>
    <col min="5" max="5" width="10.796875" customWidth="1"/>
    <col min="6" max="6" width="13.69921875" bestFit="1" customWidth="1"/>
    <col min="7" max="7" width="12.6484375" customWidth="1"/>
    <col min="8" max="8" width="12" customWidth="1"/>
    <col min="9" max="9" width="17.19921875" bestFit="1" customWidth="1"/>
    <col min="10" max="10" width="5" bestFit="1" customWidth="1"/>
    <col min="11" max="11" width="17.796875" customWidth="1"/>
    <col min="12" max="12" width="16.1484375" customWidth="1"/>
    <col min="13" max="13" width="5.296875" bestFit="1" customWidth="1"/>
    <col min="14" max="14" width="7.046875" bestFit="1" customWidth="1"/>
    <col min="15" max="15" width="10.046875" bestFit="1" customWidth="1"/>
    <col min="16" max="22" width="10.8984375" bestFit="1" customWidth="1"/>
    <col min="23" max="23" width="11.8984375" bestFit="1" customWidth="1"/>
  </cols>
  <sheetData>
    <row r="1" spans="1:23" x14ac:dyDescent="0.6">
      <c r="A1" s="81"/>
      <c r="B1" s="1"/>
      <c r="C1" s="1"/>
      <c r="D1" s="1"/>
      <c r="E1" s="1"/>
      <c r="F1" s="1"/>
      <c r="G1" s="1"/>
      <c r="H1" s="1"/>
      <c r="I1" s="1"/>
      <c r="K1" s="89" t="s">
        <v>126</v>
      </c>
      <c r="L1" s="89"/>
      <c r="N1" s="1"/>
      <c r="O1" s="1"/>
      <c r="P1" s="105" t="s">
        <v>127</v>
      </c>
      <c r="Q1" s="105"/>
      <c r="R1" s="105"/>
      <c r="S1" s="105"/>
      <c r="T1" s="105"/>
      <c r="U1" s="105"/>
      <c r="V1" s="105"/>
      <c r="W1" s="105"/>
    </row>
    <row r="2" spans="1:23" x14ac:dyDescent="0.6">
      <c r="A2" s="89" t="s">
        <v>71</v>
      </c>
      <c r="B2" s="89"/>
      <c r="C2" s="1"/>
      <c r="D2" s="9" t="s">
        <v>80</v>
      </c>
      <c r="E2" s="9" t="s">
        <v>65</v>
      </c>
      <c r="F2" s="9" t="s">
        <v>81</v>
      </c>
      <c r="G2" s="9" t="s">
        <v>67</v>
      </c>
      <c r="H2" s="9" t="s">
        <v>68</v>
      </c>
      <c r="I2" s="9" t="s">
        <v>39</v>
      </c>
      <c r="K2" s="1"/>
      <c r="L2" s="104">
        <f>B15</f>
        <v>93081.200734261976</v>
      </c>
      <c r="N2" s="1"/>
      <c r="O2" s="56">
        <f>B15</f>
        <v>93081.200734261976</v>
      </c>
      <c r="P2" s="28">
        <v>0.01</v>
      </c>
      <c r="Q2" s="28">
        <v>0.02</v>
      </c>
      <c r="R2" s="28">
        <v>0.03</v>
      </c>
      <c r="S2" s="28">
        <v>0.04</v>
      </c>
      <c r="T2" s="28">
        <v>0.05</v>
      </c>
      <c r="U2" s="28">
        <v>0.06</v>
      </c>
      <c r="V2" s="28">
        <v>7.0000000000000007E-2</v>
      </c>
      <c r="W2" s="28">
        <v>0.08</v>
      </c>
    </row>
    <row r="3" spans="1:23" ht="27.75" customHeight="1" x14ac:dyDescent="0.6">
      <c r="A3" s="81"/>
      <c r="B3" s="1"/>
      <c r="C3" s="1"/>
      <c r="D3" s="11">
        <v>5</v>
      </c>
      <c r="E3" s="91">
        <f>B10</f>
        <v>0</v>
      </c>
      <c r="F3" s="94">
        <f>$B$13</f>
        <v>5004.733723984391</v>
      </c>
      <c r="G3" s="30">
        <f>E3+F3</f>
        <v>5004.733723984391</v>
      </c>
      <c r="H3" s="32">
        <f>FV($B$9,1,,-G3)</f>
        <v>5254.9704101836105</v>
      </c>
      <c r="I3" s="19" t="str">
        <f t="shared" ref="I3:I19" ca="1" si="0">_xlfn.FORMULATEXT(H3)</f>
        <v>=FV($B$9,1,,-G3)</v>
      </c>
      <c r="K3" s="108">
        <v>2000</v>
      </c>
      <c r="L3" s="209">
        <f t="dataTable" ref="L3:L19" dt2D="0" dtr="0" r1="B13"/>
        <v>37197.263977575916</v>
      </c>
      <c r="N3" s="106"/>
      <c r="O3" s="110">
        <f>K3</f>
        <v>2000</v>
      </c>
      <c r="P3" s="111">
        <f t="dataTable" ref="P3:W19" dt2D="1" dtr="1" r1="B9" r2="B13" ca="1"/>
        <v>27894.842647524481</v>
      </c>
      <c r="Q3" s="112">
        <v>29947.876306287202</v>
      </c>
      <c r="R3" s="112">
        <v>32172.648323674061</v>
      </c>
      <c r="S3" s="112">
        <v>34583.822380140227</v>
      </c>
      <c r="T3" s="112">
        <v>37197.263977575916</v>
      </c>
      <c r="U3" s="112">
        <v>40030.131858480876</v>
      </c>
      <c r="V3" s="112">
        <v>43100.975720035625</v>
      </c>
      <c r="W3" s="113">
        <v>46429.840606441452</v>
      </c>
    </row>
    <row r="4" spans="1:23" x14ac:dyDescent="0.6">
      <c r="A4" s="1" t="s">
        <v>72</v>
      </c>
      <c r="B4" s="27">
        <v>25000</v>
      </c>
      <c r="C4" s="1"/>
      <c r="D4" s="100">
        <f>D3+1</f>
        <v>6</v>
      </c>
      <c r="E4" s="92">
        <f>H3</f>
        <v>5254.9704101836105</v>
      </c>
      <c r="F4" s="94">
        <f t="shared" ref="F4:F15" si="1">$B$13</f>
        <v>5004.733723984391</v>
      </c>
      <c r="G4" s="30">
        <f t="shared" ref="G4:G19" si="2">E4+F4</f>
        <v>10259.704134168001</v>
      </c>
      <c r="H4" s="32">
        <f t="shared" ref="H4:H19" si="3">FV($B$9,1,,-G4)</f>
        <v>10772.689340876403</v>
      </c>
      <c r="I4" s="19" t="str">
        <f t="shared" ca="1" si="0"/>
        <v>=FV($B$9,1,,-G4)</v>
      </c>
      <c r="K4" s="108">
        <v>2500</v>
      </c>
      <c r="L4" s="209">
        <v>46496.579971969892</v>
      </c>
      <c r="N4" s="106"/>
      <c r="O4" s="110">
        <f t="shared" ref="O4:O19" si="4">K4</f>
        <v>2500</v>
      </c>
      <c r="P4" s="114">
        <v>34868.553309405601</v>
      </c>
      <c r="Q4" s="115">
        <v>37434.845382859006</v>
      </c>
      <c r="R4" s="115">
        <v>40215.810404592579</v>
      </c>
      <c r="S4" s="115">
        <v>43229.777975175282</v>
      </c>
      <c r="T4" s="115">
        <v>46496.579971969892</v>
      </c>
      <c r="U4" s="115">
        <v>50037.664823101099</v>
      </c>
      <c r="V4" s="115">
        <v>53876.219650044535</v>
      </c>
      <c r="W4" s="116">
        <v>58037.300758051817</v>
      </c>
    </row>
    <row r="5" spans="1:23" x14ac:dyDescent="0.6">
      <c r="A5" s="1" t="s">
        <v>73</v>
      </c>
      <c r="B5" s="10">
        <v>5</v>
      </c>
      <c r="C5" s="1"/>
      <c r="D5" s="100">
        <f t="shared" ref="D5:D19" si="5">D4+1</f>
        <v>7</v>
      </c>
      <c r="E5" s="92">
        <f t="shared" ref="E5:E19" si="6">H4</f>
        <v>10772.689340876403</v>
      </c>
      <c r="F5" s="94">
        <f t="shared" si="1"/>
        <v>5004.733723984391</v>
      </c>
      <c r="G5" s="30">
        <f t="shared" si="2"/>
        <v>15777.423064860794</v>
      </c>
      <c r="H5" s="32">
        <f t="shared" si="3"/>
        <v>16566.294218103834</v>
      </c>
      <c r="I5" s="19" t="str">
        <f t="shared" ca="1" si="0"/>
        <v>=FV($B$9,1,,-G5)</v>
      </c>
      <c r="K5" s="108">
        <v>3000</v>
      </c>
      <c r="L5" s="209">
        <v>55795.895966363874</v>
      </c>
      <c r="N5" s="106"/>
      <c r="O5" s="110">
        <f t="shared" si="4"/>
        <v>3000</v>
      </c>
      <c r="P5" s="114">
        <v>41842.263971286724</v>
      </c>
      <c r="Q5" s="115">
        <v>44921.814459430803</v>
      </c>
      <c r="R5" s="115">
        <v>48258.972485511091</v>
      </c>
      <c r="S5" s="115">
        <v>51875.733570210337</v>
      </c>
      <c r="T5" s="115">
        <v>55795.895966363874</v>
      </c>
      <c r="U5" s="115">
        <v>60045.197787721314</v>
      </c>
      <c r="V5" s="115">
        <v>64651.463580053438</v>
      </c>
      <c r="W5" s="116">
        <v>69644.760909662175</v>
      </c>
    </row>
    <row r="6" spans="1:23" x14ac:dyDescent="0.6">
      <c r="A6" s="1" t="s">
        <v>74</v>
      </c>
      <c r="B6" s="10">
        <v>18</v>
      </c>
      <c r="C6" s="57"/>
      <c r="D6" s="100">
        <f t="shared" si="5"/>
        <v>8</v>
      </c>
      <c r="E6" s="92">
        <f t="shared" si="6"/>
        <v>16566.294218103834</v>
      </c>
      <c r="F6" s="94">
        <f t="shared" si="1"/>
        <v>5004.733723984391</v>
      </c>
      <c r="G6" s="30">
        <f t="shared" si="2"/>
        <v>21571.027942088225</v>
      </c>
      <c r="H6" s="32">
        <f t="shared" si="3"/>
        <v>22649.579339192638</v>
      </c>
      <c r="I6" s="19" t="str">
        <f t="shared" ca="1" si="0"/>
        <v>=FV($B$9,1,,-G6)</v>
      </c>
      <c r="K6" s="108">
        <v>3500</v>
      </c>
      <c r="L6" s="209">
        <v>65095.21196075785</v>
      </c>
      <c r="N6" s="106"/>
      <c r="O6" s="110">
        <f t="shared" si="4"/>
        <v>3500</v>
      </c>
      <c r="P6" s="114">
        <v>48815.97463316784</v>
      </c>
      <c r="Q6" s="115">
        <v>52408.783536002607</v>
      </c>
      <c r="R6" s="115">
        <v>56302.13456642961</v>
      </c>
      <c r="S6" s="115">
        <v>60521.6891652454</v>
      </c>
      <c r="T6" s="115">
        <v>65095.21196075785</v>
      </c>
      <c r="U6" s="115">
        <v>70052.730752341537</v>
      </c>
      <c r="V6" s="115">
        <v>75426.707510062348</v>
      </c>
      <c r="W6" s="116">
        <v>81252.221061272547</v>
      </c>
    </row>
    <row r="7" spans="1:23" x14ac:dyDescent="0.6">
      <c r="A7" s="1" t="s">
        <v>76</v>
      </c>
      <c r="B7" s="93">
        <f>B6-B5</f>
        <v>13</v>
      </c>
      <c r="C7" s="58" t="str">
        <f ca="1">_xlfn.FORMULATEXT(B7)</f>
        <v>=B6-B5</v>
      </c>
      <c r="D7" s="100">
        <f t="shared" si="5"/>
        <v>9</v>
      </c>
      <c r="E7" s="92">
        <f t="shared" si="6"/>
        <v>22649.579339192638</v>
      </c>
      <c r="F7" s="94">
        <f t="shared" si="1"/>
        <v>5004.733723984391</v>
      </c>
      <c r="G7" s="30">
        <f t="shared" si="2"/>
        <v>27654.313063177029</v>
      </c>
      <c r="H7" s="32">
        <f t="shared" si="3"/>
        <v>29037.028716335881</v>
      </c>
      <c r="I7" s="19" t="str">
        <f t="shared" ca="1" si="0"/>
        <v>=FV($B$9,1,,-G7)</v>
      </c>
      <c r="K7" s="108">
        <v>4000</v>
      </c>
      <c r="L7" s="209">
        <v>74394.527955151832</v>
      </c>
      <c r="N7" s="106"/>
      <c r="O7" s="110">
        <f t="shared" si="4"/>
        <v>4000</v>
      </c>
      <c r="P7" s="114">
        <v>55789.685295048963</v>
      </c>
      <c r="Q7" s="115">
        <v>59895.752612574404</v>
      </c>
      <c r="R7" s="115">
        <v>64345.296647348121</v>
      </c>
      <c r="S7" s="115">
        <v>69167.644760280455</v>
      </c>
      <c r="T7" s="115">
        <v>74394.527955151832</v>
      </c>
      <c r="U7" s="115">
        <v>80060.263716961752</v>
      </c>
      <c r="V7" s="115">
        <v>86201.951440071251</v>
      </c>
      <c r="W7" s="116">
        <v>92859.681212882904</v>
      </c>
    </row>
    <row r="8" spans="1:23" x14ac:dyDescent="0.6">
      <c r="A8" s="1" t="s">
        <v>75</v>
      </c>
      <c r="B8" s="10">
        <v>4</v>
      </c>
      <c r="C8" s="57"/>
      <c r="D8" s="100">
        <f t="shared" si="5"/>
        <v>10</v>
      </c>
      <c r="E8" s="92">
        <f t="shared" si="6"/>
        <v>29037.028716335881</v>
      </c>
      <c r="F8" s="94">
        <f t="shared" si="1"/>
        <v>5004.733723984391</v>
      </c>
      <c r="G8" s="30">
        <f t="shared" si="2"/>
        <v>34041.762440320272</v>
      </c>
      <c r="H8" s="32">
        <f t="shared" si="3"/>
        <v>35743.850562336287</v>
      </c>
      <c r="I8" s="19" t="str">
        <f t="shared" ca="1" si="0"/>
        <v>=FV($B$9,1,,-G8)</v>
      </c>
      <c r="K8" s="108">
        <v>4500</v>
      </c>
      <c r="L8" s="209">
        <v>83693.843949545815</v>
      </c>
      <c r="N8" s="106"/>
      <c r="O8" s="110">
        <f t="shared" si="4"/>
        <v>4500</v>
      </c>
      <c r="P8" s="114">
        <v>62763.395956930079</v>
      </c>
      <c r="Q8" s="115">
        <v>67382.721689146201</v>
      </c>
      <c r="R8" s="115">
        <v>72388.458728266633</v>
      </c>
      <c r="S8" s="115">
        <v>77813.600355315502</v>
      </c>
      <c r="T8" s="115">
        <v>83693.843949545815</v>
      </c>
      <c r="U8" s="115">
        <v>90067.796681581982</v>
      </c>
      <c r="V8" s="115">
        <v>96977.195370080168</v>
      </c>
      <c r="W8" s="116">
        <v>104467.14136449326</v>
      </c>
    </row>
    <row r="9" spans="1:23" x14ac:dyDescent="0.6">
      <c r="A9" s="1" t="s">
        <v>77</v>
      </c>
      <c r="B9" s="28">
        <v>0.05</v>
      </c>
      <c r="C9" s="57"/>
      <c r="D9" s="100">
        <f t="shared" si="5"/>
        <v>11</v>
      </c>
      <c r="E9" s="92">
        <f t="shared" si="6"/>
        <v>35743.850562336287</v>
      </c>
      <c r="F9" s="94">
        <f t="shared" si="1"/>
        <v>5004.733723984391</v>
      </c>
      <c r="G9" s="30">
        <f t="shared" si="2"/>
        <v>40748.584286320678</v>
      </c>
      <c r="H9" s="32">
        <f t="shared" si="3"/>
        <v>42786.013500636713</v>
      </c>
      <c r="I9" s="19" t="str">
        <f t="shared" ca="1" si="0"/>
        <v>=FV($B$9,1,,-G9)</v>
      </c>
      <c r="K9" s="109">
        <v>5004.733723984391</v>
      </c>
      <c r="L9" s="209">
        <v>93081.200734261976</v>
      </c>
      <c r="M9" s="210" t="b">
        <f>L9=L2</f>
        <v>1</v>
      </c>
      <c r="N9" s="106"/>
      <c r="O9" s="110">
        <f t="shared" si="4"/>
        <v>5004.733723984391</v>
      </c>
      <c r="P9" s="114">
        <v>69803.129861651905</v>
      </c>
      <c r="Q9" s="115">
        <v>74940.573255894327</v>
      </c>
      <c r="R9" s="115">
        <v>80507.769027690723</v>
      </c>
      <c r="S9" s="115">
        <v>86541.411085086962</v>
      </c>
      <c r="T9" s="120">
        <v>93081.200734261976</v>
      </c>
      <c r="U9" s="115">
        <v>100170.07544384061</v>
      </c>
      <c r="V9" s="115">
        <v>107854.45336134736</v>
      </c>
      <c r="W9" s="116">
        <v>116184.49454113872</v>
      </c>
    </row>
    <row r="10" spans="1:23" ht="26.5" thickBot="1" x14ac:dyDescent="0.65">
      <c r="A10" s="1" t="s">
        <v>244</v>
      </c>
      <c r="B10" s="204">
        <v>0</v>
      </c>
      <c r="C10" s="57"/>
      <c r="D10" s="100">
        <f t="shared" si="5"/>
        <v>12</v>
      </c>
      <c r="E10" s="92">
        <f t="shared" si="6"/>
        <v>42786.013500636713</v>
      </c>
      <c r="F10" s="94">
        <f t="shared" si="1"/>
        <v>5004.733723984391</v>
      </c>
      <c r="G10" s="30">
        <f t="shared" si="2"/>
        <v>47790.747224621104</v>
      </c>
      <c r="H10" s="32">
        <f t="shared" si="3"/>
        <v>50180.284585852161</v>
      </c>
      <c r="I10" s="19" t="str">
        <f t="shared" ca="1" si="0"/>
        <v>=FV($B$9,1,,-G10)</v>
      </c>
      <c r="K10" s="108">
        <v>5500</v>
      </c>
      <c r="L10" s="209">
        <v>102292.47593833377</v>
      </c>
      <c r="N10" s="106"/>
      <c r="O10" s="110">
        <f t="shared" si="4"/>
        <v>5500</v>
      </c>
      <c r="P10" s="114">
        <v>76710.817280692325</v>
      </c>
      <c r="Q10" s="115">
        <v>82356.65984228981</v>
      </c>
      <c r="R10" s="115">
        <v>88474.78289010367</v>
      </c>
      <c r="S10" s="115">
        <v>95105.511545385627</v>
      </c>
      <c r="T10" s="115">
        <v>102292.47593833377</v>
      </c>
      <c r="U10" s="115">
        <v>110082.86261082241</v>
      </c>
      <c r="V10" s="115">
        <v>118527.68323009797</v>
      </c>
      <c r="W10" s="116">
        <v>127682.06166771399</v>
      </c>
    </row>
    <row r="11" spans="1:23" ht="26.5" thickBot="1" x14ac:dyDescent="0.65">
      <c r="A11" s="97" t="s">
        <v>79</v>
      </c>
      <c r="B11" s="98">
        <f>PV(B9,B8,-B4,,1)</f>
        <v>93081.200734261962</v>
      </c>
      <c r="C11" s="95" t="str">
        <f ca="1">_xlfn.FORMULATEXT(B11)</f>
        <v>=PV(B9,B8,-B4,,1)</v>
      </c>
      <c r="D11" s="100">
        <f t="shared" si="5"/>
        <v>13</v>
      </c>
      <c r="E11" s="92">
        <f t="shared" si="6"/>
        <v>50180.284585852161</v>
      </c>
      <c r="F11" s="94">
        <f t="shared" si="1"/>
        <v>5004.733723984391</v>
      </c>
      <c r="G11" s="30">
        <f t="shared" si="2"/>
        <v>55185.018309836552</v>
      </c>
      <c r="H11" s="32">
        <f t="shared" si="3"/>
        <v>57944.269225328382</v>
      </c>
      <c r="I11" s="19" t="str">
        <f t="shared" ca="1" si="0"/>
        <v>=FV($B$9,1,,-G11)</v>
      </c>
      <c r="K11" s="108">
        <v>6000</v>
      </c>
      <c r="L11" s="209">
        <v>111591.79193272775</v>
      </c>
      <c r="N11" s="106" t="s">
        <v>184</v>
      </c>
      <c r="O11" s="110">
        <f t="shared" si="4"/>
        <v>6000</v>
      </c>
      <c r="P11" s="114">
        <v>83684.527942573448</v>
      </c>
      <c r="Q11" s="115">
        <v>89843.628918861607</v>
      </c>
      <c r="R11" s="115">
        <v>96517.944971022182</v>
      </c>
      <c r="S11" s="115">
        <v>103751.46714042067</v>
      </c>
      <c r="T11" s="115">
        <v>111591.79193272775</v>
      </c>
      <c r="U11" s="115">
        <v>120090.39557544263</v>
      </c>
      <c r="V11" s="115">
        <v>129302.92716010688</v>
      </c>
      <c r="W11" s="116">
        <v>139289.52181932435</v>
      </c>
    </row>
    <row r="12" spans="1:23" x14ac:dyDescent="0.6">
      <c r="D12" s="100">
        <f t="shared" si="5"/>
        <v>14</v>
      </c>
      <c r="E12" s="92">
        <f t="shared" si="6"/>
        <v>57944.269225328382</v>
      </c>
      <c r="F12" s="94">
        <f t="shared" si="1"/>
        <v>5004.733723984391</v>
      </c>
      <c r="G12" s="30">
        <f t="shared" si="2"/>
        <v>62949.002949312773</v>
      </c>
      <c r="H12" s="32">
        <f t="shared" si="3"/>
        <v>66096.453096778409</v>
      </c>
      <c r="I12" s="19" t="str">
        <f t="shared" ca="1" si="0"/>
        <v>=FV($B$9,1,,-G12)</v>
      </c>
      <c r="K12" s="108">
        <v>6500</v>
      </c>
      <c r="L12" s="209">
        <v>120891.10792712172</v>
      </c>
      <c r="N12" s="107" t="s">
        <v>66</v>
      </c>
      <c r="O12" s="110">
        <f t="shared" si="4"/>
        <v>6500</v>
      </c>
      <c r="P12" s="114">
        <v>90658.238604454556</v>
      </c>
      <c r="Q12" s="115">
        <v>97330.597995433403</v>
      </c>
      <c r="R12" s="115">
        <v>104561.10705194069</v>
      </c>
      <c r="S12" s="115">
        <v>112397.42273545574</v>
      </c>
      <c r="T12" s="115">
        <v>120891.10792712172</v>
      </c>
      <c r="U12" s="115">
        <v>130097.92854006286</v>
      </c>
      <c r="V12" s="115">
        <v>140078.17109011579</v>
      </c>
      <c r="W12" s="116">
        <v>150896.98197093472</v>
      </c>
    </row>
    <row r="13" spans="1:23" x14ac:dyDescent="0.6">
      <c r="A13" s="1" t="s">
        <v>82</v>
      </c>
      <c r="B13" s="32">
        <f>PMT(B9,B7,,-B11,1)</f>
        <v>5004.733723984391</v>
      </c>
      <c r="C13" s="19" t="str">
        <f ca="1">_xlfn.FORMULATEXT(B13)</f>
        <v>=PMT(B9,B7,,-B11,1)</v>
      </c>
      <c r="D13" s="100">
        <f t="shared" si="5"/>
        <v>15</v>
      </c>
      <c r="E13" s="92">
        <f t="shared" si="6"/>
        <v>66096.453096778409</v>
      </c>
      <c r="F13" s="94">
        <f t="shared" si="1"/>
        <v>5004.733723984391</v>
      </c>
      <c r="G13" s="30">
        <f t="shared" si="2"/>
        <v>71101.186820762799</v>
      </c>
      <c r="H13" s="32">
        <f t="shared" si="3"/>
        <v>74656.24616180094</v>
      </c>
      <c r="I13" s="19" t="str">
        <f t="shared" ca="1" si="0"/>
        <v>=FV($B$9,1,,-G13)</v>
      </c>
      <c r="K13" s="108">
        <v>7000</v>
      </c>
      <c r="L13" s="209">
        <v>130190.4239215157</v>
      </c>
      <c r="N13" s="106"/>
      <c r="O13" s="110">
        <f t="shared" si="4"/>
        <v>7000</v>
      </c>
      <c r="P13" s="114">
        <v>97631.94926633568</v>
      </c>
      <c r="Q13" s="115">
        <v>104817.56707200521</v>
      </c>
      <c r="R13" s="115">
        <v>112604.26913285922</v>
      </c>
      <c r="S13" s="115">
        <v>121043.3783304908</v>
      </c>
      <c r="T13" s="115">
        <v>130190.4239215157</v>
      </c>
      <c r="U13" s="115">
        <v>140105.46150468307</v>
      </c>
      <c r="V13" s="115">
        <v>150853.4150201247</v>
      </c>
      <c r="W13" s="116">
        <v>162504.44212254509</v>
      </c>
    </row>
    <row r="14" spans="1:23" ht="26.5" thickBot="1" x14ac:dyDescent="0.65">
      <c r="A14" s="1"/>
      <c r="B14" s="1"/>
      <c r="C14" s="57"/>
      <c r="D14" s="100">
        <f t="shared" si="5"/>
        <v>16</v>
      </c>
      <c r="E14" s="92">
        <f t="shared" si="6"/>
        <v>74656.24616180094</v>
      </c>
      <c r="F14" s="94">
        <f t="shared" si="1"/>
        <v>5004.733723984391</v>
      </c>
      <c r="G14" s="30">
        <f t="shared" si="2"/>
        <v>79660.979885785331</v>
      </c>
      <c r="H14" s="32">
        <f t="shared" si="3"/>
        <v>83644.028880074606</v>
      </c>
      <c r="I14" s="19" t="str">
        <f t="shared" ca="1" si="0"/>
        <v>=FV($B$9,1,,-G14)</v>
      </c>
      <c r="K14" s="108">
        <v>7500</v>
      </c>
      <c r="L14" s="209">
        <v>139489.73991590968</v>
      </c>
      <c r="N14" s="106"/>
      <c r="O14" s="110">
        <f t="shared" si="4"/>
        <v>7500</v>
      </c>
      <c r="P14" s="114">
        <v>104605.6599282168</v>
      </c>
      <c r="Q14" s="115">
        <v>112304.53614857701</v>
      </c>
      <c r="R14" s="115">
        <v>120647.43121377773</v>
      </c>
      <c r="S14" s="115">
        <v>129689.33392552585</v>
      </c>
      <c r="T14" s="115">
        <v>139489.73991590968</v>
      </c>
      <c r="U14" s="115">
        <v>150112.99446930329</v>
      </c>
      <c r="V14" s="115">
        <v>161628.6589501336</v>
      </c>
      <c r="W14" s="116">
        <v>174111.90227415544</v>
      </c>
    </row>
    <row r="15" spans="1:23" ht="26.5" thickBot="1" x14ac:dyDescent="0.65">
      <c r="A15" s="99" t="s">
        <v>78</v>
      </c>
      <c r="B15" s="98">
        <f>FV(B9,B7,-B13,,1)</f>
        <v>93081.200734261976</v>
      </c>
      <c r="C15" s="19" t="str">
        <f ca="1">_xlfn.FORMULATEXT(B15)</f>
        <v>=FV(B9,B7,-B13,,1)</v>
      </c>
      <c r="D15" s="101">
        <f t="shared" si="5"/>
        <v>17</v>
      </c>
      <c r="E15" s="205">
        <f t="shared" si="6"/>
        <v>83644.028880074606</v>
      </c>
      <c r="F15" s="206">
        <f t="shared" si="1"/>
        <v>5004.733723984391</v>
      </c>
      <c r="G15" s="207">
        <f t="shared" si="2"/>
        <v>88648.762604058997</v>
      </c>
      <c r="H15" s="208">
        <f t="shared" si="3"/>
        <v>93081.200734261947</v>
      </c>
      <c r="I15" s="95" t="str">
        <f t="shared" ca="1" si="0"/>
        <v>=FV($B$9,1,,-G15)</v>
      </c>
      <c r="K15" s="108">
        <v>8000</v>
      </c>
      <c r="L15" s="209">
        <v>148789.05591030366</v>
      </c>
      <c r="N15" s="106"/>
      <c r="O15" s="110">
        <f t="shared" si="4"/>
        <v>8000</v>
      </c>
      <c r="P15" s="114">
        <v>111579.37059009793</v>
      </c>
      <c r="Q15" s="115">
        <v>119791.50522514881</v>
      </c>
      <c r="R15" s="115">
        <v>128690.59329469624</v>
      </c>
      <c r="S15" s="115">
        <v>138335.28952056091</v>
      </c>
      <c r="T15" s="115">
        <v>148789.05591030366</v>
      </c>
      <c r="U15" s="115">
        <v>160120.5274339235</v>
      </c>
      <c r="V15" s="115">
        <v>172403.9028801425</v>
      </c>
      <c r="W15" s="116">
        <v>185719.36242576581</v>
      </c>
    </row>
    <row r="16" spans="1:23" x14ac:dyDescent="0.6">
      <c r="D16" s="102">
        <f t="shared" si="5"/>
        <v>18</v>
      </c>
      <c r="E16" s="92">
        <f t="shared" si="6"/>
        <v>93081.200734261947</v>
      </c>
      <c r="F16" s="92">
        <f>-$B$4</f>
        <v>-25000</v>
      </c>
      <c r="G16" s="30">
        <f t="shared" si="2"/>
        <v>68081.200734261947</v>
      </c>
      <c r="H16" s="32">
        <f t="shared" si="3"/>
        <v>71485.260770975045</v>
      </c>
      <c r="I16" s="103" t="str">
        <f t="shared" ca="1" si="0"/>
        <v>=FV($B$9,1,,-G16)</v>
      </c>
      <c r="K16" s="108">
        <v>8500</v>
      </c>
      <c r="L16" s="209">
        <v>158088.37190469765</v>
      </c>
      <c r="N16" s="106"/>
      <c r="O16" s="110">
        <f t="shared" si="4"/>
        <v>8500</v>
      </c>
      <c r="P16" s="114">
        <v>118553.08125197905</v>
      </c>
      <c r="Q16" s="115">
        <v>127278.47430172061</v>
      </c>
      <c r="R16" s="115">
        <v>136733.75537561477</v>
      </c>
      <c r="S16" s="115">
        <v>146981.24511559596</v>
      </c>
      <c r="T16" s="115">
        <v>158088.37190469765</v>
      </c>
      <c r="U16" s="115">
        <v>170128.06039854372</v>
      </c>
      <c r="V16" s="115">
        <v>183179.1468101514</v>
      </c>
      <c r="W16" s="116">
        <v>197326.82257737618</v>
      </c>
    </row>
    <row r="17" spans="1:23" x14ac:dyDescent="0.6">
      <c r="A17" s="1" t="s">
        <v>183</v>
      </c>
      <c r="B17" s="96" t="b">
        <f>B11=B15</f>
        <v>1</v>
      </c>
      <c r="C17" s="19" t="str">
        <f ca="1">_xlfn.FORMULATEXT(B17)</f>
        <v>=B11=B15</v>
      </c>
      <c r="D17" s="100">
        <f t="shared" si="5"/>
        <v>19</v>
      </c>
      <c r="E17" s="92">
        <f t="shared" si="6"/>
        <v>71485.260770975045</v>
      </c>
      <c r="F17" s="92">
        <f t="shared" ref="F17:F19" si="7">-$B$4</f>
        <v>-25000</v>
      </c>
      <c r="G17" s="30">
        <f t="shared" si="2"/>
        <v>46485.260770975045</v>
      </c>
      <c r="H17" s="32">
        <f t="shared" si="3"/>
        <v>48809.523809523802</v>
      </c>
      <c r="I17" s="19" t="str">
        <f t="shared" ca="1" si="0"/>
        <v>=FV($B$9,1,,-G17)</v>
      </c>
      <c r="K17" s="108">
        <v>9000</v>
      </c>
      <c r="L17" s="209">
        <v>167387.68789909163</v>
      </c>
      <c r="N17" s="106"/>
      <c r="O17" s="110">
        <f t="shared" si="4"/>
        <v>9000</v>
      </c>
      <c r="P17" s="114">
        <v>125526.79191386016</v>
      </c>
      <c r="Q17" s="115">
        <v>134765.4433782924</v>
      </c>
      <c r="R17" s="115">
        <v>144776.91745653327</v>
      </c>
      <c r="S17" s="115">
        <v>155627.200710631</v>
      </c>
      <c r="T17" s="115">
        <v>167387.68789909163</v>
      </c>
      <c r="U17" s="115">
        <v>180135.59336316396</v>
      </c>
      <c r="V17" s="115">
        <v>193954.39074016034</v>
      </c>
      <c r="W17" s="116">
        <v>208934.28272898652</v>
      </c>
    </row>
    <row r="18" spans="1:23" x14ac:dyDescent="0.6">
      <c r="A18" s="23"/>
      <c r="D18" s="100">
        <f t="shared" si="5"/>
        <v>20</v>
      </c>
      <c r="E18" s="92">
        <f t="shared" si="6"/>
        <v>48809.523809523802</v>
      </c>
      <c r="F18" s="92">
        <f t="shared" si="7"/>
        <v>-25000</v>
      </c>
      <c r="G18" s="30">
        <f t="shared" si="2"/>
        <v>23809.523809523802</v>
      </c>
      <c r="H18" s="32">
        <f t="shared" si="3"/>
        <v>24999.999999999993</v>
      </c>
      <c r="I18" s="19" t="str">
        <f t="shared" ca="1" si="0"/>
        <v>=FV($B$9,1,,-G18)</v>
      </c>
      <c r="K18" s="108">
        <v>9500</v>
      </c>
      <c r="L18" s="209">
        <v>176687.00389348558</v>
      </c>
      <c r="N18" s="106"/>
      <c r="O18" s="110">
        <f t="shared" si="4"/>
        <v>9500</v>
      </c>
      <c r="P18" s="114">
        <v>132500.5025757413</v>
      </c>
      <c r="Q18" s="115">
        <v>142252.41245486421</v>
      </c>
      <c r="R18" s="115">
        <v>152820.07953745179</v>
      </c>
      <c r="S18" s="115">
        <v>164273.15630566608</v>
      </c>
      <c r="T18" s="115">
        <v>176687.00389348558</v>
      </c>
      <c r="U18" s="115">
        <v>190143.12632778418</v>
      </c>
      <c r="V18" s="115">
        <v>204729.63467016924</v>
      </c>
      <c r="W18" s="116">
        <v>220541.7428805969</v>
      </c>
    </row>
    <row r="19" spans="1:23" x14ac:dyDescent="0.6">
      <c r="C19" s="1"/>
      <c r="D19" s="100">
        <f t="shared" si="5"/>
        <v>21</v>
      </c>
      <c r="E19" s="92">
        <f t="shared" si="6"/>
        <v>24999.999999999993</v>
      </c>
      <c r="F19" s="92">
        <f t="shared" si="7"/>
        <v>-25000</v>
      </c>
      <c r="G19" s="30">
        <f t="shared" si="2"/>
        <v>0</v>
      </c>
      <c r="H19" s="30">
        <f t="shared" si="3"/>
        <v>0</v>
      </c>
      <c r="I19" s="19" t="str">
        <f t="shared" ca="1" si="0"/>
        <v>=FV($B$9,1,,-G19)</v>
      </c>
      <c r="K19" s="108">
        <v>10000</v>
      </c>
      <c r="L19" s="209">
        <v>185986.31988787957</v>
      </c>
      <c r="N19" s="106"/>
      <c r="O19" s="110">
        <f t="shared" si="4"/>
        <v>10000</v>
      </c>
      <c r="P19" s="117">
        <v>139474.2132376224</v>
      </c>
      <c r="Q19" s="118">
        <v>149739.38153143603</v>
      </c>
      <c r="R19" s="118">
        <v>160863.24161837032</v>
      </c>
      <c r="S19" s="118">
        <v>172919.11190070113</v>
      </c>
      <c r="T19" s="118">
        <v>185986.31988787957</v>
      </c>
      <c r="U19" s="118">
        <v>200150.65929240439</v>
      </c>
      <c r="V19" s="118">
        <v>215504.87860017814</v>
      </c>
      <c r="W19" s="119">
        <v>232149.20303220727</v>
      </c>
    </row>
    <row r="20" spans="1:23" x14ac:dyDescent="0.6">
      <c r="C20" s="1"/>
      <c r="D20" s="11"/>
      <c r="E20" s="1"/>
      <c r="F20" s="1"/>
      <c r="G20" s="1"/>
      <c r="H20" s="1"/>
      <c r="I20" s="1"/>
      <c r="T20" s="198" t="b">
        <f>T9=O2</f>
        <v>1</v>
      </c>
    </row>
    <row r="23" spans="1:23" x14ac:dyDescent="0.6">
      <c r="A23" s="90" t="s">
        <v>100</v>
      </c>
      <c r="B23" s="85"/>
      <c r="C23" s="85"/>
      <c r="D23" s="85"/>
      <c r="E23" s="85"/>
      <c r="F23" s="85"/>
      <c r="G23" s="85"/>
    </row>
    <row r="24" spans="1:23" x14ac:dyDescent="0.6">
      <c r="A24" s="75" t="s">
        <v>101</v>
      </c>
      <c r="B24" s="1" t="s">
        <v>164</v>
      </c>
    </row>
    <row r="25" spans="1:23" x14ac:dyDescent="0.6">
      <c r="A25" s="75" t="s">
        <v>103</v>
      </c>
      <c r="B25" s="1" t="s">
        <v>165</v>
      </c>
    </row>
    <row r="26" spans="1:23" x14ac:dyDescent="0.6">
      <c r="A26" s="75" t="s">
        <v>102</v>
      </c>
      <c r="B26" s="1" t="s">
        <v>166</v>
      </c>
    </row>
    <row r="40" spans="1:9" x14ac:dyDescent="0.6">
      <c r="A40" s="1"/>
      <c r="B40" s="1"/>
      <c r="C40" s="1"/>
      <c r="D40" s="1"/>
      <c r="E40" s="1"/>
      <c r="F40" s="1"/>
      <c r="G40" s="1"/>
      <c r="H40" s="1"/>
      <c r="I40" s="1"/>
    </row>
    <row r="41" spans="1:9" x14ac:dyDescent="0.6">
      <c r="A41" s="1"/>
      <c r="B41" s="1"/>
      <c r="C41" s="1"/>
      <c r="D41" s="1"/>
      <c r="E41" s="1"/>
      <c r="F41" s="1"/>
      <c r="G41" s="1"/>
      <c r="H41" s="1"/>
      <c r="I41" s="1"/>
    </row>
    <row r="42" spans="1:9" x14ac:dyDescent="0.6">
      <c r="A42" s="1"/>
      <c r="B42" s="1"/>
      <c r="C42" s="1"/>
      <c r="D42" s="1"/>
      <c r="E42" s="1"/>
      <c r="F42" s="1"/>
      <c r="G42" s="1"/>
      <c r="H42" s="1"/>
      <c r="I42" s="1"/>
    </row>
    <row r="43" spans="1:9" x14ac:dyDescent="0.6">
      <c r="A43" s="1"/>
      <c r="B43" s="1"/>
      <c r="C43" s="1"/>
      <c r="D43" s="1"/>
      <c r="E43" s="1"/>
      <c r="F43" s="1"/>
      <c r="G43" s="1"/>
      <c r="H43" s="1"/>
      <c r="I43" s="1"/>
    </row>
    <row r="44" spans="1:9" x14ac:dyDescent="0.6">
      <c r="A44" s="1"/>
      <c r="B44" s="1"/>
      <c r="C44" s="1"/>
      <c r="D44" s="1"/>
      <c r="E44" s="1"/>
      <c r="F44" s="1"/>
      <c r="G44" s="1"/>
      <c r="H44" s="1"/>
      <c r="I44" s="1"/>
    </row>
    <row r="45" spans="1:9" x14ac:dyDescent="0.6">
      <c r="A45" s="1"/>
      <c r="B45" s="1"/>
      <c r="C45" s="1"/>
      <c r="D45" s="1"/>
      <c r="E45" s="1"/>
      <c r="F45" s="1"/>
      <c r="G45" s="1"/>
      <c r="H45" s="1"/>
      <c r="I45" s="1"/>
    </row>
  </sheetData>
  <conditionalFormatting sqref="M9">
    <cfRule type="cellIs" dxfId="1" priority="2" operator="equal">
      <formula>TRUE</formula>
    </cfRule>
    <cfRule type="cellIs" dxfId="0" priority="1" operator="equal">
      <formula>FALSE</formula>
    </cfRule>
  </conditionalFormatting>
  <pageMargins left="0.25" right="0.25" top="0.75" bottom="0.75" header="0.3" footer="0.3"/>
  <pageSetup scale="26" orientation="landscape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878A9-33ED-471F-9F1C-22A8415F43FF}">
  <sheetPr>
    <pageSetUpPr fitToPage="1"/>
  </sheetPr>
  <dimension ref="A1:W60"/>
  <sheetViews>
    <sheetView showGridLines="0" zoomScale="54" zoomScaleNormal="55" workbookViewId="0">
      <selection activeCell="K28" sqref="K28"/>
    </sheetView>
  </sheetViews>
  <sheetFormatPr defaultColWidth="9.1484375" defaultRowHeight="20" x14ac:dyDescent="0.4"/>
  <cols>
    <col min="1" max="1" width="32.19921875" style="1" customWidth="1"/>
    <col min="2" max="3" width="9.1484375" style="1"/>
    <col min="4" max="4" width="12.69921875" style="1" customWidth="1"/>
    <col min="5" max="7" width="9.1484375" style="1"/>
    <col min="8" max="8" width="17.8984375" style="1" customWidth="1"/>
    <col min="9" max="9" width="11" style="12" customWidth="1"/>
    <col min="10" max="12" width="17.8984375" style="1" customWidth="1"/>
    <col min="13" max="13" width="9.1484375" style="1"/>
    <col min="14" max="14" width="9.84765625" style="1" customWidth="1"/>
    <col min="15" max="15" width="9.19921875" style="1" customWidth="1"/>
    <col min="16" max="16" width="9.1484375" style="1"/>
    <col min="17" max="17" width="12.3984375" style="1" customWidth="1"/>
    <col min="18" max="18" width="13.6484375" style="1" customWidth="1"/>
    <col min="19" max="19" width="16.6484375" style="1" customWidth="1"/>
    <col min="20" max="22" width="9.1484375" style="1"/>
    <col min="23" max="23" width="10.5" style="1" customWidth="1"/>
    <col min="24" max="24" width="9.546875" style="1" customWidth="1"/>
    <col min="25" max="16384" width="9.1484375" style="1"/>
  </cols>
  <sheetData>
    <row r="1" spans="1:23" ht="25.5" thickBot="1" x14ac:dyDescent="0.55000000000000004">
      <c r="A1" s="71" t="s">
        <v>119</v>
      </c>
    </row>
    <row r="2" spans="1:23" ht="26.25" customHeight="1" x14ac:dyDescent="0.4">
      <c r="A2" s="81"/>
      <c r="J2" s="84"/>
      <c r="N2" s="121" t="s">
        <v>83</v>
      </c>
      <c r="O2" s="122"/>
      <c r="P2" s="122"/>
      <c r="Q2" s="122"/>
      <c r="R2" s="122"/>
      <c r="S2" s="123"/>
    </row>
    <row r="3" spans="1:23" ht="21" thickBot="1" x14ac:dyDescent="0.5">
      <c r="A3" s="125" t="s">
        <v>118</v>
      </c>
      <c r="B3" s="126"/>
      <c r="E3" s="9" t="s">
        <v>14</v>
      </c>
      <c r="F3" s="9" t="s">
        <v>66</v>
      </c>
      <c r="G3" s="9" t="s">
        <v>56</v>
      </c>
      <c r="H3" s="9" t="s">
        <v>39</v>
      </c>
      <c r="I3" s="55" t="s">
        <v>115</v>
      </c>
      <c r="J3" s="9" t="s">
        <v>39</v>
      </c>
      <c r="K3" s="35" t="s">
        <v>153</v>
      </c>
      <c r="L3" s="78" t="s">
        <v>39</v>
      </c>
      <c r="N3" s="46" t="s">
        <v>84</v>
      </c>
      <c r="O3" s="47"/>
      <c r="P3" s="48"/>
      <c r="Q3" s="48"/>
      <c r="R3" s="48"/>
      <c r="S3" s="49"/>
    </row>
    <row r="4" spans="1:23" ht="21" thickTop="1" x14ac:dyDescent="0.45">
      <c r="A4" s="144" t="s">
        <v>185</v>
      </c>
      <c r="E4" s="11">
        <v>0</v>
      </c>
      <c r="F4" s="91">
        <v>0</v>
      </c>
      <c r="G4" s="30">
        <f>F4/(1+$B$12)^E4</f>
        <v>0</v>
      </c>
      <c r="H4" s="18" t="str">
        <f ca="1">_xlfn.FORMULATEXT(G4)</f>
        <v>=F4/(1+$B$12)^E4</v>
      </c>
      <c r="I4" s="34">
        <f>PV($B$12,E4,,-F4)</f>
        <v>0</v>
      </c>
      <c r="J4" s="18" t="str">
        <f ca="1">_xlfn.FORMULATEXT(I4)</f>
        <v>=PV($B$12,E4,,-F4)</v>
      </c>
      <c r="K4" s="211">
        <f>F4*EXP(-$B$25*E4/$B$23)</f>
        <v>0</v>
      </c>
      <c r="L4" s="18" t="str">
        <f ca="1">_xlfn.FORMULATEXT(K4)</f>
        <v>=F4*EXP(-$B$25*E4/$B$23)</v>
      </c>
      <c r="N4" s="46" t="s">
        <v>85</v>
      </c>
      <c r="O4" s="47"/>
      <c r="P4" s="48"/>
      <c r="Q4" s="48"/>
      <c r="R4" s="48"/>
      <c r="S4" s="49"/>
    </row>
    <row r="5" spans="1:23" ht="20.5" x14ac:dyDescent="0.45">
      <c r="A5" s="144" t="s">
        <v>108</v>
      </c>
      <c r="E5" s="100">
        <f>E4+1</f>
        <v>1</v>
      </c>
      <c r="F5" s="91">
        <f t="shared" ref="F5:F28" si="0">$B$10</f>
        <v>100</v>
      </c>
      <c r="G5" s="30">
        <f>F5/(1+$B$12)^E5</f>
        <v>99.709181553801415</v>
      </c>
      <c r="H5" s="18" t="str">
        <f t="shared" ref="H5:H28" ca="1" si="1">_xlfn.FORMULATEXT(G5)</f>
        <v>=F5/(1+$B$12)^E5</v>
      </c>
      <c r="I5" s="34">
        <f>PV($B$12,E5,,-F5)</f>
        <v>99.709181553801415</v>
      </c>
      <c r="J5" s="18" t="str">
        <f t="shared" ref="J5:L28" ca="1" si="2">_xlfn.FORMULATEXT(I5)</f>
        <v>=PV($B$12,E5,,-F5)</v>
      </c>
      <c r="K5" s="211">
        <f t="shared" ref="K5:K28" si="3">F5*EXP(-$B$25*E5/$B$23)</f>
        <v>99.7091815538014</v>
      </c>
      <c r="L5" s="18" t="str">
        <f t="shared" ca="1" si="2"/>
        <v>=F5*EXP(-$B$25*E5/$B$23)</v>
      </c>
      <c r="N5" s="46" t="s">
        <v>86</v>
      </c>
      <c r="O5" s="47"/>
      <c r="P5" s="48"/>
      <c r="Q5" s="48"/>
      <c r="R5" s="48"/>
      <c r="S5" s="49"/>
    </row>
    <row r="6" spans="1:23" ht="20.5" x14ac:dyDescent="0.45">
      <c r="A6" s="144" t="s">
        <v>109</v>
      </c>
      <c r="E6" s="100">
        <f t="shared" ref="E6:E28" si="4">E5+1</f>
        <v>2</v>
      </c>
      <c r="F6" s="91">
        <f t="shared" si="0"/>
        <v>100</v>
      </c>
      <c r="G6" s="30">
        <f t="shared" ref="G6:G28" si="5">F6/(1+$B$12)^E6</f>
        <v>99.41920886128932</v>
      </c>
      <c r="H6" s="18" t="str">
        <f t="shared" ca="1" si="1"/>
        <v>=F6/(1+$B$12)^E6</v>
      </c>
      <c r="I6" s="34">
        <f t="shared" ref="I6:I28" si="6">PV($B$12,E6,,-F6)</f>
        <v>99.41920886128932</v>
      </c>
      <c r="J6" s="18" t="str">
        <f t="shared" ca="1" si="2"/>
        <v>=PV($B$12,E6,,-F6)</v>
      </c>
      <c r="K6" s="211">
        <f t="shared" si="3"/>
        <v>99.41920886128932</v>
      </c>
      <c r="L6" s="18" t="str">
        <f t="shared" ca="1" si="2"/>
        <v>=F6*EXP(-$B$25*E6/$B$23)</v>
      </c>
      <c r="N6" s="46" t="s">
        <v>87</v>
      </c>
      <c r="O6" s="47"/>
      <c r="P6" s="48"/>
      <c r="Q6" s="48"/>
      <c r="R6" s="48"/>
      <c r="S6" s="49"/>
    </row>
    <row r="7" spans="1:23" ht="20.5" x14ac:dyDescent="0.45">
      <c r="A7" s="144" t="s">
        <v>187</v>
      </c>
      <c r="E7" s="100">
        <f t="shared" si="4"/>
        <v>3</v>
      </c>
      <c r="F7" s="91">
        <f t="shared" si="0"/>
        <v>100</v>
      </c>
      <c r="G7" s="30">
        <f t="shared" si="5"/>
        <v>99.130079462855974</v>
      </c>
      <c r="H7" s="18" t="str">
        <f t="shared" ca="1" si="1"/>
        <v>=F7/(1+$B$12)^E7</v>
      </c>
      <c r="I7" s="34">
        <f t="shared" si="6"/>
        <v>99.130079462855974</v>
      </c>
      <c r="J7" s="18" t="str">
        <f t="shared" ca="1" si="2"/>
        <v>=PV($B$12,E7,,-F7)</v>
      </c>
      <c r="K7" s="211">
        <f t="shared" si="3"/>
        <v>99.130079462855974</v>
      </c>
      <c r="L7" s="18" t="str">
        <f t="shared" ca="1" si="2"/>
        <v>=F7*EXP(-$B$25*E7/$B$23)</v>
      </c>
      <c r="N7" s="46" t="s">
        <v>88</v>
      </c>
      <c r="O7" s="47"/>
      <c r="P7" s="48"/>
      <c r="Q7" s="48"/>
      <c r="R7" s="48"/>
      <c r="S7" s="49"/>
    </row>
    <row r="8" spans="1:23" ht="21" thickBot="1" x14ac:dyDescent="0.5">
      <c r="E8" s="100">
        <f t="shared" si="4"/>
        <v>4</v>
      </c>
      <c r="F8" s="91">
        <f t="shared" si="0"/>
        <v>100</v>
      </c>
      <c r="G8" s="30">
        <f t="shared" si="5"/>
        <v>98.841790906046683</v>
      </c>
      <c r="H8" s="18" t="str">
        <f t="shared" ca="1" si="1"/>
        <v>=F8/(1+$B$12)^E8</v>
      </c>
      <c r="I8" s="34">
        <f t="shared" si="6"/>
        <v>98.841790906046683</v>
      </c>
      <c r="J8" s="18" t="str">
        <f t="shared" ca="1" si="2"/>
        <v>=PV($B$12,E8,,-F8)</v>
      </c>
      <c r="K8" s="211">
        <f t="shared" si="3"/>
        <v>98.841790906046683</v>
      </c>
      <c r="L8" s="18" t="str">
        <f t="shared" ca="1" si="2"/>
        <v>=F8*EXP(-$B$25*E8/$B$23)</v>
      </c>
      <c r="N8" s="50" t="s">
        <v>89</v>
      </c>
      <c r="O8" s="51"/>
      <c r="P8" s="52"/>
      <c r="Q8" s="52"/>
      <c r="R8" s="52"/>
      <c r="S8" s="53"/>
    </row>
    <row r="9" spans="1:23" ht="20.5" x14ac:dyDescent="0.45">
      <c r="A9" s="89" t="s">
        <v>70</v>
      </c>
      <c r="B9" s="88"/>
      <c r="E9" s="100">
        <f t="shared" si="4"/>
        <v>5</v>
      </c>
      <c r="F9" s="91">
        <f t="shared" si="0"/>
        <v>100</v>
      </c>
      <c r="G9" s="30">
        <f t="shared" si="5"/>
        <v>98.554340745538866</v>
      </c>
      <c r="H9" s="18" t="str">
        <f t="shared" ca="1" si="1"/>
        <v>=F9/(1+$B$12)^E9</v>
      </c>
      <c r="I9" s="34">
        <f t="shared" si="6"/>
        <v>98.554340745538866</v>
      </c>
      <c r="J9" s="18" t="str">
        <f t="shared" ca="1" si="2"/>
        <v>=PV($B$12,E9,,-F9)</v>
      </c>
      <c r="K9" s="211">
        <f t="shared" si="3"/>
        <v>98.554340745538866</v>
      </c>
      <c r="L9" s="18" t="str">
        <f t="shared" ca="1" si="2"/>
        <v>=F9*EXP(-$B$25*E9/$B$23)</v>
      </c>
    </row>
    <row r="10" spans="1:23" ht="20.5" x14ac:dyDescent="0.45">
      <c r="A10" s="1" t="s">
        <v>112</v>
      </c>
      <c r="B10" s="27">
        <v>100</v>
      </c>
      <c r="E10" s="100">
        <f t="shared" si="4"/>
        <v>6</v>
      </c>
      <c r="F10" s="91">
        <f t="shared" si="0"/>
        <v>100</v>
      </c>
      <c r="G10" s="30">
        <f t="shared" si="5"/>
        <v>98.267726543121441</v>
      </c>
      <c r="H10" s="18" t="str">
        <f t="shared" ca="1" si="1"/>
        <v>=F10/(1+$B$12)^E10</v>
      </c>
      <c r="I10" s="34">
        <f t="shared" si="6"/>
        <v>98.267726543121441</v>
      </c>
      <c r="J10" s="18" t="str">
        <f t="shared" ca="1" si="2"/>
        <v>=PV($B$12,E10,,-F10)</v>
      </c>
      <c r="K10" s="211">
        <f t="shared" si="3"/>
        <v>98.267726543121427</v>
      </c>
      <c r="L10" s="18" t="str">
        <f t="shared" ca="1" si="2"/>
        <v>=F10*EXP(-$B$25*E10/$B$23)</v>
      </c>
      <c r="N10" s="124" t="s">
        <v>100</v>
      </c>
      <c r="O10" s="90"/>
      <c r="P10" s="90"/>
      <c r="Q10" s="90"/>
      <c r="R10" s="90"/>
      <c r="S10" s="90"/>
      <c r="T10" s="90"/>
      <c r="U10" s="90"/>
      <c r="V10" s="90"/>
      <c r="W10" s="90"/>
    </row>
    <row r="11" spans="1:23" ht="26" x14ac:dyDescent="0.6">
      <c r="A11" s="1" t="s">
        <v>59</v>
      </c>
      <c r="B11" s="28">
        <v>3.5000000000000003E-2</v>
      </c>
      <c r="E11" s="100">
        <f t="shared" si="4"/>
        <v>7</v>
      </c>
      <c r="F11" s="91">
        <f t="shared" si="0"/>
        <v>100</v>
      </c>
      <c r="G11" s="30">
        <f t="shared" si="5"/>
        <v>97.981945867674028</v>
      </c>
      <c r="H11" s="18" t="str">
        <f t="shared" ca="1" si="1"/>
        <v>=F11/(1+$B$12)^E11</v>
      </c>
      <c r="I11" s="34">
        <f t="shared" si="6"/>
        <v>97.981945867674028</v>
      </c>
      <c r="J11" s="18" t="str">
        <f t="shared" ca="1" si="2"/>
        <v>=PV($B$12,E11,,-F11)</v>
      </c>
      <c r="K11" s="211">
        <f t="shared" si="3"/>
        <v>97.981945867674042</v>
      </c>
      <c r="L11" s="18" t="str">
        <f t="shared" ca="1" si="2"/>
        <v>=F11*EXP(-$B$25*E11/$B$23)</v>
      </c>
      <c r="N11" s="75" t="s">
        <v>162</v>
      </c>
      <c r="O11" s="1" t="s">
        <v>163</v>
      </c>
      <c r="P11"/>
      <c r="Q11"/>
      <c r="R11"/>
      <c r="S11"/>
      <c r="T11"/>
    </row>
    <row r="12" spans="1:23" ht="26" x14ac:dyDescent="0.6">
      <c r="A12" s="1" t="s">
        <v>113</v>
      </c>
      <c r="B12" s="181">
        <f>B11/B14</f>
        <v>2.9166666666666668E-3</v>
      </c>
      <c r="E12" s="100">
        <f t="shared" si="4"/>
        <v>8</v>
      </c>
      <c r="F12" s="91">
        <f t="shared" si="0"/>
        <v>100</v>
      </c>
      <c r="G12" s="30">
        <f t="shared" si="5"/>
        <v>97.696996295146533</v>
      </c>
      <c r="H12" s="18" t="str">
        <f t="shared" ca="1" si="1"/>
        <v>=F12/(1+$B$12)^E12</v>
      </c>
      <c r="I12" s="34">
        <f t="shared" si="6"/>
        <v>97.696996295146533</v>
      </c>
      <c r="J12" s="18" t="str">
        <f t="shared" ca="1" si="2"/>
        <v>=PV($B$12,E12,,-F12)</v>
      </c>
      <c r="K12" s="211">
        <f t="shared" si="3"/>
        <v>97.696996295146519</v>
      </c>
      <c r="L12" s="18" t="str">
        <f t="shared" ca="1" si="2"/>
        <v>=F12*EXP(-$B$25*E12/$B$23)</v>
      </c>
      <c r="N12" s="75" t="s">
        <v>124</v>
      </c>
      <c r="O12" s="1" t="s">
        <v>169</v>
      </c>
      <c r="P12"/>
      <c r="Q12"/>
      <c r="R12"/>
      <c r="S12"/>
      <c r="T12"/>
    </row>
    <row r="13" spans="1:23" ht="26" x14ac:dyDescent="0.6">
      <c r="A13" s="1" t="s">
        <v>110</v>
      </c>
      <c r="B13" s="10">
        <v>2</v>
      </c>
      <c r="E13" s="100">
        <f t="shared" si="4"/>
        <v>9</v>
      </c>
      <c r="F13" s="91">
        <f t="shared" si="0"/>
        <v>100</v>
      </c>
      <c r="G13" s="30">
        <f t="shared" si="5"/>
        <v>97.412875408538284</v>
      </c>
      <c r="H13" s="18" t="str">
        <f t="shared" ca="1" si="1"/>
        <v>=F13/(1+$B$12)^E13</v>
      </c>
      <c r="I13" s="34">
        <f t="shared" si="6"/>
        <v>97.412875408538284</v>
      </c>
      <c r="J13" s="18" t="str">
        <f t="shared" ca="1" si="2"/>
        <v>=PV($B$12,E13,,-F13)</v>
      </c>
      <c r="K13" s="211">
        <f t="shared" si="3"/>
        <v>97.412875408538298</v>
      </c>
      <c r="L13" s="18" t="str">
        <f t="shared" ca="1" si="2"/>
        <v>=F13*EXP(-$B$25*E13/$B$23)</v>
      </c>
      <c r="N13" s="75" t="s">
        <v>102</v>
      </c>
      <c r="O13" s="1" t="s">
        <v>166</v>
      </c>
      <c r="P13"/>
      <c r="Q13"/>
      <c r="R13"/>
      <c r="S13"/>
      <c r="T13"/>
    </row>
    <row r="14" spans="1:23" ht="20.5" x14ac:dyDescent="0.45">
      <c r="A14" s="1" t="s">
        <v>60</v>
      </c>
      <c r="B14" s="10">
        <v>12</v>
      </c>
      <c r="E14" s="100">
        <f t="shared" si="4"/>
        <v>10</v>
      </c>
      <c r="F14" s="91">
        <f t="shared" si="0"/>
        <v>100</v>
      </c>
      <c r="G14" s="30">
        <f t="shared" si="5"/>
        <v>97.129580797877807</v>
      </c>
      <c r="H14" s="18" t="str">
        <f t="shared" ca="1" si="1"/>
        <v>=F14/(1+$B$12)^E14</v>
      </c>
      <c r="I14" s="34">
        <f t="shared" si="6"/>
        <v>97.129580797877807</v>
      </c>
      <c r="J14" s="18" t="str">
        <f t="shared" ca="1" si="2"/>
        <v>=PV($B$12,E14,,-F14)</v>
      </c>
      <c r="K14" s="211">
        <f t="shared" si="3"/>
        <v>97.129580797877807</v>
      </c>
      <c r="L14" s="18" t="str">
        <f t="shared" ca="1" si="2"/>
        <v>=F14*EXP(-$B$25*E14/$B$23)</v>
      </c>
      <c r="N14" s="75" t="s">
        <v>167</v>
      </c>
      <c r="O14" s="1" t="s">
        <v>168</v>
      </c>
    </row>
    <row r="15" spans="1:23" ht="20.5" x14ac:dyDescent="0.45">
      <c r="A15" s="1" t="s">
        <v>111</v>
      </c>
      <c r="B15" s="129">
        <f>B13*B14</f>
        <v>24</v>
      </c>
      <c r="C15" s="84" t="str">
        <f ca="1">_xlfn.FORMULATEXT(B15)</f>
        <v>=B13*B14</v>
      </c>
      <c r="E15" s="100">
        <f t="shared" si="4"/>
        <v>11</v>
      </c>
      <c r="F15" s="91">
        <f t="shared" si="0"/>
        <v>100</v>
      </c>
      <c r="G15" s="30">
        <f t="shared" si="5"/>
        <v>96.847110060202212</v>
      </c>
      <c r="H15" s="18" t="str">
        <f t="shared" ca="1" si="1"/>
        <v>=F15/(1+$B$12)^E15</v>
      </c>
      <c r="I15" s="34">
        <f t="shared" si="6"/>
        <v>96.847110060202212</v>
      </c>
      <c r="J15" s="18" t="str">
        <f t="shared" ca="1" si="2"/>
        <v>=PV($B$12,E15,,-F15)</v>
      </c>
      <c r="K15" s="211">
        <f t="shared" si="3"/>
        <v>96.847110060202212</v>
      </c>
      <c r="L15" s="18" t="str">
        <f t="shared" ca="1" si="2"/>
        <v>=F15*EXP(-$B$25*E15/$B$23)</v>
      </c>
    </row>
    <row r="16" spans="1:23" ht="20.5" x14ac:dyDescent="0.45">
      <c r="A16" s="145" t="s">
        <v>182</v>
      </c>
      <c r="E16" s="100">
        <f t="shared" si="4"/>
        <v>12</v>
      </c>
      <c r="F16" s="91">
        <f t="shared" si="0"/>
        <v>100</v>
      </c>
      <c r="G16" s="30">
        <f t="shared" si="5"/>
        <v>96.565460799536908</v>
      </c>
      <c r="H16" s="18" t="str">
        <f t="shared" ca="1" si="1"/>
        <v>=F16/(1+$B$12)^E16</v>
      </c>
      <c r="I16" s="34">
        <f t="shared" si="6"/>
        <v>96.565460799536908</v>
      </c>
      <c r="J16" s="18" t="str">
        <f t="shared" ca="1" si="2"/>
        <v>=PV($B$12,E16,,-F16)</v>
      </c>
      <c r="K16" s="211">
        <f t="shared" si="3"/>
        <v>96.565460799536893</v>
      </c>
      <c r="L16" s="18" t="str">
        <f t="shared" ca="1" si="2"/>
        <v>=F16*EXP(-$B$25*E16/$B$23)</v>
      </c>
    </row>
    <row r="17" spans="1:12" ht="20.5" x14ac:dyDescent="0.45">
      <c r="A17" s="1" t="s">
        <v>117</v>
      </c>
      <c r="B17" s="32">
        <f>PV($B$12,$B$15,-B10)</f>
        <v>2314.6689619649096</v>
      </c>
      <c r="C17" s="18" t="str">
        <f t="shared" ref="C17" ca="1" si="7">_xlfn.FORMULATEXT(B17)</f>
        <v>=PV($B$12,$B$15,-B10)</v>
      </c>
      <c r="E17" s="100">
        <f t="shared" si="4"/>
        <v>13</v>
      </c>
      <c r="F17" s="91">
        <f t="shared" si="0"/>
        <v>100</v>
      </c>
      <c r="G17" s="30">
        <f t="shared" si="5"/>
        <v>96.284630626875199</v>
      </c>
      <c r="H17" s="18" t="str">
        <f t="shared" ca="1" si="1"/>
        <v>=F17/(1+$B$12)^E17</v>
      </c>
      <c r="I17" s="34">
        <f t="shared" si="6"/>
        <v>96.284630626875199</v>
      </c>
      <c r="J17" s="18" t="str">
        <f t="shared" ca="1" si="2"/>
        <v>=PV($B$12,E17,,-F17)</v>
      </c>
      <c r="K17" s="211">
        <f t="shared" si="3"/>
        <v>96.284630626875185</v>
      </c>
      <c r="L17" s="18" t="str">
        <f t="shared" ca="1" si="2"/>
        <v>=F17*EXP(-$B$25*E17/$B$23)</v>
      </c>
    </row>
    <row r="18" spans="1:12" ht="20.5" x14ac:dyDescent="0.45">
      <c r="A18" s="1" t="s">
        <v>116</v>
      </c>
      <c r="B18" s="32">
        <f>NPV(B12,F5:F28)+F4</f>
        <v>2314.6689619649119</v>
      </c>
      <c r="C18" s="18" t="str">
        <f t="shared" ref="C18" ca="1" si="8">_xlfn.FORMULATEXT(B18)</f>
        <v>=NPV(B12,F5:F28)+F4</v>
      </c>
      <c r="E18" s="100">
        <f t="shared" si="4"/>
        <v>14</v>
      </c>
      <c r="F18" s="91">
        <f t="shared" si="0"/>
        <v>100</v>
      </c>
      <c r="G18" s="30">
        <f t="shared" si="5"/>
        <v>96.004617160158062</v>
      </c>
      <c r="H18" s="18" t="str">
        <f t="shared" ca="1" si="1"/>
        <v>=F18/(1+$B$12)^E18</v>
      </c>
      <c r="I18" s="34">
        <f t="shared" si="6"/>
        <v>96.004617160158062</v>
      </c>
      <c r="J18" s="18" t="str">
        <f t="shared" ca="1" si="2"/>
        <v>=PV($B$12,E18,,-F18)</v>
      </c>
      <c r="K18" s="211">
        <f t="shared" si="3"/>
        <v>96.004617160158062</v>
      </c>
      <c r="L18" s="18" t="str">
        <f t="shared" ca="1" si="2"/>
        <v>=F18*EXP(-$B$25*E18/$B$23)</v>
      </c>
    </row>
    <row r="19" spans="1:12" ht="20.5" x14ac:dyDescent="0.45">
      <c r="B19" s="190" t="b">
        <f>B18=B17</f>
        <v>1</v>
      </c>
      <c r="E19" s="100">
        <f t="shared" si="4"/>
        <v>15</v>
      </c>
      <c r="F19" s="91">
        <f t="shared" si="0"/>
        <v>100</v>
      </c>
      <c r="G19" s="30">
        <f t="shared" si="5"/>
        <v>95.725418024253969</v>
      </c>
      <c r="H19" s="18" t="str">
        <f t="shared" ca="1" si="1"/>
        <v>=F19/(1+$B$12)^E19</v>
      </c>
      <c r="I19" s="34">
        <f t="shared" si="6"/>
        <v>95.725418024253969</v>
      </c>
      <c r="J19" s="18" t="str">
        <f t="shared" ca="1" si="2"/>
        <v>=PV($B$12,E19,,-F19)</v>
      </c>
      <c r="K19" s="211">
        <f t="shared" si="3"/>
        <v>95.725418024253969</v>
      </c>
      <c r="L19" s="18" t="str">
        <f t="shared" ca="1" si="2"/>
        <v>=F19*EXP(-$B$25*E19/$B$23)</v>
      </c>
    </row>
    <row r="20" spans="1:12" ht="20.5" x14ac:dyDescent="0.45">
      <c r="E20" s="100">
        <f t="shared" si="4"/>
        <v>16</v>
      </c>
      <c r="F20" s="91">
        <f t="shared" si="0"/>
        <v>100</v>
      </c>
      <c r="G20" s="30">
        <f t="shared" si="5"/>
        <v>95.447030850938759</v>
      </c>
      <c r="H20" s="18" t="str">
        <f t="shared" ca="1" si="1"/>
        <v>=F20/(1+$B$12)^E20</v>
      </c>
      <c r="I20" s="34">
        <f t="shared" si="6"/>
        <v>95.447030850938759</v>
      </c>
      <c r="J20" s="18" t="str">
        <f t="shared" ca="1" si="2"/>
        <v>=PV($B$12,E20,,-F20)</v>
      </c>
      <c r="K20" s="211">
        <f t="shared" si="3"/>
        <v>95.447030850938745</v>
      </c>
      <c r="L20" s="18" t="str">
        <f t="shared" ca="1" si="2"/>
        <v>=F20*EXP(-$B$25*E20/$B$23)</v>
      </c>
    </row>
    <row r="21" spans="1:12" ht="20.5" x14ac:dyDescent="0.45">
      <c r="A21" s="89" t="s">
        <v>151</v>
      </c>
      <c r="B21" s="89"/>
      <c r="E21" s="100">
        <f t="shared" si="4"/>
        <v>17</v>
      </c>
      <c r="F21" s="91">
        <f t="shared" si="0"/>
        <v>100</v>
      </c>
      <c r="G21" s="30">
        <f t="shared" si="5"/>
        <v>95.16945327887538</v>
      </c>
      <c r="H21" s="18" t="str">
        <f t="shared" ca="1" si="1"/>
        <v>=F21/(1+$B$12)^E21</v>
      </c>
      <c r="I21" s="34">
        <f t="shared" si="6"/>
        <v>95.16945327887538</v>
      </c>
      <c r="J21" s="18" t="str">
        <f t="shared" ca="1" si="2"/>
        <v>=PV($B$12,E21,,-F21)</v>
      </c>
      <c r="K21" s="211">
        <f t="shared" si="3"/>
        <v>95.169453278875352</v>
      </c>
      <c r="L21" s="18" t="str">
        <f t="shared" ca="1" si="2"/>
        <v>=F21*EXP(-$B$25*E21/$B$23)</v>
      </c>
    </row>
    <row r="22" spans="1:12" ht="20.5" x14ac:dyDescent="0.45">
      <c r="A22" s="1" t="s">
        <v>143</v>
      </c>
      <c r="B22" s="28">
        <v>3.5000000000000003E-2</v>
      </c>
      <c r="E22" s="100">
        <f t="shared" si="4"/>
        <v>18</v>
      </c>
      <c r="F22" s="91">
        <f t="shared" si="0"/>
        <v>100</v>
      </c>
      <c r="G22" s="30">
        <f t="shared" si="5"/>
        <v>94.892682953594061</v>
      </c>
      <c r="H22" s="18" t="str">
        <f t="shared" ca="1" si="1"/>
        <v>=F22/(1+$B$12)^E22</v>
      </c>
      <c r="I22" s="34">
        <f t="shared" si="6"/>
        <v>94.892682953594061</v>
      </c>
      <c r="J22" s="18" t="str">
        <f t="shared" ca="1" si="2"/>
        <v>=PV($B$12,E22,,-F22)</v>
      </c>
      <c r="K22" s="211">
        <f t="shared" si="3"/>
        <v>94.892682953594033</v>
      </c>
      <c r="L22" s="18" t="str">
        <f t="shared" ca="1" si="2"/>
        <v>=F22*EXP(-$B$25*E22/$B$23)</v>
      </c>
    </row>
    <row r="23" spans="1:12" ht="20.5" x14ac:dyDescent="0.45">
      <c r="A23" s="1" t="s">
        <v>145</v>
      </c>
      <c r="B23" s="67">
        <v>12</v>
      </c>
      <c r="E23" s="100">
        <f t="shared" si="4"/>
        <v>19</v>
      </c>
      <c r="F23" s="91">
        <f t="shared" si="0"/>
        <v>100</v>
      </c>
      <c r="G23" s="30">
        <f t="shared" si="5"/>
        <v>94.616717527472247</v>
      </c>
      <c r="H23" s="18" t="str">
        <f t="shared" ca="1" si="1"/>
        <v>=F23/(1+$B$12)^E23</v>
      </c>
      <c r="I23" s="34">
        <f t="shared" si="6"/>
        <v>94.616717527472247</v>
      </c>
      <c r="J23" s="18" t="str">
        <f t="shared" ca="1" si="2"/>
        <v>=PV($B$12,E23,,-F23)</v>
      </c>
      <c r="K23" s="211">
        <f t="shared" si="3"/>
        <v>94.616717527472233</v>
      </c>
      <c r="L23" s="18" t="str">
        <f t="shared" ca="1" si="2"/>
        <v>=F23*EXP(-$B$25*E23/$B$23)</v>
      </c>
    </row>
    <row r="24" spans="1:12" ht="20.5" x14ac:dyDescent="0.45">
      <c r="A24" s="1" t="s">
        <v>152</v>
      </c>
      <c r="B24" s="10">
        <v>10</v>
      </c>
      <c r="E24" s="100">
        <f t="shared" si="4"/>
        <v>20</v>
      </c>
      <c r="F24" s="91">
        <f t="shared" si="0"/>
        <v>100</v>
      </c>
      <c r="G24" s="30">
        <f t="shared" si="5"/>
        <v>94.34155465971476</v>
      </c>
      <c r="H24" s="18" t="str">
        <f t="shared" ca="1" si="1"/>
        <v>=F24/(1+$B$12)^E24</v>
      </c>
      <c r="I24" s="34">
        <f t="shared" si="6"/>
        <v>94.34155465971476</v>
      </c>
      <c r="J24" s="18" t="str">
        <f t="shared" ca="1" si="2"/>
        <v>=PV($B$12,E24,,-F24)</v>
      </c>
      <c r="K24" s="211">
        <f t="shared" si="3"/>
        <v>94.341554659714731</v>
      </c>
      <c r="L24" s="18" t="str">
        <f t="shared" ca="1" si="2"/>
        <v>=F24*EXP(-$B$25*E24/$B$23)</v>
      </c>
    </row>
    <row r="25" spans="1:12" ht="20.5" x14ac:dyDescent="0.45">
      <c r="A25" s="144" t="s">
        <v>186</v>
      </c>
      <c r="B25" s="68">
        <f>B23*LN(1+B22/B23)</f>
        <v>3.4949057364419694E-2</v>
      </c>
      <c r="C25" s="18" t="str">
        <f t="shared" ref="C25" ca="1" si="9">_xlfn.FORMULATEXT(B25)</f>
        <v>=B23*LN(1+B22/B23)</v>
      </c>
      <c r="E25" s="100">
        <f t="shared" si="4"/>
        <v>21</v>
      </c>
      <c r="F25" s="91">
        <f t="shared" si="0"/>
        <v>100</v>
      </c>
      <c r="G25" s="30">
        <f t="shared" si="5"/>
        <v>94.067192016333777</v>
      </c>
      <c r="H25" s="18" t="str">
        <f t="shared" ca="1" si="1"/>
        <v>=F25/(1+$B$12)^E25</v>
      </c>
      <c r="I25" s="34">
        <f t="shared" si="6"/>
        <v>94.067192016333777</v>
      </c>
      <c r="J25" s="18" t="str">
        <f t="shared" ca="1" si="2"/>
        <v>=PV($B$12,E25,,-F25)</v>
      </c>
      <c r="K25" s="211">
        <f t="shared" si="3"/>
        <v>94.067192016333763</v>
      </c>
      <c r="L25" s="18" t="str">
        <f t="shared" ca="1" si="2"/>
        <v>=F25*EXP(-$B$25*E25/$B$23)</v>
      </c>
    </row>
    <row r="26" spans="1:12" ht="20.5" x14ac:dyDescent="0.45">
      <c r="E26" s="100">
        <f t="shared" si="4"/>
        <v>22</v>
      </c>
      <c r="F26" s="91">
        <f t="shared" si="0"/>
        <v>100</v>
      </c>
      <c r="G26" s="30">
        <f t="shared" si="5"/>
        <v>93.793627270129264</v>
      </c>
      <c r="H26" s="18" t="str">
        <f t="shared" ca="1" si="1"/>
        <v>=F26/(1+$B$12)^E26</v>
      </c>
      <c r="I26" s="34">
        <f t="shared" si="6"/>
        <v>93.793627270129264</v>
      </c>
      <c r="J26" s="18" t="str">
        <f t="shared" ca="1" si="2"/>
        <v>=PV($B$12,E26,,-F26)</v>
      </c>
      <c r="K26" s="211">
        <f t="shared" si="3"/>
        <v>93.793627270129207</v>
      </c>
      <c r="L26" s="18" t="str">
        <f t="shared" ca="1" si="2"/>
        <v>=F26*EXP(-$B$25*E26/$B$23)</v>
      </c>
    </row>
    <row r="27" spans="1:12" ht="20.5" x14ac:dyDescent="0.45">
      <c r="E27" s="100">
        <f t="shared" si="4"/>
        <v>23</v>
      </c>
      <c r="F27" s="91">
        <f t="shared" si="0"/>
        <v>100</v>
      </c>
      <c r="G27" s="30">
        <f t="shared" si="5"/>
        <v>93.520858100668946</v>
      </c>
      <c r="H27" s="18" t="str">
        <f t="shared" ref="H27" ca="1" si="10">_xlfn.FORMULATEXT(G27)</f>
        <v>=F27/(1+$B$12)^E27</v>
      </c>
      <c r="I27" s="34">
        <f t="shared" si="6"/>
        <v>93.520858100668946</v>
      </c>
      <c r="J27" s="18" t="str">
        <f t="shared" ref="J27" ca="1" si="11">_xlfn.FORMULATEXT(I27)</f>
        <v>=PV($B$12,E27,,-F27)</v>
      </c>
      <c r="K27" s="211">
        <f t="shared" si="3"/>
        <v>93.520858100668931</v>
      </c>
      <c r="L27" s="18" t="str">
        <f t="shared" ref="L27" ca="1" si="12">_xlfn.FORMULATEXT(K27)</f>
        <v>=F27*EXP(-$B$25*E27/$B$23)</v>
      </c>
    </row>
    <row r="28" spans="1:12" ht="21" thickBot="1" x14ac:dyDescent="0.5">
      <c r="E28" s="100">
        <f t="shared" si="4"/>
        <v>24</v>
      </c>
      <c r="F28" s="91">
        <f t="shared" si="0"/>
        <v>100</v>
      </c>
      <c r="G28" s="30">
        <f t="shared" si="5"/>
        <v>93.248882194269015</v>
      </c>
      <c r="H28" s="54" t="str">
        <f t="shared" ca="1" si="1"/>
        <v>=F28/(1+$B$12)^E28</v>
      </c>
      <c r="I28" s="34">
        <f t="shared" si="6"/>
        <v>93.248882194269015</v>
      </c>
      <c r="J28" s="54" t="str">
        <f t="shared" ca="1" si="2"/>
        <v>=PV($B$12,E28,,-F28)</v>
      </c>
      <c r="K28" s="211">
        <f t="shared" si="3"/>
        <v>93.248882194268973</v>
      </c>
      <c r="L28" s="54" t="str">
        <f t="shared" ca="1" si="2"/>
        <v>=F28*EXP(-$B$25*E28/$B$23)</v>
      </c>
    </row>
    <row r="29" spans="1:12" ht="21" thickTop="1" x14ac:dyDescent="0.45">
      <c r="A29" s="1" t="s">
        <v>155</v>
      </c>
      <c r="E29" s="130"/>
      <c r="F29" s="13" t="s">
        <v>114</v>
      </c>
      <c r="G29" s="30">
        <f>SUM(G5:G28)</f>
        <v>2314.6689619649128</v>
      </c>
      <c r="H29" s="18" t="str">
        <f ca="1">_xlfn.FORMULATEXT(G29)</f>
        <v>=SUM(G5:G28)</v>
      </c>
      <c r="I29" s="34">
        <f>SUM(I5:I28)</f>
        <v>2314.6689619649128</v>
      </c>
      <c r="J29" s="18" t="str">
        <f ca="1">_xlfn.FORMULATEXT(I29)</f>
        <v>=SUM(I5:I28)</v>
      </c>
      <c r="K29" s="32">
        <f>SUM(K4:K28)</f>
        <v>2314.6689619649128</v>
      </c>
      <c r="L29" s="18" t="str">
        <f ca="1">_xlfn.FORMULATEXT(K29)</f>
        <v>=SUM(K4:K28)</v>
      </c>
    </row>
    <row r="30" spans="1:12" ht="20.5" x14ac:dyDescent="0.45">
      <c r="A30" s="81"/>
      <c r="E30" s="11"/>
      <c r="F30" s="13"/>
      <c r="G30" s="30" t="b">
        <f>G29=B18</f>
        <v>1</v>
      </c>
      <c r="H30" s="18" t="str">
        <f ca="1">_xlfn.FORMULATEXT(G30)</f>
        <v>=G29=B18</v>
      </c>
      <c r="I30" s="34" t="b">
        <f>I29=B18</f>
        <v>1</v>
      </c>
      <c r="J30" s="18" t="str">
        <f ca="1">_xlfn.FORMULATEXT(I30)</f>
        <v>=I29=B18</v>
      </c>
      <c r="K30" s="18"/>
      <c r="L30" s="18"/>
    </row>
    <row r="31" spans="1:12" ht="20.5" x14ac:dyDescent="0.45">
      <c r="E31" s="11"/>
      <c r="F31" s="13"/>
      <c r="G31" s="13"/>
      <c r="H31" s="18"/>
      <c r="J31" s="18"/>
      <c r="K31" s="18"/>
      <c r="L31" s="18"/>
    </row>
    <row r="32" spans="1:12" ht="20.5" x14ac:dyDescent="0.45">
      <c r="A32" s="127" t="s">
        <v>120</v>
      </c>
      <c r="B32" s="127"/>
      <c r="E32" s="11"/>
      <c r="F32" s="13"/>
      <c r="G32" s="13"/>
      <c r="H32" s="18"/>
      <c r="J32" s="18"/>
      <c r="K32" s="18"/>
      <c r="L32" s="18"/>
    </row>
    <row r="33" spans="1:12" ht="20.5" x14ac:dyDescent="0.45">
      <c r="E33" s="9" t="s">
        <v>14</v>
      </c>
      <c r="F33" s="9" t="s">
        <v>66</v>
      </c>
      <c r="G33" s="9" t="s">
        <v>56</v>
      </c>
      <c r="H33" s="9" t="s">
        <v>39</v>
      </c>
      <c r="I33" s="55" t="s">
        <v>115</v>
      </c>
      <c r="J33" s="9" t="s">
        <v>39</v>
      </c>
      <c r="K33" s="18"/>
      <c r="L33" s="18"/>
    </row>
    <row r="34" spans="1:12" ht="20.5" x14ac:dyDescent="0.45">
      <c r="A34" s="1" t="s">
        <v>154</v>
      </c>
      <c r="E34" s="131">
        <f t="shared" ref="E34:E57" si="13">E4</f>
        <v>0</v>
      </c>
      <c r="F34" s="134">
        <v>0</v>
      </c>
      <c r="G34" s="30">
        <f>F34/(1+$B$39)^E34</f>
        <v>0</v>
      </c>
      <c r="H34" s="18" t="str">
        <f t="shared" ref="H34:J34" ca="1" si="14">_xlfn.FORMULATEXT(G34)</f>
        <v>=F34/(1+$B$39)^E34</v>
      </c>
      <c r="I34" s="34">
        <f>PV($B$39,E34,,-F34)</f>
        <v>0</v>
      </c>
      <c r="J34" s="18" t="str">
        <f t="shared" ca="1" si="14"/>
        <v>=PV($B$39,E34,,-F34)</v>
      </c>
      <c r="K34" s="18"/>
      <c r="L34" s="18"/>
    </row>
    <row r="35" spans="1:12" ht="20.5" x14ac:dyDescent="0.45">
      <c r="E35" s="131">
        <f t="shared" si="13"/>
        <v>1</v>
      </c>
      <c r="F35" s="133">
        <f>F34+10</f>
        <v>10</v>
      </c>
      <c r="G35" s="30">
        <f>F35/(1+$B$39)^E35</f>
        <v>9.9709181553801418</v>
      </c>
      <c r="H35" s="18" t="str">
        <f t="shared" ref="H35" ca="1" si="15">_xlfn.FORMULATEXT(G35)</f>
        <v>=F35/(1+$B$39)^E35</v>
      </c>
      <c r="I35" s="34">
        <f>PV($B$39,E35,,-F35)</f>
        <v>9.9709181553801418</v>
      </c>
      <c r="J35" s="18" t="str">
        <f t="shared" ref="J35" ca="1" si="16">_xlfn.FORMULATEXT(I35)</f>
        <v>=PV($B$39,E35,,-F35)</v>
      </c>
      <c r="K35" s="18"/>
      <c r="L35" s="18"/>
    </row>
    <row r="36" spans="1:12" ht="20.5" x14ac:dyDescent="0.45">
      <c r="A36" s="89" t="s">
        <v>70</v>
      </c>
      <c r="B36" s="88"/>
      <c r="E36" s="131">
        <f t="shared" si="13"/>
        <v>2</v>
      </c>
      <c r="F36" s="133">
        <f t="shared" ref="F36:F58" si="17">F35+10</f>
        <v>20</v>
      </c>
      <c r="G36" s="30">
        <f t="shared" ref="G36:G58" si="18">F36/(1+$B$39)^E36</f>
        <v>19.883841772257863</v>
      </c>
      <c r="H36" s="18" t="str">
        <f t="shared" ref="H36" ca="1" si="19">_xlfn.FORMULATEXT(G36)</f>
        <v>=F36/(1+$B$39)^E36</v>
      </c>
      <c r="I36" s="34">
        <f t="shared" ref="I36:I58" si="20">PV($B$39,E36,,-F36)</f>
        <v>19.883841772257863</v>
      </c>
      <c r="J36" s="18" t="str">
        <f t="shared" ref="J36" ca="1" si="21">_xlfn.FORMULATEXT(I36)</f>
        <v>=PV($B$39,E36,,-F36)</v>
      </c>
      <c r="K36" s="18"/>
      <c r="L36" s="18"/>
    </row>
    <row r="37" spans="1:12" ht="20.5" x14ac:dyDescent="0.45">
      <c r="A37" s="1" t="s">
        <v>112</v>
      </c>
      <c r="B37" s="27" t="s">
        <v>125</v>
      </c>
      <c r="E37" s="131">
        <f t="shared" si="13"/>
        <v>3</v>
      </c>
      <c r="F37" s="133">
        <f t="shared" si="17"/>
        <v>30</v>
      </c>
      <c r="G37" s="30">
        <f t="shared" si="18"/>
        <v>29.739023838856795</v>
      </c>
      <c r="H37" s="18" t="str">
        <f t="shared" ref="H37" ca="1" si="22">_xlfn.FORMULATEXT(G37)</f>
        <v>=F37/(1+$B$39)^E37</v>
      </c>
      <c r="I37" s="34">
        <f t="shared" si="20"/>
        <v>29.739023838856795</v>
      </c>
      <c r="J37" s="18" t="str">
        <f t="shared" ref="J37" ca="1" si="23">_xlfn.FORMULATEXT(I37)</f>
        <v>=PV($B$39,E37,,-F37)</v>
      </c>
      <c r="K37" s="18"/>
      <c r="L37" s="18"/>
    </row>
    <row r="38" spans="1:12" ht="20.5" x14ac:dyDescent="0.45">
      <c r="A38" s="1" t="s">
        <v>59</v>
      </c>
      <c r="B38" s="28">
        <v>3.5000000000000003E-2</v>
      </c>
      <c r="E38" s="131">
        <f t="shared" si="13"/>
        <v>4</v>
      </c>
      <c r="F38" s="133">
        <f t="shared" si="17"/>
        <v>40</v>
      </c>
      <c r="G38" s="30">
        <f t="shared" si="18"/>
        <v>39.536716362418673</v>
      </c>
      <c r="H38" s="18" t="str">
        <f t="shared" ref="H38" ca="1" si="24">_xlfn.FORMULATEXT(G38)</f>
        <v>=F38/(1+$B$39)^E38</v>
      </c>
      <c r="I38" s="34">
        <f t="shared" si="20"/>
        <v>39.536716362418673</v>
      </c>
      <c r="J38" s="18" t="str">
        <f t="shared" ref="J38" ca="1" si="25">_xlfn.FORMULATEXT(I38)</f>
        <v>=PV($B$39,E38,,-F38)</v>
      </c>
      <c r="K38" s="18"/>
      <c r="L38" s="18"/>
    </row>
    <row r="39" spans="1:12" ht="20.5" x14ac:dyDescent="0.45">
      <c r="A39" s="1" t="s">
        <v>113</v>
      </c>
      <c r="B39" s="128">
        <f>B38/12</f>
        <v>2.9166666666666668E-3</v>
      </c>
      <c r="E39" s="131">
        <f t="shared" si="13"/>
        <v>5</v>
      </c>
      <c r="F39" s="133">
        <f t="shared" si="17"/>
        <v>50</v>
      </c>
      <c r="G39" s="30">
        <f t="shared" si="18"/>
        <v>49.277170372769433</v>
      </c>
      <c r="H39" s="18" t="str">
        <f t="shared" ref="H39" ca="1" si="26">_xlfn.FORMULATEXT(G39)</f>
        <v>=F39/(1+$B$39)^E39</v>
      </c>
      <c r="I39" s="34">
        <f t="shared" si="20"/>
        <v>49.277170372769433</v>
      </c>
      <c r="J39" s="18" t="str">
        <f t="shared" ref="J39" ca="1" si="27">_xlfn.FORMULATEXT(I39)</f>
        <v>=PV($B$39,E39,,-F39)</v>
      </c>
      <c r="K39" s="18"/>
      <c r="L39" s="18"/>
    </row>
    <row r="40" spans="1:12" ht="20.5" x14ac:dyDescent="0.45">
      <c r="A40" s="1" t="s">
        <v>110</v>
      </c>
      <c r="B40" s="10">
        <v>2</v>
      </c>
      <c r="E40" s="131">
        <f t="shared" si="13"/>
        <v>6</v>
      </c>
      <c r="F40" s="133">
        <f t="shared" si="17"/>
        <v>60</v>
      </c>
      <c r="G40" s="30">
        <f t="shared" si="18"/>
        <v>58.960635925872865</v>
      </c>
      <c r="H40" s="18" t="str">
        <f t="shared" ref="H40" ca="1" si="28">_xlfn.FORMULATEXT(G40)</f>
        <v>=F40/(1+$B$39)^E40</v>
      </c>
      <c r="I40" s="34">
        <f t="shared" si="20"/>
        <v>58.960635925872865</v>
      </c>
      <c r="J40" s="18" t="str">
        <f t="shared" ref="J40" ca="1" si="29">_xlfn.FORMULATEXT(I40)</f>
        <v>=PV($B$39,E40,,-F40)</v>
      </c>
      <c r="K40" s="18"/>
      <c r="L40" s="18"/>
    </row>
    <row r="41" spans="1:12" ht="20.5" x14ac:dyDescent="0.45">
      <c r="A41" s="1" t="s">
        <v>60</v>
      </c>
      <c r="B41" s="10">
        <v>12</v>
      </c>
      <c r="E41" s="131">
        <f t="shared" si="13"/>
        <v>7</v>
      </c>
      <c r="F41" s="133">
        <f t="shared" si="17"/>
        <v>70</v>
      </c>
      <c r="G41" s="30">
        <f t="shared" si="18"/>
        <v>68.587362107371817</v>
      </c>
      <c r="H41" s="18" t="str">
        <f t="shared" ref="H41" ca="1" si="30">_xlfn.FORMULATEXT(G41)</f>
        <v>=F41/(1+$B$39)^E41</v>
      </c>
      <c r="I41" s="34">
        <f t="shared" si="20"/>
        <v>68.587362107371817</v>
      </c>
      <c r="J41" s="18" t="str">
        <f t="shared" ref="J41" ca="1" si="31">_xlfn.FORMULATEXT(I41)</f>
        <v>=PV($B$39,E41,,-F41)</v>
      </c>
      <c r="K41" s="18"/>
      <c r="L41" s="18"/>
    </row>
    <row r="42" spans="1:12" ht="20.5" x14ac:dyDescent="0.45">
      <c r="A42" s="1" t="s">
        <v>111</v>
      </c>
      <c r="B42" s="129">
        <f>B40*B41</f>
        <v>24</v>
      </c>
      <c r="E42" s="131">
        <f t="shared" si="13"/>
        <v>8</v>
      </c>
      <c r="F42" s="133">
        <f t="shared" si="17"/>
        <v>80</v>
      </c>
      <c r="G42" s="30">
        <f t="shared" si="18"/>
        <v>78.157597036117224</v>
      </c>
      <c r="H42" s="18" t="str">
        <f t="shared" ref="H42" ca="1" si="32">_xlfn.FORMULATEXT(G42)</f>
        <v>=F42/(1+$B$39)^E42</v>
      </c>
      <c r="I42" s="34">
        <f t="shared" si="20"/>
        <v>78.157597036117224</v>
      </c>
      <c r="J42" s="18" t="str">
        <f t="shared" ref="J42" ca="1" si="33">_xlfn.FORMULATEXT(I42)</f>
        <v>=PV($B$39,E42,,-F42)</v>
      </c>
      <c r="K42" s="18"/>
      <c r="L42" s="18"/>
    </row>
    <row r="43" spans="1:12" ht="20.5" x14ac:dyDescent="0.45">
      <c r="A43" s="144" t="s">
        <v>188</v>
      </c>
      <c r="B43" s="174">
        <v>10</v>
      </c>
      <c r="E43" s="131">
        <f t="shared" si="13"/>
        <v>9</v>
      </c>
      <c r="F43" s="133">
        <f t="shared" si="17"/>
        <v>90</v>
      </c>
      <c r="G43" s="30">
        <f t="shared" si="18"/>
        <v>87.671587867684451</v>
      </c>
      <c r="H43" s="18" t="str">
        <f t="shared" ref="H43" ca="1" si="34">_xlfn.FORMULATEXT(G43)</f>
        <v>=F43/(1+$B$39)^E43</v>
      </c>
      <c r="I43" s="34">
        <f t="shared" si="20"/>
        <v>87.671587867684451</v>
      </c>
      <c r="J43" s="18" t="str">
        <f t="shared" ref="J43" ca="1" si="35">_xlfn.FORMULATEXT(I43)</f>
        <v>=PV($B$39,E43,,-F43)</v>
      </c>
      <c r="K43" s="18"/>
      <c r="L43" s="18"/>
    </row>
    <row r="44" spans="1:12" ht="20.5" x14ac:dyDescent="0.45">
      <c r="A44" s="145" t="s">
        <v>182</v>
      </c>
      <c r="E44" s="131">
        <f t="shared" si="13"/>
        <v>10</v>
      </c>
      <c r="F44" s="133">
        <f t="shared" si="17"/>
        <v>100</v>
      </c>
      <c r="G44" s="30">
        <f t="shared" si="18"/>
        <v>97.129580797877807</v>
      </c>
      <c r="H44" s="18" t="str">
        <f t="shared" ref="H44" ca="1" si="36">_xlfn.FORMULATEXT(G44)</f>
        <v>=F44/(1+$B$39)^E44</v>
      </c>
      <c r="I44" s="34">
        <f t="shared" si="20"/>
        <v>97.129580797877807</v>
      </c>
      <c r="J44" s="18" t="str">
        <f t="shared" ref="J44" ca="1" si="37">_xlfn.FORMULATEXT(I44)</f>
        <v>=PV($B$39,E44,,-F44)</v>
      </c>
      <c r="K44" s="18"/>
      <c r="L44" s="18"/>
    </row>
    <row r="45" spans="1:12" ht="20.5" x14ac:dyDescent="0.45">
      <c r="A45" s="1" t="s">
        <v>121</v>
      </c>
      <c r="E45" s="131">
        <f t="shared" si="13"/>
        <v>11</v>
      </c>
      <c r="F45" s="133">
        <f t="shared" si="17"/>
        <v>110</v>
      </c>
      <c r="G45" s="30">
        <f t="shared" si="18"/>
        <v>106.53182106622243</v>
      </c>
      <c r="H45" s="18" t="str">
        <f t="shared" ref="H45" ca="1" si="38">_xlfn.FORMULATEXT(G45)</f>
        <v>=F45/(1+$B$39)^E45</v>
      </c>
      <c r="I45" s="34">
        <f>PV($B$39,E45,,-F45)</f>
        <v>106.53182106622243</v>
      </c>
      <c r="J45" s="18" t="str">
        <f t="shared" ref="J45" ca="1" si="39">_xlfn.FORMULATEXT(I45)</f>
        <v>=PV($B$39,E45,,-F45)</v>
      </c>
      <c r="K45" s="18"/>
      <c r="L45" s="18"/>
    </row>
    <row r="46" spans="1:12" ht="20.5" x14ac:dyDescent="0.45">
      <c r="A46" s="1" t="s">
        <v>122</v>
      </c>
      <c r="E46" s="131">
        <f t="shared" si="13"/>
        <v>12</v>
      </c>
      <c r="F46" s="133">
        <f t="shared" si="17"/>
        <v>120</v>
      </c>
      <c r="G46" s="30">
        <f t="shared" si="18"/>
        <v>115.87855295944429</v>
      </c>
      <c r="H46" s="18" t="str">
        <f t="shared" ref="H46" ca="1" si="40">_xlfn.FORMULATEXT(G46)</f>
        <v>=F46/(1+$B$39)^E46</v>
      </c>
      <c r="I46" s="34">
        <f t="shared" si="20"/>
        <v>115.87855295944429</v>
      </c>
      <c r="J46" s="18" t="str">
        <f t="shared" ref="J46" ca="1" si="41">_xlfn.FORMULATEXT(I46)</f>
        <v>=PV($B$39,E46,,-F46)</v>
      </c>
      <c r="K46" s="18"/>
      <c r="L46" s="18"/>
    </row>
    <row r="47" spans="1:12" ht="20.5" x14ac:dyDescent="0.45">
      <c r="A47" s="1" t="s">
        <v>123</v>
      </c>
      <c r="E47" s="131">
        <f t="shared" si="13"/>
        <v>13</v>
      </c>
      <c r="F47" s="133">
        <f t="shared" si="17"/>
        <v>130</v>
      </c>
      <c r="G47" s="30">
        <f t="shared" si="18"/>
        <v>125.17001981493775</v>
      </c>
      <c r="H47" s="18" t="str">
        <f t="shared" ref="H47" ca="1" si="42">_xlfn.FORMULATEXT(G47)</f>
        <v>=F47/(1+$B$39)^E47</v>
      </c>
      <c r="I47" s="34">
        <f t="shared" si="20"/>
        <v>125.17001981493775</v>
      </c>
      <c r="J47" s="18" t="str">
        <f t="shared" ref="J47" ca="1" si="43">_xlfn.FORMULATEXT(I47)</f>
        <v>=PV($B$39,E47,,-F47)</v>
      </c>
      <c r="K47" s="18"/>
      <c r="L47" s="18"/>
    </row>
    <row r="48" spans="1:12" ht="20.5" x14ac:dyDescent="0.45">
      <c r="E48" s="131">
        <f t="shared" si="13"/>
        <v>14</v>
      </c>
      <c r="F48" s="133">
        <f t="shared" si="17"/>
        <v>140</v>
      </c>
      <c r="G48" s="30">
        <f t="shared" si="18"/>
        <v>134.40646402422129</v>
      </c>
      <c r="H48" s="18" t="str">
        <f t="shared" ref="H48" ca="1" si="44">_xlfn.FORMULATEXT(G48)</f>
        <v>=F48/(1+$B$39)^E48</v>
      </c>
      <c r="I48" s="34">
        <f t="shared" si="20"/>
        <v>134.40646402422129</v>
      </c>
      <c r="J48" s="18" t="str">
        <f t="shared" ref="J48" ca="1" si="45">_xlfn.FORMULATEXT(I48)</f>
        <v>=PV($B$39,E48,,-F48)</v>
      </c>
      <c r="K48" s="18"/>
      <c r="L48" s="18"/>
    </row>
    <row r="49" spans="1:12" ht="20.5" x14ac:dyDescent="0.45">
      <c r="A49" s="1" t="s">
        <v>124</v>
      </c>
      <c r="B49" s="32">
        <f>NPV($B$39,F35:F58)+F34</f>
        <v>2861.0368151378684</v>
      </c>
      <c r="C49" s="18" t="str">
        <f t="shared" ref="C49" ca="1" si="46">_xlfn.FORMULATEXT(B49)</f>
        <v>=NPV($B$39,F35:F58)+F34</v>
      </c>
      <c r="E49" s="131">
        <f t="shared" si="13"/>
        <v>15</v>
      </c>
      <c r="F49" s="133">
        <f t="shared" si="17"/>
        <v>150</v>
      </c>
      <c r="G49" s="30">
        <f t="shared" si="18"/>
        <v>143.58812703638094</v>
      </c>
      <c r="H49" s="18" t="str">
        <f t="shared" ref="H49" ca="1" si="47">_xlfn.FORMULATEXT(G49)</f>
        <v>=F49/(1+$B$39)^E49</v>
      </c>
      <c r="I49" s="34">
        <f t="shared" si="20"/>
        <v>143.58812703638094</v>
      </c>
      <c r="J49" s="18" t="str">
        <f t="shared" ref="J49" ca="1" si="48">_xlfn.FORMULATEXT(I49)</f>
        <v>=PV($B$39,E49,,-F49)</v>
      </c>
      <c r="K49" s="18"/>
      <c r="L49" s="18"/>
    </row>
    <row r="50" spans="1:12" ht="20.5" x14ac:dyDescent="0.45">
      <c r="E50" s="131">
        <f t="shared" si="13"/>
        <v>16</v>
      </c>
      <c r="F50" s="133">
        <f t="shared" si="17"/>
        <v>160</v>
      </c>
      <c r="G50" s="30">
        <f t="shared" si="18"/>
        <v>152.715249361502</v>
      </c>
      <c r="H50" s="18" t="str">
        <f t="shared" ref="H50" ca="1" si="49">_xlfn.FORMULATEXT(G50)</f>
        <v>=F50/(1+$B$39)^E50</v>
      </c>
      <c r="I50" s="34">
        <f t="shared" si="20"/>
        <v>152.715249361502</v>
      </c>
      <c r="J50" s="18" t="str">
        <f t="shared" ref="J50" ca="1" si="50">_xlfn.FORMULATEXT(I50)</f>
        <v>=PV($B$39,E50,,-F50)</v>
      </c>
      <c r="K50" s="18"/>
      <c r="L50" s="18"/>
    </row>
    <row r="51" spans="1:12" ht="20.5" x14ac:dyDescent="0.45">
      <c r="E51" s="131">
        <f t="shared" si="13"/>
        <v>17</v>
      </c>
      <c r="F51" s="133">
        <f t="shared" si="17"/>
        <v>170</v>
      </c>
      <c r="G51" s="30">
        <f t="shared" si="18"/>
        <v>161.78807057408815</v>
      </c>
      <c r="H51" s="18" t="str">
        <f t="shared" ref="H51" ca="1" si="51">_xlfn.FORMULATEXT(G51)</f>
        <v>=F51/(1+$B$39)^E51</v>
      </c>
      <c r="I51" s="34">
        <f t="shared" si="20"/>
        <v>161.78807057408815</v>
      </c>
      <c r="J51" s="18" t="str">
        <f t="shared" ref="J51" ca="1" si="52">_xlfn.FORMULATEXT(I51)</f>
        <v>=PV($B$39,E51,,-F51)</v>
      </c>
      <c r="K51" s="18"/>
      <c r="L51" s="18"/>
    </row>
    <row r="52" spans="1:12" ht="20.5" x14ac:dyDescent="0.45">
      <c r="E52" s="131">
        <f t="shared" si="13"/>
        <v>18</v>
      </c>
      <c r="F52" s="133">
        <f t="shared" si="17"/>
        <v>180</v>
      </c>
      <c r="G52" s="30">
        <f t="shared" si="18"/>
        <v>170.8068293164693</v>
      </c>
      <c r="H52" s="18" t="str">
        <f t="shared" ref="H52" ca="1" si="53">_xlfn.FORMULATEXT(G52)</f>
        <v>=F52/(1+$B$39)^E52</v>
      </c>
      <c r="I52" s="34">
        <f t="shared" si="20"/>
        <v>170.8068293164693</v>
      </c>
      <c r="J52" s="18" t="str">
        <f t="shared" ref="J52" ca="1" si="54">_xlfn.FORMULATEXT(I52)</f>
        <v>=PV($B$39,E52,,-F52)</v>
      </c>
      <c r="K52" s="18"/>
      <c r="L52" s="18"/>
    </row>
    <row r="53" spans="1:12" ht="20.5" x14ac:dyDescent="0.45">
      <c r="E53" s="131">
        <f t="shared" si="13"/>
        <v>19</v>
      </c>
      <c r="F53" s="133">
        <f t="shared" si="17"/>
        <v>190</v>
      </c>
      <c r="G53" s="30">
        <f t="shared" si="18"/>
        <v>179.77176330219729</v>
      </c>
      <c r="H53" s="18" t="str">
        <f t="shared" ref="H53" ca="1" si="55">_xlfn.FORMULATEXT(G53)</f>
        <v>=F53/(1+$B$39)^E53</v>
      </c>
      <c r="I53" s="34">
        <f t="shared" si="20"/>
        <v>179.77176330219729</v>
      </c>
      <c r="J53" s="18" t="str">
        <f t="shared" ref="J53" ca="1" si="56">_xlfn.FORMULATEXT(I53)</f>
        <v>=PV($B$39,E53,,-F53)</v>
      </c>
      <c r="K53" s="18"/>
      <c r="L53" s="18"/>
    </row>
    <row r="54" spans="1:12" ht="20.5" x14ac:dyDescent="0.45">
      <c r="E54" s="131">
        <f t="shared" si="13"/>
        <v>20</v>
      </c>
      <c r="F54" s="133">
        <f t="shared" si="17"/>
        <v>200</v>
      </c>
      <c r="G54" s="30">
        <f t="shared" si="18"/>
        <v>188.68310931942952</v>
      </c>
      <c r="H54" s="18" t="str">
        <f t="shared" ref="H54" ca="1" si="57">_xlfn.FORMULATEXT(G54)</f>
        <v>=F54/(1+$B$39)^E54</v>
      </c>
      <c r="I54" s="34">
        <f t="shared" si="20"/>
        <v>188.68310931942952</v>
      </c>
      <c r="J54" s="18" t="str">
        <f t="shared" ref="J54" ca="1" si="58">_xlfn.FORMULATEXT(I54)</f>
        <v>=PV($B$39,E54,,-F54)</v>
      </c>
      <c r="K54" s="18"/>
      <c r="L54" s="18"/>
    </row>
    <row r="55" spans="1:12" ht="20.5" x14ac:dyDescent="0.45">
      <c r="E55" s="131">
        <f t="shared" si="13"/>
        <v>21</v>
      </c>
      <c r="F55" s="133">
        <f t="shared" si="17"/>
        <v>210</v>
      </c>
      <c r="G55" s="30">
        <f t="shared" si="18"/>
        <v>197.54110323430095</v>
      </c>
      <c r="H55" s="18" t="str">
        <f t="shared" ref="H55" ca="1" si="59">_xlfn.FORMULATEXT(G55)</f>
        <v>=F55/(1+$B$39)^E55</v>
      </c>
      <c r="I55" s="34">
        <f t="shared" si="20"/>
        <v>197.54110323430095</v>
      </c>
      <c r="J55" s="18" t="str">
        <f t="shared" ref="J55" ca="1" si="60">_xlfn.FORMULATEXT(I55)</f>
        <v>=PV($B$39,E55,,-F55)</v>
      </c>
      <c r="K55" s="18"/>
      <c r="L55" s="18"/>
    </row>
    <row r="56" spans="1:12" ht="20.5" x14ac:dyDescent="0.45">
      <c r="E56" s="131">
        <f t="shared" si="13"/>
        <v>22</v>
      </c>
      <c r="F56" s="133">
        <f t="shared" si="17"/>
        <v>220</v>
      </c>
      <c r="G56" s="30">
        <f t="shared" si="18"/>
        <v>206.34597999428436</v>
      </c>
      <c r="H56" s="18" t="str">
        <f t="shared" ref="H56" ca="1" si="61">_xlfn.FORMULATEXT(G56)</f>
        <v>=F56/(1+$B$39)^E56</v>
      </c>
      <c r="I56" s="34">
        <f t="shared" si="20"/>
        <v>206.34597999428436</v>
      </c>
      <c r="J56" s="18" t="str">
        <f t="shared" ref="J56" ca="1" si="62">_xlfn.FORMULATEXT(I56)</f>
        <v>=PV($B$39,E56,,-F56)</v>
      </c>
      <c r="K56" s="18"/>
      <c r="L56" s="18"/>
    </row>
    <row r="57" spans="1:12" ht="20.5" x14ac:dyDescent="0.45">
      <c r="E57" s="131">
        <f t="shared" si="13"/>
        <v>23</v>
      </c>
      <c r="F57" s="133">
        <f t="shared" si="17"/>
        <v>230</v>
      </c>
      <c r="G57" s="30">
        <f t="shared" si="18"/>
        <v>215.09797363153857</v>
      </c>
      <c r="H57" s="18" t="str">
        <f t="shared" ref="H57" ca="1" si="63">_xlfn.FORMULATEXT(G57)</f>
        <v>=F57/(1+$B$39)^E57</v>
      </c>
      <c r="I57" s="34">
        <f t="shared" si="20"/>
        <v>215.09797363153857</v>
      </c>
      <c r="J57" s="18" t="str">
        <f t="shared" ref="J57" ca="1" si="64">_xlfn.FORMULATEXT(I57)</f>
        <v>=PV($B$39,E57,,-F57)</v>
      </c>
      <c r="K57" s="18"/>
      <c r="L57" s="18"/>
    </row>
    <row r="58" spans="1:12" ht="21" thickBot="1" x14ac:dyDescent="0.5">
      <c r="E58" s="132">
        <f t="shared" ref="E58" si="65">E28</f>
        <v>24</v>
      </c>
      <c r="F58" s="133">
        <f t="shared" si="17"/>
        <v>240</v>
      </c>
      <c r="G58" s="30">
        <f t="shared" si="18"/>
        <v>223.79731726624564</v>
      </c>
      <c r="H58" s="54" t="str">
        <f t="shared" ref="H58" ca="1" si="66">_xlfn.FORMULATEXT(G58)</f>
        <v>=F58/(1+$B$39)^E58</v>
      </c>
      <c r="I58" s="34">
        <f t="shared" si="20"/>
        <v>223.79731726624564</v>
      </c>
      <c r="J58" s="54" t="str">
        <f t="shared" ref="J58" ca="1" si="67">_xlfn.FORMULATEXT(I58)</f>
        <v>=PV($B$39,E58,,-F58)</v>
      </c>
      <c r="K58" s="24"/>
      <c r="L58" s="24"/>
    </row>
    <row r="59" spans="1:12" ht="21" thickTop="1" x14ac:dyDescent="0.45">
      <c r="F59" s="135" t="s">
        <v>114</v>
      </c>
      <c r="G59" s="30">
        <f>SUM(G34:G58)</f>
        <v>2861.0368151378693</v>
      </c>
      <c r="H59" s="18" t="str">
        <f ca="1">_xlfn.FORMULATEXT(G59)</f>
        <v>=SUM(G34:G58)</v>
      </c>
      <c r="I59" s="32">
        <f>SUM(I34:I58)</f>
        <v>2861.0368151378693</v>
      </c>
      <c r="J59" s="18" t="str">
        <f ca="1">_xlfn.FORMULATEXT(I59)</f>
        <v>=SUM(I34:I58)</v>
      </c>
      <c r="K59" s="18"/>
      <c r="L59" s="18"/>
    </row>
    <row r="60" spans="1:12" x14ac:dyDescent="0.4">
      <c r="G60" s="190" t="b">
        <f>G59=B49</f>
        <v>1</v>
      </c>
      <c r="H60" s="84" t="str">
        <f ca="1">_xlfn.FORMULATEXT(G60)</f>
        <v>=G59=B49</v>
      </c>
      <c r="I60" s="190" t="b">
        <f>I59=B49</f>
        <v>1</v>
      </c>
      <c r="J60" s="84" t="str">
        <f ca="1">_xlfn.FORMULATEXT(I60)</f>
        <v>=I59=B49</v>
      </c>
    </row>
  </sheetData>
  <pageMargins left="0.25" right="0.25" top="0.75" bottom="0.75" header="0.3" footer="0.3"/>
  <pageSetup scale="25" orientation="landscape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61DB-A900-45DE-B3F6-205F217CFA6E}">
  <sheetPr>
    <pageSetUpPr fitToPage="1"/>
  </sheetPr>
  <dimension ref="A1:AI147"/>
  <sheetViews>
    <sheetView showGridLines="0" tabSelected="1" zoomScale="48" zoomScaleNormal="60" workbookViewId="0">
      <selection activeCell="C142" sqref="C142"/>
    </sheetView>
  </sheetViews>
  <sheetFormatPr defaultColWidth="9.1484375" defaultRowHeight="20" x14ac:dyDescent="0.4"/>
  <cols>
    <col min="1" max="1" width="24.34765625" style="1" customWidth="1"/>
    <col min="2" max="2" width="12.296875" style="1" customWidth="1"/>
    <col min="3" max="3" width="13.69921875" style="1" customWidth="1"/>
    <col min="4" max="4" width="14.5" style="1" bestFit="1" customWidth="1"/>
    <col min="5" max="5" width="12.69921875" style="1" customWidth="1"/>
    <col min="6" max="6" width="20.19921875" style="1" customWidth="1"/>
    <col min="7" max="7" width="29.3984375" style="1" bestFit="1" customWidth="1"/>
    <col min="8" max="8" width="39" style="1" customWidth="1"/>
    <col min="9" max="10" width="10.19921875" style="1" customWidth="1"/>
    <col min="11" max="12" width="9.1484375" style="1"/>
    <col min="13" max="13" width="9.1484375" style="1" customWidth="1"/>
    <col min="14" max="19" width="9.1484375" style="1"/>
    <col min="20" max="20" width="10.19921875" style="1" bestFit="1" customWidth="1"/>
    <col min="21" max="22" width="9.1484375" style="1"/>
    <col min="23" max="23" width="16.046875" style="1" customWidth="1"/>
    <col min="24" max="24" width="16.69921875" style="1" customWidth="1"/>
    <col min="25" max="25" width="22.3984375" style="1" customWidth="1"/>
    <col min="26" max="27" width="16.69921875" style="1" customWidth="1"/>
    <col min="28" max="28" width="22.44921875" style="1" customWidth="1"/>
    <col min="29" max="29" width="14.6484375" style="1" customWidth="1"/>
    <col min="30" max="30" width="15.6484375" style="12" customWidth="1"/>
    <col min="31" max="31" width="19" style="1" customWidth="1"/>
    <col min="32" max="32" width="15.6484375" style="1" customWidth="1"/>
    <col min="33" max="33" width="10.296875" style="1" bestFit="1" customWidth="1"/>
    <col min="34" max="16384" width="9.1484375" style="1"/>
  </cols>
  <sheetData>
    <row r="1" spans="1:35" ht="25" x14ac:dyDescent="0.5">
      <c r="A1" s="73" t="s">
        <v>0</v>
      </c>
      <c r="B1" s="25"/>
      <c r="C1" s="25"/>
      <c r="D1" s="3"/>
      <c r="E1" s="2"/>
      <c r="F1" s="2"/>
      <c r="G1" s="2"/>
      <c r="H1" s="2"/>
      <c r="I1" s="2"/>
    </row>
    <row r="2" spans="1:35" ht="25" x14ac:dyDescent="0.5">
      <c r="A2" s="73" t="s">
        <v>29</v>
      </c>
      <c r="B2" s="25"/>
      <c r="C2" s="25"/>
      <c r="D2" s="3"/>
      <c r="E2" s="2"/>
      <c r="F2" s="2"/>
      <c r="G2" s="2"/>
      <c r="H2" s="2"/>
      <c r="I2" s="2"/>
    </row>
    <row r="3" spans="1:35" ht="20.5" x14ac:dyDescent="0.45">
      <c r="A3" s="81"/>
      <c r="E3" s="2"/>
    </row>
    <row r="4" spans="1:35" ht="20.5" x14ac:dyDescent="0.45">
      <c r="A4" s="88" t="s">
        <v>7</v>
      </c>
      <c r="B4" s="88"/>
      <c r="C4" s="88"/>
      <c r="E4" s="2"/>
      <c r="F4" s="89" t="s">
        <v>33</v>
      </c>
      <c r="G4" s="89"/>
      <c r="H4" s="89"/>
      <c r="J4" s="89" t="s">
        <v>11</v>
      </c>
      <c r="K4" s="89"/>
      <c r="L4" s="89"/>
      <c r="M4" s="89"/>
      <c r="N4" s="89"/>
      <c r="O4" s="89"/>
      <c r="P4" s="89"/>
      <c r="Q4" s="89"/>
      <c r="S4" s="85" t="s">
        <v>100</v>
      </c>
      <c r="T4" s="85"/>
      <c r="U4" s="85"/>
      <c r="V4" s="85"/>
      <c r="W4" s="85"/>
      <c r="X4" s="85"/>
      <c r="Y4" s="85"/>
      <c r="Z4" s="85"/>
      <c r="AA4" s="85"/>
      <c r="AB4" s="85"/>
      <c r="AC4" s="85"/>
      <c r="AD4" s="166"/>
      <c r="AE4" s="85"/>
      <c r="AF4" s="85"/>
      <c r="AG4" s="85"/>
      <c r="AH4" s="85"/>
      <c r="AI4" s="85"/>
    </row>
    <row r="5" spans="1:35" ht="26" x14ac:dyDescent="0.6">
      <c r="A5" s="1" t="s">
        <v>1</v>
      </c>
      <c r="B5" s="26">
        <v>3.125E-2</v>
      </c>
      <c r="C5" s="5"/>
      <c r="F5" s="144" t="s">
        <v>191</v>
      </c>
      <c r="G5" s="69">
        <f>EFFECT(B5,B14)</f>
        <v>3.1701499346450168E-2</v>
      </c>
      <c r="H5" s="18" t="str">
        <f t="shared" ref="H5:H12" ca="1" si="0">_xlfn.FORMULATEXT(G5)</f>
        <v>=EFFECT(B5,B14)</v>
      </c>
      <c r="J5" s="1" t="s">
        <v>49</v>
      </c>
      <c r="S5" s="77" t="s">
        <v>156</v>
      </c>
      <c r="T5" s="1" t="s">
        <v>159</v>
      </c>
      <c r="U5"/>
      <c r="V5"/>
      <c r="W5"/>
      <c r="X5"/>
      <c r="Y5"/>
      <c r="Z5"/>
      <c r="AA5"/>
      <c r="AB5"/>
      <c r="AC5"/>
      <c r="AD5" s="167"/>
      <c r="AE5"/>
    </row>
    <row r="6" spans="1:35" ht="26" x14ac:dyDescent="0.6">
      <c r="A6" s="1" t="s">
        <v>6</v>
      </c>
      <c r="B6" s="26">
        <v>0.04</v>
      </c>
      <c r="C6" s="5"/>
      <c r="D6" s="5"/>
      <c r="F6" s="1" t="s">
        <v>34</v>
      </c>
      <c r="G6" s="137">
        <f>C142</f>
        <v>7.9980136631989218E-2</v>
      </c>
      <c r="H6" s="18" t="str">
        <f t="shared" ca="1" si="0"/>
        <v>=C142</v>
      </c>
      <c r="J6" s="1" t="s">
        <v>12</v>
      </c>
      <c r="S6" s="77" t="s">
        <v>101</v>
      </c>
      <c r="T6" s="1" t="s">
        <v>164</v>
      </c>
      <c r="U6"/>
      <c r="V6"/>
      <c r="W6"/>
      <c r="X6"/>
      <c r="Y6"/>
      <c r="Z6"/>
      <c r="AA6"/>
      <c r="AB6"/>
      <c r="AC6"/>
      <c r="AD6" s="167"/>
      <c r="AE6"/>
    </row>
    <row r="7" spans="1:35" ht="26" x14ac:dyDescent="0.6">
      <c r="B7" s="26"/>
      <c r="C7" s="5"/>
      <c r="D7" s="5"/>
      <c r="F7" s="1" t="s">
        <v>43</v>
      </c>
      <c r="G7" s="69">
        <f>(F141/-E141)^(1/B140)-1</f>
        <v>5.5573607849255247E-3</v>
      </c>
      <c r="H7" s="18" t="str">
        <f t="shared" ca="1" si="0"/>
        <v>=(F141/-E141)^(1/B140)-1</v>
      </c>
      <c r="S7" s="77" t="s">
        <v>171</v>
      </c>
      <c r="T7" s="1" t="s">
        <v>172</v>
      </c>
      <c r="U7"/>
      <c r="V7"/>
      <c r="W7"/>
      <c r="X7"/>
      <c r="Y7"/>
      <c r="Z7"/>
      <c r="AA7"/>
      <c r="AB7"/>
      <c r="AC7"/>
      <c r="AD7" s="167"/>
      <c r="AE7"/>
    </row>
    <row r="8" spans="1:35" ht="20.5" x14ac:dyDescent="0.45">
      <c r="A8" s="88" t="s">
        <v>47</v>
      </c>
      <c r="B8" s="88"/>
      <c r="C8" s="88"/>
      <c r="F8" s="1" t="s">
        <v>44</v>
      </c>
      <c r="G8" s="70">
        <f>MIRR(C19:C140,$B$5/$B$14,$B$6/$B$14)</f>
        <v>5.5573607849255247E-3</v>
      </c>
      <c r="H8" s="18" t="str">
        <f t="shared" ca="1" si="0"/>
        <v>=MIRR(C19:C140,$B$5/$B$14,$B$6/$B$14)</v>
      </c>
      <c r="I8" s="190" t="b">
        <f>G8=G7</f>
        <v>1</v>
      </c>
      <c r="J8" s="1" t="s">
        <v>229</v>
      </c>
      <c r="S8" s="74" t="s">
        <v>34</v>
      </c>
      <c r="T8" s="1" t="s">
        <v>173</v>
      </c>
    </row>
    <row r="9" spans="1:35" ht="20.5" x14ac:dyDescent="0.45">
      <c r="A9" s="1" t="s">
        <v>2</v>
      </c>
      <c r="B9" s="7">
        <v>-250000</v>
      </c>
      <c r="C9" s="7"/>
      <c r="D9" s="7"/>
      <c r="F9" s="1" t="s">
        <v>46</v>
      </c>
      <c r="G9" s="69">
        <f>(1+G7)^($B$14)-1</f>
        <v>6.8764926574468754E-2</v>
      </c>
      <c r="H9" s="18" t="str">
        <f t="shared" ca="1" si="0"/>
        <v>=(1+G7)^($B$14)-1</v>
      </c>
      <c r="S9" s="77" t="s">
        <v>170</v>
      </c>
      <c r="T9" s="1" t="s">
        <v>174</v>
      </c>
    </row>
    <row r="10" spans="1:35" ht="20.5" x14ac:dyDescent="0.45">
      <c r="A10" s="1" t="s">
        <v>10</v>
      </c>
      <c r="B10" s="7">
        <v>265000</v>
      </c>
      <c r="C10" s="18"/>
      <c r="D10" s="18"/>
      <c r="F10" s="1" t="s">
        <v>45</v>
      </c>
      <c r="G10" s="69">
        <f>(1+G8)^($B$14)-1</f>
        <v>6.8764926574468754E-2</v>
      </c>
      <c r="H10" s="18" t="str">
        <f t="shared" ca="1" si="0"/>
        <v>=(1+G8)^($B$14)-1</v>
      </c>
      <c r="I10" s="190" t="b">
        <f>G10=G9</f>
        <v>1</v>
      </c>
      <c r="S10" s="77" t="s">
        <v>102</v>
      </c>
      <c r="T10" s="1" t="s">
        <v>166</v>
      </c>
    </row>
    <row r="11" spans="1:35" ht="20.5" x14ac:dyDescent="0.45">
      <c r="A11" s="1" t="s">
        <v>3</v>
      </c>
      <c r="B11" s="7">
        <v>1750</v>
      </c>
      <c r="C11" s="7"/>
      <c r="D11" s="7"/>
      <c r="F11" s="1" t="s">
        <v>35</v>
      </c>
      <c r="G11" s="141">
        <f>PV($B$5/$B$14,B19,,-B9)</f>
        <v>-250000</v>
      </c>
      <c r="H11" s="18" t="str">
        <f t="shared" ca="1" si="0"/>
        <v>=PV($B$5/$B$14,B19,,-B9)</v>
      </c>
      <c r="S11" s="77" t="s">
        <v>167</v>
      </c>
      <c r="T11" s="1" t="s">
        <v>168</v>
      </c>
    </row>
    <row r="12" spans="1:35" ht="20.5" x14ac:dyDescent="0.45">
      <c r="A12" s="1" t="s">
        <v>4</v>
      </c>
      <c r="B12" s="7">
        <v>-2500</v>
      </c>
      <c r="C12" s="7"/>
      <c r="D12" s="7"/>
      <c r="F12" s="1" t="s">
        <v>36</v>
      </c>
      <c r="G12" s="182">
        <f>PV($B$5/$B$14, $B$13*$B$14,-B11)</f>
        <v>180154.55226833007</v>
      </c>
      <c r="H12" s="18" t="str">
        <f t="shared" ca="1" si="0"/>
        <v>=PV($B$5/$B$14, $B$13*$B$14,-B11)</v>
      </c>
      <c r="S12" s="77" t="s">
        <v>194</v>
      </c>
      <c r="T12" s="1" t="s">
        <v>195</v>
      </c>
    </row>
    <row r="13" spans="1:35" ht="20.5" x14ac:dyDescent="0.45">
      <c r="A13" s="1" t="s">
        <v>8</v>
      </c>
      <c r="B13" s="6">
        <v>10</v>
      </c>
      <c r="C13" s="6"/>
      <c r="D13" s="6"/>
      <c r="F13" s="1" t="s">
        <v>37</v>
      </c>
      <c r="G13" s="182">
        <f>PV(G5,B13,-B12,0,1)/(1+B5/B14)</f>
        <v>-21755.08226228959</v>
      </c>
      <c r="H13" s="18" t="str">
        <f t="shared" ref="H13:H15" ca="1" si="1">_xlfn.FORMULATEXT(G13)</f>
        <v>=PV(G5,B13,-B12,0,1)/(1+B5/B14)</v>
      </c>
      <c r="I13" s="81"/>
      <c r="S13" s="77" t="s">
        <v>193</v>
      </c>
      <c r="T13" s="1" t="s">
        <v>196</v>
      </c>
    </row>
    <row r="14" spans="1:35" ht="20.5" x14ac:dyDescent="0.45">
      <c r="A14" s="144" t="s">
        <v>192</v>
      </c>
      <c r="B14" s="176">
        <v>12</v>
      </c>
      <c r="D14" s="18"/>
      <c r="F14" s="23" t="s">
        <v>38</v>
      </c>
      <c r="G14" s="142">
        <f>PV($B$5/$B$14,B140,,-B10,1)</f>
        <v>193453.12600948801</v>
      </c>
      <c r="H14" s="24" t="str">
        <f t="shared" ca="1" si="1"/>
        <v>=PV($B$5/$B$14,B140,,-B10,1)</v>
      </c>
      <c r="I14" s="162"/>
      <c r="J14" s="18"/>
      <c r="S14" s="77"/>
    </row>
    <row r="15" spans="1:35" ht="20.5" x14ac:dyDescent="0.45">
      <c r="A15" s="1" t="s">
        <v>5</v>
      </c>
      <c r="B15" s="136">
        <f>B13*B14</f>
        <v>120</v>
      </c>
      <c r="C15" s="18" t="str">
        <f ca="1">_xlfn.FORMULATEXT(B15)</f>
        <v>=B13*B14</v>
      </c>
      <c r="D15" s="18"/>
      <c r="F15" s="23" t="s">
        <v>48</v>
      </c>
      <c r="G15" s="142">
        <f>SUM(G11:G14)</f>
        <v>101852.59601552848</v>
      </c>
      <c r="H15" s="24" t="str">
        <f t="shared" ca="1" si="1"/>
        <v>=SUM(G11:G14)</v>
      </c>
    </row>
    <row r="16" spans="1:35" x14ac:dyDescent="0.4">
      <c r="E16" s="84"/>
      <c r="G16" s="29"/>
    </row>
    <row r="17" spans="1:33" x14ac:dyDescent="0.4">
      <c r="A17" s="14"/>
      <c r="B17" s="14"/>
      <c r="C17" s="14"/>
      <c r="D17" s="9" t="s">
        <v>39</v>
      </c>
      <c r="E17" s="14"/>
      <c r="F17" s="9"/>
      <c r="G17" s="9" t="s">
        <v>39</v>
      </c>
      <c r="H17" s="9" t="s">
        <v>39</v>
      </c>
      <c r="J17" s="89" t="s">
        <v>30</v>
      </c>
      <c r="K17" s="89"/>
      <c r="L17" s="89"/>
      <c r="M17" s="89"/>
      <c r="N17" s="89"/>
      <c r="O17" s="89"/>
      <c r="P17" s="89"/>
      <c r="Q17" s="89"/>
      <c r="AA17" s="1" t="b">
        <f>AA18=G14</f>
        <v>1</v>
      </c>
      <c r="AD17" s="12">
        <f>AD18-G13</f>
        <v>0</v>
      </c>
    </row>
    <row r="18" spans="1:33" x14ac:dyDescent="0.4">
      <c r="A18" s="8" t="s">
        <v>228</v>
      </c>
      <c r="B18" s="9" t="s">
        <v>14</v>
      </c>
      <c r="C18" s="9" t="s">
        <v>9</v>
      </c>
      <c r="D18" s="9" t="s">
        <v>41</v>
      </c>
      <c r="E18" s="9" t="s">
        <v>31</v>
      </c>
      <c r="F18" s="9" t="s">
        <v>32</v>
      </c>
      <c r="G18" s="9" t="s">
        <v>40</v>
      </c>
      <c r="H18" s="9" t="s">
        <v>42</v>
      </c>
      <c r="J18" s="1" t="s">
        <v>50</v>
      </c>
      <c r="X18" s="165">
        <f>X142</f>
        <v>180154.55226832733</v>
      </c>
      <c r="AA18" s="165">
        <f>AA142</f>
        <v>193453.12600948801</v>
      </c>
      <c r="AC18" s="168">
        <f>AC142</f>
        <v>-25000</v>
      </c>
      <c r="AD18" s="168">
        <f>AD142</f>
        <v>-21755.082262289601</v>
      </c>
    </row>
    <row r="19" spans="1:33" ht="20.5" x14ac:dyDescent="0.45">
      <c r="A19" s="15" t="s">
        <v>15</v>
      </c>
      <c r="B19" s="11">
        <v>0</v>
      </c>
      <c r="C19" s="183">
        <f>B9</f>
        <v>-250000</v>
      </c>
      <c r="D19" s="22" t="str">
        <f ca="1">_xlfn.FORMULATEXT(C19)</f>
        <v>=B9</v>
      </c>
      <c r="E19" s="187">
        <f>PV($B$5/$B$14,B19,,-C19)</f>
        <v>-250000</v>
      </c>
      <c r="F19" s="188">
        <f>MAX(FV($B$6/$B$14,$B$140-B19,,-C19), 0)</f>
        <v>0</v>
      </c>
      <c r="G19" s="19" t="str">
        <f t="shared" ref="G19" ca="1" si="2">_xlfn.FORMULATEXT(E19)</f>
        <v>=PV($B$5/$B$14,B19,,-C19)</v>
      </c>
      <c r="H19" s="19" t="str">
        <f t="shared" ref="H19" ca="1" si="3">_xlfn.FORMULATEXT(F19)</f>
        <v>=MAX(FV($B$6/$B$14,$B$140-B19,,-C19), 0)</v>
      </c>
      <c r="J19" s="1" t="s">
        <v>51</v>
      </c>
      <c r="U19" s="8" t="s">
        <v>13</v>
      </c>
      <c r="V19" s="78" t="s">
        <v>14</v>
      </c>
      <c r="W19" s="78" t="s">
        <v>213</v>
      </c>
      <c r="X19" s="78" t="s">
        <v>214</v>
      </c>
      <c r="Y19" s="78" t="s">
        <v>212</v>
      </c>
      <c r="Z19" s="78" t="s">
        <v>215</v>
      </c>
      <c r="AA19" s="78" t="s">
        <v>216</v>
      </c>
      <c r="AB19" s="78" t="s">
        <v>212</v>
      </c>
      <c r="AC19" s="78" t="s">
        <v>210</v>
      </c>
      <c r="AD19" s="55" t="s">
        <v>211</v>
      </c>
      <c r="AE19" s="78" t="s">
        <v>212</v>
      </c>
    </row>
    <row r="20" spans="1:33" ht="20.5" x14ac:dyDescent="0.45">
      <c r="A20" s="16" t="s">
        <v>16</v>
      </c>
      <c r="B20" s="100">
        <f>B19+1</f>
        <v>1</v>
      </c>
      <c r="C20" s="184">
        <f>$B$11+$B$12</f>
        <v>-750</v>
      </c>
      <c r="D20" s="22" t="str">
        <f t="shared" ref="D20:D83" ca="1" si="4">_xlfn.FORMULATEXT(C20)</f>
        <v>=$B$11+$B$12</v>
      </c>
      <c r="E20" s="187">
        <f>MIN(PV($B$5/$B$14,B20,,-C20), 0)</f>
        <v>-748.05194805194799</v>
      </c>
      <c r="F20" s="188">
        <f t="shared" ref="F20:F83" si="5">MAX(FV($B$6/$B$14,$B$140-B20,,-C20), 0)</f>
        <v>0</v>
      </c>
      <c r="G20" s="19" t="str">
        <f t="shared" ref="G20:G22" ca="1" si="6">_xlfn.FORMULATEXT(E20)</f>
        <v>=MIN(PV($B$5/$B$14,B20,,-C20), 0)</v>
      </c>
      <c r="H20" s="19" t="str">
        <f t="shared" ref="H20:H22" ca="1" si="7">_xlfn.FORMULATEXT(F20)</f>
        <v>=MAX(FV($B$6/$B$14,$B$140-B20,,-C20), 0)</v>
      </c>
      <c r="J20" s="1" t="s">
        <v>52</v>
      </c>
      <c r="U20" s="15" t="s">
        <v>15</v>
      </c>
      <c r="V20" s="11">
        <v>0</v>
      </c>
      <c r="W20" s="191">
        <v>0</v>
      </c>
      <c r="X20" s="192">
        <f>PV($B$5/$B$14,V20,,-W20,1)</f>
        <v>0</v>
      </c>
      <c r="Y20" s="18" t="str">
        <f t="shared" ref="Y20:Y83" ca="1" si="8">_xlfn.FORMULATEXT(X20)</f>
        <v>=PV($B$5/$B$14,V20,,-W20,1)</v>
      </c>
      <c r="Z20" s="195">
        <v>0</v>
      </c>
      <c r="AA20" s="213"/>
      <c r="AB20" s="18"/>
      <c r="AC20" s="197">
        <v>0</v>
      </c>
      <c r="AD20" s="34">
        <f>PV($B$5/$B$14,V20,,-AC20)</f>
        <v>0</v>
      </c>
      <c r="AE20" s="18" t="str">
        <f t="shared" ref="AE20:AE83" ca="1" si="9">_xlfn.FORMULATEXT(AD20)</f>
        <v>=PV($B$5/$B$14,V20,,-AC20)</v>
      </c>
      <c r="AG20" s="175"/>
    </row>
    <row r="21" spans="1:33" ht="20.5" x14ac:dyDescent="0.45">
      <c r="A21" s="15" t="s">
        <v>17</v>
      </c>
      <c r="B21" s="100">
        <f t="shared" ref="B21:B84" si="10">B20+1</f>
        <v>2</v>
      </c>
      <c r="C21" s="184">
        <f>$B$11</f>
        <v>1750</v>
      </c>
      <c r="D21" s="22" t="str">
        <f t="shared" ca="1" si="4"/>
        <v>=$B$11</v>
      </c>
      <c r="E21" s="187">
        <f t="shared" ref="E21:E84" si="11">MIN(PV($B$5/$B$14,B21,,-C21), 0)</f>
        <v>0</v>
      </c>
      <c r="F21" s="188">
        <f t="shared" si="5"/>
        <v>2600.2895623574377</v>
      </c>
      <c r="G21" s="19" t="str">
        <f t="shared" ca="1" si="6"/>
        <v>=MIN(PV($B$5/$B$14,B21,,-C21), 0)</v>
      </c>
      <c r="H21" s="19" t="str">
        <f t="shared" ca="1" si="7"/>
        <v>=MAX(FV($B$6/$B$14,$B$140-B21,,-C21), 0)</v>
      </c>
      <c r="J21" s="1" t="s">
        <v>53</v>
      </c>
      <c r="U21" s="16" t="s">
        <v>16</v>
      </c>
      <c r="V21" s="100">
        <f>V20+1</f>
        <v>1</v>
      </c>
      <c r="W21" s="191">
        <f t="shared" ref="W21:W84" si="12">$B$11</f>
        <v>1750</v>
      </c>
      <c r="X21" s="192">
        <f>PV($B$5/$B$14,V21,,-W21)</f>
        <v>1745.4545454545453</v>
      </c>
      <c r="Y21" s="18" t="str">
        <f t="shared" ca="1" si="8"/>
        <v>=PV($B$5/$B$14,V21,,-W21)</v>
      </c>
      <c r="Z21" s="195">
        <v>0</v>
      </c>
      <c r="AA21" s="31"/>
      <c r="AB21" s="18"/>
      <c r="AC21" s="184">
        <f>$B$12</f>
        <v>-2500</v>
      </c>
      <c r="AD21" s="34">
        <f>PV($B$5/$B$14,V21,,-AC21)</f>
        <v>-2493.5064935064934</v>
      </c>
      <c r="AE21" s="18" t="str">
        <f t="shared" ca="1" si="9"/>
        <v>=PV($B$5/$B$14,V21,,-AC21)</v>
      </c>
      <c r="AG21" s="175"/>
    </row>
    <row r="22" spans="1:33" ht="20.5" x14ac:dyDescent="0.45">
      <c r="A22" s="16" t="s">
        <v>18</v>
      </c>
      <c r="B22" s="100">
        <f t="shared" si="10"/>
        <v>3</v>
      </c>
      <c r="C22" s="184">
        <f t="shared" ref="C22:C31" si="13">$B$11</f>
        <v>1750</v>
      </c>
      <c r="D22" s="22" t="str">
        <f t="shared" ca="1" si="4"/>
        <v>=$B$11</v>
      </c>
      <c r="E22" s="187">
        <f t="shared" si="11"/>
        <v>0</v>
      </c>
      <c r="F22" s="188">
        <f t="shared" si="5"/>
        <v>2591.6507266020972</v>
      </c>
      <c r="G22" s="19" t="str">
        <f t="shared" ca="1" si="6"/>
        <v>=MIN(PV($B$5/$B$14,B22,,-C22), 0)</v>
      </c>
      <c r="H22" s="19" t="str">
        <f t="shared" ca="1" si="7"/>
        <v>=MAX(FV($B$6/$B$14,$B$140-B22,,-C22), 0)</v>
      </c>
      <c r="J22" s="1" t="s">
        <v>54</v>
      </c>
      <c r="U22" s="15" t="s">
        <v>17</v>
      </c>
      <c r="V22" s="100">
        <f t="shared" ref="V22:V85" si="14">V21+1</f>
        <v>2</v>
      </c>
      <c r="W22" s="191">
        <f t="shared" si="12"/>
        <v>1750</v>
      </c>
      <c r="X22" s="192">
        <f t="shared" ref="X22:X85" si="15">PV($B$5/$B$14,V22,,-W22)</f>
        <v>1740.9208972845336</v>
      </c>
      <c r="Y22" s="18" t="str">
        <f t="shared" ca="1" si="8"/>
        <v>=PV($B$5/$B$14,V22,,-W22)</v>
      </c>
      <c r="Z22" s="195">
        <v>0</v>
      </c>
      <c r="AA22" s="31"/>
      <c r="AB22" s="18"/>
      <c r="AC22" s="184">
        <v>0</v>
      </c>
      <c r="AD22" s="34">
        <f t="shared" ref="AD22:AD85" si="16">PV($B$5/$B$14,V22,,-AC22)</f>
        <v>0</v>
      </c>
      <c r="AE22" s="18" t="str">
        <f t="shared" ca="1" si="9"/>
        <v>=PV($B$5/$B$14,V22,,-AC22)</v>
      </c>
      <c r="AG22" s="175"/>
    </row>
    <row r="23" spans="1:33" ht="20.5" x14ac:dyDescent="0.45">
      <c r="A23" s="15" t="s">
        <v>19</v>
      </c>
      <c r="B23" s="100">
        <f t="shared" si="10"/>
        <v>4</v>
      </c>
      <c r="C23" s="184">
        <f t="shared" si="13"/>
        <v>1750</v>
      </c>
      <c r="D23" s="22" t="str">
        <f t="shared" ca="1" si="4"/>
        <v>=$B$11</v>
      </c>
      <c r="E23" s="187">
        <f t="shared" si="11"/>
        <v>0</v>
      </c>
      <c r="F23" s="188">
        <f t="shared" si="5"/>
        <v>2583.0405912977708</v>
      </c>
      <c r="G23" s="19" t="str">
        <f t="shared" ref="G23:G86" ca="1" si="17">_xlfn.FORMULATEXT(E23)</f>
        <v>=MIN(PV($B$5/$B$14,B23,,-C23), 0)</v>
      </c>
      <c r="H23" s="19" t="str">
        <f t="shared" ref="H23:H86" ca="1" si="18">_xlfn.FORMULATEXT(F23)</f>
        <v>=MAX(FV($B$6/$B$14,$B$140-B23,,-C23), 0)</v>
      </c>
      <c r="K23" s="1" t="s">
        <v>55</v>
      </c>
      <c r="U23" s="16" t="s">
        <v>18</v>
      </c>
      <c r="V23" s="100">
        <f t="shared" si="14"/>
        <v>3</v>
      </c>
      <c r="W23" s="191">
        <f t="shared" si="12"/>
        <v>1750</v>
      </c>
      <c r="X23" s="192">
        <f t="shared" si="15"/>
        <v>1736.3990248240543</v>
      </c>
      <c r="Y23" s="18" t="str">
        <f t="shared" ca="1" si="8"/>
        <v>=PV($B$5/$B$14,V23,,-W23)</v>
      </c>
      <c r="Z23" s="195">
        <v>0</v>
      </c>
      <c r="AA23" s="31"/>
      <c r="AB23" s="18"/>
      <c r="AC23" s="184">
        <v>0</v>
      </c>
      <c r="AD23" s="34">
        <f t="shared" si="16"/>
        <v>0</v>
      </c>
      <c r="AE23" s="18" t="str">
        <f t="shared" ca="1" si="9"/>
        <v>=PV($B$5/$B$14,V23,,-AC23)</v>
      </c>
      <c r="AG23" s="175"/>
    </row>
    <row r="24" spans="1:33" ht="20.5" x14ac:dyDescent="0.45">
      <c r="A24" s="16" t="s">
        <v>20</v>
      </c>
      <c r="B24" s="100">
        <f t="shared" si="10"/>
        <v>5</v>
      </c>
      <c r="C24" s="184">
        <f t="shared" si="13"/>
        <v>1750</v>
      </c>
      <c r="D24" s="22" t="str">
        <f t="shared" ca="1" si="4"/>
        <v>=$B$11</v>
      </c>
      <c r="E24" s="187">
        <f t="shared" si="11"/>
        <v>0</v>
      </c>
      <c r="F24" s="188">
        <f t="shared" si="5"/>
        <v>2574.4590610941236</v>
      </c>
      <c r="G24" s="19" t="str">
        <f t="shared" ca="1" si="17"/>
        <v>=MIN(PV($B$5/$B$14,B24,,-C24), 0)</v>
      </c>
      <c r="H24" s="19" t="str">
        <f t="shared" ca="1" si="18"/>
        <v>=MAX(FV($B$6/$B$14,$B$140-B24,,-C24), 0)</v>
      </c>
      <c r="U24" s="15" t="s">
        <v>19</v>
      </c>
      <c r="V24" s="100">
        <f t="shared" si="14"/>
        <v>4</v>
      </c>
      <c r="W24" s="191">
        <f t="shared" si="12"/>
        <v>1750</v>
      </c>
      <c r="X24" s="192">
        <f t="shared" si="15"/>
        <v>1731.8888974868487</v>
      </c>
      <c r="Y24" s="18" t="str">
        <f t="shared" ca="1" si="8"/>
        <v>=PV($B$5/$B$14,V24,,-W24)</v>
      </c>
      <c r="Z24" s="195">
        <v>0</v>
      </c>
      <c r="AA24" s="31"/>
      <c r="AB24" s="18"/>
      <c r="AC24" s="184">
        <v>0</v>
      </c>
      <c r="AD24" s="34">
        <f t="shared" si="16"/>
        <v>0</v>
      </c>
      <c r="AE24" s="18" t="str">
        <f t="shared" ca="1" si="9"/>
        <v>=PV($B$5/$B$14,V24,,-AC24)</v>
      </c>
      <c r="AG24" s="175"/>
    </row>
    <row r="25" spans="1:33" ht="20.5" x14ac:dyDescent="0.45">
      <c r="A25" s="15" t="s">
        <v>21</v>
      </c>
      <c r="B25" s="100">
        <f t="shared" si="10"/>
        <v>6</v>
      </c>
      <c r="C25" s="184">
        <f t="shared" si="13"/>
        <v>1750</v>
      </c>
      <c r="D25" s="22" t="str">
        <f t="shared" ca="1" si="4"/>
        <v>=$B$11</v>
      </c>
      <c r="E25" s="187">
        <f t="shared" si="11"/>
        <v>0</v>
      </c>
      <c r="F25" s="188">
        <f t="shared" si="5"/>
        <v>2565.9060409575986</v>
      </c>
      <c r="G25" s="19" t="str">
        <f t="shared" ca="1" si="17"/>
        <v>=MIN(PV($B$5/$B$14,B25,,-C25), 0)</v>
      </c>
      <c r="H25" s="19" t="str">
        <f t="shared" ca="1" si="18"/>
        <v>=MAX(FV($B$6/$B$14,$B$140-B25,,-C25), 0)</v>
      </c>
      <c r="U25" s="16" t="s">
        <v>20</v>
      </c>
      <c r="V25" s="100">
        <f t="shared" si="14"/>
        <v>5</v>
      </c>
      <c r="W25" s="191">
        <f t="shared" si="12"/>
        <v>1750</v>
      </c>
      <c r="X25" s="192">
        <f t="shared" si="15"/>
        <v>1727.3904847661036</v>
      </c>
      <c r="Y25" s="18" t="str">
        <f t="shared" ca="1" si="8"/>
        <v>=PV($B$5/$B$14,V25,,-W25)</v>
      </c>
      <c r="Z25" s="195">
        <v>0</v>
      </c>
      <c r="AA25" s="31"/>
      <c r="AB25" s="18"/>
      <c r="AC25" s="184">
        <v>0</v>
      </c>
      <c r="AD25" s="34">
        <f t="shared" si="16"/>
        <v>0</v>
      </c>
      <c r="AE25" s="18" t="str">
        <f t="shared" ca="1" si="9"/>
        <v>=PV($B$5/$B$14,V25,,-AC25)</v>
      </c>
      <c r="AG25" s="175"/>
    </row>
    <row r="26" spans="1:33" ht="20.5" x14ac:dyDescent="0.45">
      <c r="A26" s="16" t="s">
        <v>22</v>
      </c>
      <c r="B26" s="100">
        <f t="shared" si="10"/>
        <v>7</v>
      </c>
      <c r="C26" s="184">
        <f t="shared" si="13"/>
        <v>1750</v>
      </c>
      <c r="D26" s="22" t="str">
        <f t="shared" ca="1" si="4"/>
        <v>=$B$11</v>
      </c>
      <c r="E26" s="187">
        <f t="shared" si="11"/>
        <v>0</v>
      </c>
      <c r="F26" s="188">
        <f t="shared" si="5"/>
        <v>2557.381436170363</v>
      </c>
      <c r="G26" s="19" t="str">
        <f t="shared" ca="1" si="17"/>
        <v>=MIN(PV($B$5/$B$14,B26,,-C26), 0)</v>
      </c>
      <c r="H26" s="19" t="str">
        <f t="shared" ca="1" si="18"/>
        <v>=MAX(FV($B$6/$B$14,$B$140-B26,,-C26), 0)</v>
      </c>
      <c r="U26" s="15" t="s">
        <v>21</v>
      </c>
      <c r="V26" s="100">
        <f t="shared" si="14"/>
        <v>6</v>
      </c>
      <c r="W26" s="191">
        <f t="shared" si="12"/>
        <v>1750</v>
      </c>
      <c r="X26" s="192">
        <f t="shared" si="15"/>
        <v>1722.9037562342432</v>
      </c>
      <c r="Y26" s="18" t="str">
        <f t="shared" ca="1" si="8"/>
        <v>=PV($B$5/$B$14,V26,,-W26)</v>
      </c>
      <c r="Z26" s="195">
        <v>0</v>
      </c>
      <c r="AA26" s="31"/>
      <c r="AB26" s="18"/>
      <c r="AC26" s="184">
        <v>0</v>
      </c>
      <c r="AD26" s="34">
        <f t="shared" si="16"/>
        <v>0</v>
      </c>
      <c r="AE26" s="18" t="str">
        <f t="shared" ca="1" si="9"/>
        <v>=PV($B$5/$B$14,V26,,-AC26)</v>
      </c>
      <c r="AG26" s="175"/>
    </row>
    <row r="27" spans="1:33" ht="20.5" x14ac:dyDescent="0.45">
      <c r="A27" s="15" t="s">
        <v>23</v>
      </c>
      <c r="B27" s="100">
        <f t="shared" si="10"/>
        <v>8</v>
      </c>
      <c r="C27" s="184">
        <f t="shared" si="13"/>
        <v>1750</v>
      </c>
      <c r="D27" s="22" t="str">
        <f t="shared" ca="1" si="4"/>
        <v>=$B$11</v>
      </c>
      <c r="E27" s="187">
        <f t="shared" si="11"/>
        <v>0</v>
      </c>
      <c r="F27" s="188">
        <f t="shared" si="5"/>
        <v>2548.8851523292656</v>
      </c>
      <c r="G27" s="19" t="str">
        <f t="shared" ca="1" si="17"/>
        <v>=MIN(PV($B$5/$B$14,B27,,-C27), 0)</v>
      </c>
      <c r="H27" s="19" t="str">
        <f t="shared" ca="1" si="18"/>
        <v>=MAX(FV($B$6/$B$14,$B$140-B27,,-C27), 0)</v>
      </c>
      <c r="J27" s="89" t="s">
        <v>104</v>
      </c>
      <c r="K27" s="89"/>
      <c r="L27" s="89"/>
      <c r="M27" s="89"/>
      <c r="N27" s="89"/>
      <c r="O27" s="89"/>
      <c r="P27" s="89"/>
      <c r="Q27" s="89"/>
      <c r="U27" s="16" t="s">
        <v>22</v>
      </c>
      <c r="V27" s="100">
        <f t="shared" si="14"/>
        <v>7</v>
      </c>
      <c r="W27" s="191">
        <f t="shared" si="12"/>
        <v>1750</v>
      </c>
      <c r="X27" s="192">
        <f t="shared" si="15"/>
        <v>1718.4286815427258</v>
      </c>
      <c r="Y27" s="18" t="str">
        <f t="shared" ca="1" si="8"/>
        <v>=PV($B$5/$B$14,V27,,-W27)</v>
      </c>
      <c r="Z27" s="195">
        <v>0</v>
      </c>
      <c r="AA27" s="31"/>
      <c r="AB27" s="18"/>
      <c r="AC27" s="184">
        <v>0</v>
      </c>
      <c r="AD27" s="34">
        <f t="shared" si="16"/>
        <v>0</v>
      </c>
      <c r="AE27" s="18" t="str">
        <f t="shared" ca="1" si="9"/>
        <v>=PV($B$5/$B$14,V27,,-AC27)</v>
      </c>
      <c r="AG27" s="175"/>
    </row>
    <row r="28" spans="1:33" ht="20.5" x14ac:dyDescent="0.45">
      <c r="A28" s="16" t="s">
        <v>24</v>
      </c>
      <c r="B28" s="100">
        <f t="shared" si="10"/>
        <v>9</v>
      </c>
      <c r="C28" s="184">
        <f t="shared" si="13"/>
        <v>1750</v>
      </c>
      <c r="D28" s="22" t="str">
        <f t="shared" ca="1" si="4"/>
        <v>=$B$11</v>
      </c>
      <c r="E28" s="187">
        <f t="shared" si="11"/>
        <v>0</v>
      </c>
      <c r="F28" s="188">
        <f t="shared" si="5"/>
        <v>2540.4170953447824</v>
      </c>
      <c r="G28" s="19" t="str">
        <f t="shared" ca="1" si="17"/>
        <v>=MIN(PV($B$5/$B$14,B28,,-C28), 0)</v>
      </c>
      <c r="H28" s="19" t="str">
        <f t="shared" ca="1" si="18"/>
        <v>=MAX(FV($B$6/$B$14,$B$140-B28,,-C28), 0)</v>
      </c>
      <c r="U28" s="15" t="s">
        <v>23</v>
      </c>
      <c r="V28" s="100">
        <f t="shared" si="14"/>
        <v>8</v>
      </c>
      <c r="W28" s="191">
        <f t="shared" si="12"/>
        <v>1750</v>
      </c>
      <c r="X28" s="192">
        <f t="shared" si="15"/>
        <v>1713.9652304218357</v>
      </c>
      <c r="Y28" s="18" t="str">
        <f t="shared" ca="1" si="8"/>
        <v>=PV($B$5/$B$14,V28,,-W28)</v>
      </c>
      <c r="Z28" s="195">
        <v>0</v>
      </c>
      <c r="AA28" s="31"/>
      <c r="AB28" s="18"/>
      <c r="AC28" s="184">
        <v>0</v>
      </c>
      <c r="AD28" s="34">
        <f t="shared" si="16"/>
        <v>0</v>
      </c>
      <c r="AE28" s="18" t="str">
        <f t="shared" ca="1" si="9"/>
        <v>=PV($B$5/$B$14,V28,,-AC28)</v>
      </c>
      <c r="AG28" s="175"/>
    </row>
    <row r="29" spans="1:33" ht="20.5" x14ac:dyDescent="0.45">
      <c r="A29" s="15" t="s">
        <v>25</v>
      </c>
      <c r="B29" s="100">
        <f t="shared" si="10"/>
        <v>10</v>
      </c>
      <c r="C29" s="184">
        <f t="shared" si="13"/>
        <v>1750</v>
      </c>
      <c r="D29" s="22" t="str">
        <f t="shared" ca="1" si="4"/>
        <v>=$B$11</v>
      </c>
      <c r="E29" s="187">
        <f t="shared" si="11"/>
        <v>0</v>
      </c>
      <c r="F29" s="188">
        <f t="shared" si="5"/>
        <v>2531.9771714399826</v>
      </c>
      <c r="G29" s="19" t="str">
        <f t="shared" ca="1" si="17"/>
        <v>=MIN(PV($B$5/$B$14,B29,,-C29), 0)</v>
      </c>
      <c r="H29" s="19" t="str">
        <f t="shared" ca="1" si="18"/>
        <v>=MAX(FV($B$6/$B$14,$B$140-B29,,-C29), 0)</v>
      </c>
      <c r="J29" s="1" t="s">
        <v>106</v>
      </c>
      <c r="U29" s="16" t="s">
        <v>24</v>
      </c>
      <c r="V29" s="100">
        <f t="shared" si="14"/>
        <v>9</v>
      </c>
      <c r="W29" s="191">
        <f t="shared" si="12"/>
        <v>1750</v>
      </c>
      <c r="X29" s="192">
        <f t="shared" si="15"/>
        <v>1709.5133726804802</v>
      </c>
      <c r="Y29" s="18" t="str">
        <f t="shared" ca="1" si="8"/>
        <v>=PV($B$5/$B$14,V29,,-W29)</v>
      </c>
      <c r="Z29" s="195">
        <v>0</v>
      </c>
      <c r="AA29" s="31"/>
      <c r="AB29" s="18"/>
      <c r="AC29" s="184">
        <v>0</v>
      </c>
      <c r="AD29" s="34">
        <f t="shared" si="16"/>
        <v>0</v>
      </c>
      <c r="AE29" s="18" t="str">
        <f t="shared" ca="1" si="9"/>
        <v>=PV($B$5/$B$14,V29,,-AC29)</v>
      </c>
      <c r="AG29" s="175"/>
    </row>
    <row r="30" spans="1:33" ht="20.5" x14ac:dyDescent="0.45">
      <c r="A30" s="16" t="s">
        <v>26</v>
      </c>
      <c r="B30" s="100">
        <f t="shared" si="10"/>
        <v>11</v>
      </c>
      <c r="C30" s="184">
        <f t="shared" si="13"/>
        <v>1750</v>
      </c>
      <c r="D30" s="22" t="str">
        <f t="shared" ca="1" si="4"/>
        <v>=$B$11</v>
      </c>
      <c r="E30" s="187">
        <f t="shared" si="11"/>
        <v>0</v>
      </c>
      <c r="F30" s="188">
        <f t="shared" si="5"/>
        <v>2523.565287149484</v>
      </c>
      <c r="G30" s="19" t="str">
        <f t="shared" ca="1" si="17"/>
        <v>=MIN(PV($B$5/$B$14,B30,,-C30), 0)</v>
      </c>
      <c r="H30" s="19" t="str">
        <f t="shared" ca="1" si="18"/>
        <v>=MAX(FV($B$6/$B$14,$B$140-B30,,-C30), 0)</v>
      </c>
      <c r="K30" s="143">
        <f>G6</f>
        <v>7.9980136631989218E-2</v>
      </c>
      <c r="U30" s="15" t="s">
        <v>25</v>
      </c>
      <c r="V30" s="100">
        <f t="shared" si="14"/>
        <v>10</v>
      </c>
      <c r="W30" s="191">
        <f t="shared" si="12"/>
        <v>1750</v>
      </c>
      <c r="X30" s="192">
        <f t="shared" si="15"/>
        <v>1705.0730782059854</v>
      </c>
      <c r="Y30" s="18" t="str">
        <f t="shared" ca="1" si="8"/>
        <v>=PV($B$5/$B$14,V30,,-W30)</v>
      </c>
      <c r="Z30" s="195">
        <v>0</v>
      </c>
      <c r="AA30" s="31"/>
      <c r="AB30" s="18"/>
      <c r="AC30" s="184">
        <v>0</v>
      </c>
      <c r="AD30" s="34">
        <f t="shared" si="16"/>
        <v>0</v>
      </c>
      <c r="AE30" s="18" t="str">
        <f t="shared" ca="1" si="9"/>
        <v>=PV($B$5/$B$14,V30,,-AC30)</v>
      </c>
      <c r="AG30" s="175"/>
    </row>
    <row r="31" spans="1:33" ht="20.5" x14ac:dyDescent="0.45">
      <c r="A31" s="15" t="s">
        <v>15</v>
      </c>
      <c r="B31" s="100">
        <f t="shared" si="10"/>
        <v>12</v>
      </c>
      <c r="C31" s="184">
        <f t="shared" si="13"/>
        <v>1750</v>
      </c>
      <c r="D31" s="22" t="str">
        <f t="shared" ca="1" si="4"/>
        <v>=$B$11</v>
      </c>
      <c r="E31" s="187">
        <f t="shared" si="11"/>
        <v>0</v>
      </c>
      <c r="F31" s="188">
        <f t="shared" si="5"/>
        <v>2515.1813493184222</v>
      </c>
      <c r="G31" s="19" t="str">
        <f t="shared" ca="1" si="17"/>
        <v>=MIN(PV($B$5/$B$14,B31,,-C31), 0)</v>
      </c>
      <c r="H31" s="19" t="str">
        <f t="shared" ca="1" si="18"/>
        <v>=MAX(FV($B$6/$B$14,$B$140-B31,,-C31), 0)</v>
      </c>
      <c r="J31" s="44">
        <v>200000</v>
      </c>
      <c r="K31" s="45">
        <f t="dataTable" ref="K31:K39" dt2D="0" dtr="0" r1="B10" ca="1"/>
        <v>6.029820754345816E-2</v>
      </c>
      <c r="U31" s="16" t="s">
        <v>26</v>
      </c>
      <c r="V31" s="100">
        <f t="shared" si="14"/>
        <v>11</v>
      </c>
      <c r="W31" s="191">
        <f t="shared" si="12"/>
        <v>1750</v>
      </c>
      <c r="X31" s="192">
        <f t="shared" si="15"/>
        <v>1700.6443169638919</v>
      </c>
      <c r="Y31" s="18" t="str">
        <f t="shared" ca="1" si="8"/>
        <v>=PV($B$5/$B$14,V31,,-W31)</v>
      </c>
      <c r="Z31" s="195">
        <v>0</v>
      </c>
      <c r="AA31" s="31"/>
      <c r="AB31" s="18"/>
      <c r="AC31" s="184">
        <v>0</v>
      </c>
      <c r="AD31" s="34">
        <f t="shared" si="16"/>
        <v>0</v>
      </c>
      <c r="AE31" s="18" t="str">
        <f t="shared" ca="1" si="9"/>
        <v>=PV($B$5/$B$14,V31,,-AC31)</v>
      </c>
      <c r="AG31" s="175"/>
    </row>
    <row r="32" spans="1:33" ht="20.5" x14ac:dyDescent="0.45">
      <c r="A32" s="16" t="s">
        <v>16</v>
      </c>
      <c r="B32" s="100">
        <f t="shared" si="10"/>
        <v>13</v>
      </c>
      <c r="C32" s="184">
        <f>$B$11+$B$12</f>
        <v>-750</v>
      </c>
      <c r="D32" s="22" t="str">
        <f t="shared" ca="1" si="4"/>
        <v>=$B$11+$B$12</v>
      </c>
      <c r="E32" s="187">
        <f t="shared" si="11"/>
        <v>-725.06626046953977</v>
      </c>
      <c r="F32" s="188">
        <f t="shared" si="5"/>
        <v>0</v>
      </c>
      <c r="G32" s="19" t="str">
        <f t="shared" ca="1" si="17"/>
        <v>=MIN(PV($B$5/$B$14,B32,,-C32), 0)</v>
      </c>
      <c r="H32" s="19" t="str">
        <f t="shared" ca="1" si="18"/>
        <v>=MAX(FV($B$6/$B$14,$B$140-B32,,-C32), 0)</v>
      </c>
      <c r="J32" s="44">
        <v>225000</v>
      </c>
      <c r="K32" s="45">
        <v>6.8318320267352961E-2</v>
      </c>
      <c r="U32" s="15" t="s">
        <v>15</v>
      </c>
      <c r="V32" s="100">
        <f t="shared" si="14"/>
        <v>12</v>
      </c>
      <c r="W32" s="191">
        <f t="shared" si="12"/>
        <v>1750</v>
      </c>
      <c r="X32" s="192">
        <f t="shared" si="15"/>
        <v>1696.2270589977518</v>
      </c>
      <c r="Y32" s="18" t="str">
        <f t="shared" ca="1" si="8"/>
        <v>=PV($B$5/$B$14,V32,,-W32)</v>
      </c>
      <c r="Z32" s="195">
        <v>0</v>
      </c>
      <c r="AA32" s="31"/>
      <c r="AB32" s="18"/>
      <c r="AC32" s="184">
        <v>0</v>
      </c>
      <c r="AD32" s="34">
        <f t="shared" si="16"/>
        <v>0</v>
      </c>
      <c r="AE32" s="18" t="str">
        <f t="shared" ca="1" si="9"/>
        <v>=PV($B$5/$B$14,V32,,-AC32)</v>
      </c>
      <c r="AG32" s="175"/>
    </row>
    <row r="33" spans="1:33" ht="20.5" x14ac:dyDescent="0.45">
      <c r="A33" s="15" t="s">
        <v>17</v>
      </c>
      <c r="B33" s="100">
        <f t="shared" si="10"/>
        <v>14</v>
      </c>
      <c r="C33" s="184">
        <f>$B$11</f>
        <v>1750</v>
      </c>
      <c r="D33" s="22" t="str">
        <f t="shared" ca="1" si="4"/>
        <v>=$B$11</v>
      </c>
      <c r="E33" s="187">
        <f t="shared" si="11"/>
        <v>0</v>
      </c>
      <c r="F33" s="188">
        <f t="shared" si="5"/>
        <v>2498.4969419615454</v>
      </c>
      <c r="G33" s="19" t="str">
        <f t="shared" ca="1" si="17"/>
        <v>=MIN(PV($B$5/$B$14,B33,,-C33), 0)</v>
      </c>
      <c r="H33" s="19" t="str">
        <f t="shared" ca="1" si="18"/>
        <v>=MAX(FV($B$6/$B$14,$B$140-B33,,-C33), 0)</v>
      </c>
      <c r="J33" s="44">
        <v>250000</v>
      </c>
      <c r="K33" s="45">
        <v>7.5758617894925884E-2</v>
      </c>
      <c r="U33" s="16" t="s">
        <v>16</v>
      </c>
      <c r="V33" s="100">
        <f t="shared" si="14"/>
        <v>13</v>
      </c>
      <c r="W33" s="191">
        <f t="shared" si="12"/>
        <v>1750</v>
      </c>
      <c r="X33" s="192">
        <f t="shared" si="15"/>
        <v>1691.8212744289262</v>
      </c>
      <c r="Y33" s="18" t="str">
        <f t="shared" ca="1" si="8"/>
        <v>=PV($B$5/$B$14,V33,,-W33)</v>
      </c>
      <c r="Z33" s="195">
        <v>0</v>
      </c>
      <c r="AA33" s="31"/>
      <c r="AB33" s="18"/>
      <c r="AC33" s="184">
        <f>AC21</f>
        <v>-2500</v>
      </c>
      <c r="AD33" s="34">
        <f t="shared" si="16"/>
        <v>-2416.8875348984661</v>
      </c>
      <c r="AE33" s="18" t="str">
        <f t="shared" ca="1" si="9"/>
        <v>=PV($B$5/$B$14,V33,,-AC33)</v>
      </c>
      <c r="AG33" s="175"/>
    </row>
    <row r="34" spans="1:33" ht="20.5" x14ac:dyDescent="0.45">
      <c r="A34" s="16" t="s">
        <v>18</v>
      </c>
      <c r="B34" s="100">
        <f t="shared" si="10"/>
        <v>15</v>
      </c>
      <c r="C34" s="184">
        <f t="shared" ref="C34:C43" si="19">$B$11</f>
        <v>1750</v>
      </c>
      <c r="D34" s="22" t="str">
        <f t="shared" ca="1" si="4"/>
        <v>=$B$11</v>
      </c>
      <c r="E34" s="187">
        <f t="shared" si="11"/>
        <v>0</v>
      </c>
      <c r="F34" s="188">
        <f t="shared" si="5"/>
        <v>2490.1962876693142</v>
      </c>
      <c r="G34" s="19" t="str">
        <f t="shared" ca="1" si="17"/>
        <v>=MIN(PV($B$5/$B$14,B34,,-C34), 0)</v>
      </c>
      <c r="H34" s="19" t="str">
        <f t="shared" ca="1" si="18"/>
        <v>=MAX(FV($B$6/$B$14,$B$140-B34,,-C34), 0)</v>
      </c>
      <c r="J34" s="44">
        <v>275000</v>
      </c>
      <c r="K34" s="45">
        <v>8.2702917073745885E-2</v>
      </c>
      <c r="U34" s="15" t="s">
        <v>17</v>
      </c>
      <c r="V34" s="100">
        <f t="shared" si="14"/>
        <v>14</v>
      </c>
      <c r="W34" s="191">
        <f t="shared" si="12"/>
        <v>1750</v>
      </c>
      <c r="X34" s="192">
        <f t="shared" si="15"/>
        <v>1687.4269334563835</v>
      </c>
      <c r="Y34" s="18" t="str">
        <f t="shared" ca="1" si="8"/>
        <v>=PV($B$5/$B$14,V34,,-W34)</v>
      </c>
      <c r="Z34" s="195">
        <v>0</v>
      </c>
      <c r="AA34" s="31"/>
      <c r="AB34" s="18"/>
      <c r="AC34" s="184">
        <v>0</v>
      </c>
      <c r="AD34" s="34">
        <f t="shared" si="16"/>
        <v>0</v>
      </c>
      <c r="AE34" s="18" t="str">
        <f t="shared" ca="1" si="9"/>
        <v>=PV($B$5/$B$14,V34,,-AC34)</v>
      </c>
      <c r="AG34" s="175"/>
    </row>
    <row r="35" spans="1:33" ht="20.5" x14ac:dyDescent="0.45">
      <c r="A35" s="15" t="s">
        <v>19</v>
      </c>
      <c r="B35" s="100">
        <f t="shared" si="10"/>
        <v>16</v>
      </c>
      <c r="C35" s="184">
        <f t="shared" si="19"/>
        <v>1750</v>
      </c>
      <c r="D35" s="22" t="str">
        <f t="shared" ca="1" si="4"/>
        <v>=$B$11</v>
      </c>
      <c r="E35" s="187">
        <f t="shared" si="11"/>
        <v>0</v>
      </c>
      <c r="F35" s="188">
        <f t="shared" si="5"/>
        <v>2481.9232103016411</v>
      </c>
      <c r="G35" s="19" t="str">
        <f t="shared" ca="1" si="17"/>
        <v>=MIN(PV($B$5/$B$14,B35,,-C35), 0)</v>
      </c>
      <c r="H35" s="19" t="str">
        <f t="shared" ca="1" si="18"/>
        <v>=MAX(FV($B$6/$B$14,$B$140-B35,,-C35), 0)</v>
      </c>
      <c r="J35" s="44">
        <v>300000</v>
      </c>
      <c r="K35" s="45">
        <v>8.9217661943053361E-2</v>
      </c>
      <c r="U35" s="16" t="s">
        <v>18</v>
      </c>
      <c r="V35" s="100">
        <f t="shared" si="14"/>
        <v>15</v>
      </c>
      <c r="W35" s="191">
        <f t="shared" si="12"/>
        <v>1750</v>
      </c>
      <c r="X35" s="192">
        <f t="shared" si="15"/>
        <v>1683.044006356497</v>
      </c>
      <c r="Y35" s="18" t="str">
        <f t="shared" ca="1" si="8"/>
        <v>=PV($B$5/$B$14,V35,,-W35)</v>
      </c>
      <c r="Z35" s="195">
        <v>0</v>
      </c>
      <c r="AA35" s="31"/>
      <c r="AB35" s="18"/>
      <c r="AC35" s="184">
        <v>0</v>
      </c>
      <c r="AD35" s="34">
        <f t="shared" si="16"/>
        <v>0</v>
      </c>
      <c r="AE35" s="18" t="str">
        <f t="shared" ca="1" si="9"/>
        <v>=PV($B$5/$B$14,V35,,-AC35)</v>
      </c>
      <c r="AG35" s="175"/>
    </row>
    <row r="36" spans="1:33" ht="20.5" x14ac:dyDescent="0.45">
      <c r="A36" s="16" t="s">
        <v>20</v>
      </c>
      <c r="B36" s="100">
        <f t="shared" si="10"/>
        <v>17</v>
      </c>
      <c r="C36" s="184">
        <f t="shared" si="19"/>
        <v>1750</v>
      </c>
      <c r="D36" s="22" t="str">
        <f t="shared" ca="1" si="4"/>
        <v>=$B$11</v>
      </c>
      <c r="E36" s="187">
        <f t="shared" si="11"/>
        <v>0</v>
      </c>
      <c r="F36" s="188">
        <f t="shared" si="5"/>
        <v>2473.6776182408385</v>
      </c>
      <c r="G36" s="19" t="str">
        <f t="shared" ca="1" si="17"/>
        <v>=MIN(PV($B$5/$B$14,B36,,-C36), 0)</v>
      </c>
      <c r="H36" s="19" t="str">
        <f t="shared" ca="1" si="18"/>
        <v>=MAX(FV($B$6/$B$14,$B$140-B36,,-C36), 0)</v>
      </c>
      <c r="J36" s="44">
        <v>325000</v>
      </c>
      <c r="K36" s="45">
        <v>9.5356472389201752E-2</v>
      </c>
      <c r="U36" s="15" t="s">
        <v>19</v>
      </c>
      <c r="V36" s="100">
        <f t="shared" si="14"/>
        <v>16</v>
      </c>
      <c r="W36" s="191">
        <f t="shared" si="12"/>
        <v>1750</v>
      </c>
      <c r="X36" s="192">
        <f t="shared" si="15"/>
        <v>1678.6724634828436</v>
      </c>
      <c r="Y36" s="18" t="str">
        <f t="shared" ca="1" si="8"/>
        <v>=PV($B$5/$B$14,V36,,-W36)</v>
      </c>
      <c r="Z36" s="195">
        <v>0</v>
      </c>
      <c r="AA36" s="31"/>
      <c r="AB36" s="18"/>
      <c r="AC36" s="184">
        <v>0</v>
      </c>
      <c r="AD36" s="34">
        <f t="shared" si="16"/>
        <v>0</v>
      </c>
      <c r="AE36" s="18" t="str">
        <f t="shared" ca="1" si="9"/>
        <v>=PV($B$5/$B$14,V36,,-AC36)</v>
      </c>
      <c r="AG36" s="175"/>
    </row>
    <row r="37" spans="1:33" ht="20.5" x14ac:dyDescent="0.45">
      <c r="A37" s="15" t="s">
        <v>21</v>
      </c>
      <c r="B37" s="100">
        <f t="shared" si="10"/>
        <v>18</v>
      </c>
      <c r="C37" s="184">
        <f t="shared" si="19"/>
        <v>1750</v>
      </c>
      <c r="D37" s="22" t="str">
        <f t="shared" ca="1" si="4"/>
        <v>=$B$11</v>
      </c>
      <c r="E37" s="187">
        <f t="shared" si="11"/>
        <v>0</v>
      </c>
      <c r="F37" s="188">
        <f t="shared" si="5"/>
        <v>2465.4594201735936</v>
      </c>
      <c r="G37" s="19" t="str">
        <f t="shared" ca="1" si="17"/>
        <v>=MIN(PV($B$5/$B$14,B37,,-C37), 0)</v>
      </c>
      <c r="H37" s="19" t="str">
        <f t="shared" ca="1" si="18"/>
        <v>=MAX(FV($B$6/$B$14,$B$140-B37,,-C37), 0)</v>
      </c>
      <c r="J37" s="44">
        <v>350000</v>
      </c>
      <c r="K37" s="45">
        <v>0.10116328440585454</v>
      </c>
      <c r="U37" s="16" t="s">
        <v>20</v>
      </c>
      <c r="V37" s="100">
        <f t="shared" si="14"/>
        <v>17</v>
      </c>
      <c r="W37" s="191">
        <f t="shared" si="12"/>
        <v>1750</v>
      </c>
      <c r="X37" s="192">
        <f t="shared" si="15"/>
        <v>1674.3122752660047</v>
      </c>
      <c r="Y37" s="18" t="str">
        <f t="shared" ca="1" si="8"/>
        <v>=PV($B$5/$B$14,V37,,-W37)</v>
      </c>
      <c r="Z37" s="195">
        <v>0</v>
      </c>
      <c r="AA37" s="31"/>
      <c r="AB37" s="18"/>
      <c r="AC37" s="184">
        <v>0</v>
      </c>
      <c r="AD37" s="34">
        <f t="shared" si="16"/>
        <v>0</v>
      </c>
      <c r="AE37" s="18" t="str">
        <f t="shared" ca="1" si="9"/>
        <v>=PV($B$5/$B$14,V37,,-AC37)</v>
      </c>
      <c r="AG37" s="175"/>
    </row>
    <row r="38" spans="1:33" ht="20.5" x14ac:dyDescent="0.45">
      <c r="A38" s="16" t="s">
        <v>22</v>
      </c>
      <c r="B38" s="100">
        <f t="shared" si="10"/>
        <v>19</v>
      </c>
      <c r="C38" s="184">
        <f t="shared" si="19"/>
        <v>1750</v>
      </c>
      <c r="D38" s="22" t="str">
        <f t="shared" ca="1" si="4"/>
        <v>=$B$11</v>
      </c>
      <c r="E38" s="187">
        <f t="shared" si="11"/>
        <v>0</v>
      </c>
      <c r="F38" s="188">
        <f t="shared" si="5"/>
        <v>2457.2685250899599</v>
      </c>
      <c r="G38" s="19" t="str">
        <f t="shared" ca="1" si="17"/>
        <v>=MIN(PV($B$5/$B$14,B38,,-C38), 0)</v>
      </c>
      <c r="H38" s="19" t="str">
        <f t="shared" ca="1" si="18"/>
        <v>=MAX(FV($B$6/$B$14,$B$140-B38,,-C38), 0)</v>
      </c>
      <c r="J38" s="44">
        <v>375000</v>
      </c>
      <c r="K38" s="45">
        <v>0.10667457760911425</v>
      </c>
      <c r="U38" s="15" t="s">
        <v>21</v>
      </c>
      <c r="V38" s="100">
        <f t="shared" si="14"/>
        <v>18</v>
      </c>
      <c r="W38" s="191">
        <f t="shared" si="12"/>
        <v>1750</v>
      </c>
      <c r="X38" s="192">
        <f t="shared" si="15"/>
        <v>1669.9634122133659</v>
      </c>
      <c r="Y38" s="18" t="str">
        <f t="shared" ca="1" si="8"/>
        <v>=PV($B$5/$B$14,V38,,-W38)</v>
      </c>
      <c r="Z38" s="195">
        <v>0</v>
      </c>
      <c r="AA38" s="31"/>
      <c r="AB38" s="18"/>
      <c r="AC38" s="184">
        <v>0</v>
      </c>
      <c r="AD38" s="34">
        <f t="shared" si="16"/>
        <v>0</v>
      </c>
      <c r="AE38" s="18" t="str">
        <f t="shared" ca="1" si="9"/>
        <v>=PV($B$5/$B$14,V38,,-AC38)</v>
      </c>
      <c r="AG38" s="175"/>
    </row>
    <row r="39" spans="1:33" ht="20.5" x14ac:dyDescent="0.45">
      <c r="A39" s="15" t="s">
        <v>23</v>
      </c>
      <c r="B39" s="100">
        <f t="shared" si="10"/>
        <v>20</v>
      </c>
      <c r="C39" s="184">
        <f t="shared" si="19"/>
        <v>1750</v>
      </c>
      <c r="D39" s="22" t="str">
        <f t="shared" ca="1" si="4"/>
        <v>=$B$11</v>
      </c>
      <c r="E39" s="187">
        <f t="shared" si="11"/>
        <v>0</v>
      </c>
      <c r="F39" s="188">
        <f t="shared" si="5"/>
        <v>2449.1048422823515</v>
      </c>
      <c r="G39" s="19" t="str">
        <f t="shared" ca="1" si="17"/>
        <v>=MIN(PV($B$5/$B$14,B39,,-C39), 0)</v>
      </c>
      <c r="H39" s="19" t="str">
        <f t="shared" ca="1" si="18"/>
        <v>=MAX(FV($B$6/$B$14,$B$140-B39,,-C39), 0)</v>
      </c>
      <c r="J39" s="44">
        <v>400000</v>
      </c>
      <c r="K39" s="45">
        <v>0.1119209924016078</v>
      </c>
      <c r="U39" s="16" t="s">
        <v>22</v>
      </c>
      <c r="V39" s="100">
        <f t="shared" si="14"/>
        <v>19</v>
      </c>
      <c r="W39" s="191">
        <f t="shared" si="12"/>
        <v>1750</v>
      </c>
      <c r="X39" s="192">
        <f t="shared" si="15"/>
        <v>1665.6258449089155</v>
      </c>
      <c r="Y39" s="18" t="str">
        <f t="shared" ca="1" si="8"/>
        <v>=PV($B$5/$B$14,V39,,-W39)</v>
      </c>
      <c r="Z39" s="195">
        <v>0</v>
      </c>
      <c r="AA39" s="31"/>
      <c r="AB39" s="18"/>
      <c r="AC39" s="184">
        <v>0</v>
      </c>
      <c r="AD39" s="34">
        <f t="shared" si="16"/>
        <v>0</v>
      </c>
      <c r="AE39" s="18" t="str">
        <f t="shared" ca="1" si="9"/>
        <v>=PV($B$5/$B$14,V39,,-AC39)</v>
      </c>
      <c r="AG39" s="175"/>
    </row>
    <row r="40" spans="1:33" ht="20.5" x14ac:dyDescent="0.45">
      <c r="A40" s="16" t="s">
        <v>24</v>
      </c>
      <c r="B40" s="100">
        <f t="shared" si="10"/>
        <v>21</v>
      </c>
      <c r="C40" s="184">
        <f t="shared" si="19"/>
        <v>1750</v>
      </c>
      <c r="D40" s="22" t="str">
        <f t="shared" ca="1" si="4"/>
        <v>=$B$11</v>
      </c>
      <c r="E40" s="187">
        <f t="shared" si="11"/>
        <v>0</v>
      </c>
      <c r="F40" s="188">
        <f t="shared" si="5"/>
        <v>2440.9682813445361</v>
      </c>
      <c r="G40" s="19" t="str">
        <f t="shared" ca="1" si="17"/>
        <v>=MIN(PV($B$5/$B$14,B40,,-C40), 0)</v>
      </c>
      <c r="H40" s="19" t="str">
        <f t="shared" ca="1" si="18"/>
        <v>=MAX(FV($B$6/$B$14,$B$140-B40,,-C40), 0)</v>
      </c>
      <c r="K40" s="4"/>
      <c r="U40" s="15" t="s">
        <v>23</v>
      </c>
      <c r="V40" s="100">
        <f t="shared" si="14"/>
        <v>20</v>
      </c>
      <c r="W40" s="191">
        <f t="shared" si="12"/>
        <v>1750</v>
      </c>
      <c r="X40" s="192">
        <f t="shared" si="15"/>
        <v>1661.299544013048</v>
      </c>
      <c r="Y40" s="18" t="str">
        <f t="shared" ca="1" si="8"/>
        <v>=PV($B$5/$B$14,V40,,-W40)</v>
      </c>
      <c r="Z40" s="195">
        <v>0</v>
      </c>
      <c r="AA40" s="31"/>
      <c r="AB40" s="18"/>
      <c r="AC40" s="184">
        <v>0</v>
      </c>
      <c r="AD40" s="34">
        <f t="shared" si="16"/>
        <v>0</v>
      </c>
      <c r="AE40" s="18" t="str">
        <f t="shared" ca="1" si="9"/>
        <v>=PV($B$5/$B$14,V40,,-AC40)</v>
      </c>
      <c r="AG40" s="175"/>
    </row>
    <row r="41" spans="1:33" ht="20.5" x14ac:dyDescent="0.45">
      <c r="A41" s="15" t="s">
        <v>25</v>
      </c>
      <c r="B41" s="100">
        <f t="shared" si="10"/>
        <v>22</v>
      </c>
      <c r="C41" s="184">
        <f t="shared" si="19"/>
        <v>1750</v>
      </c>
      <c r="D41" s="22" t="str">
        <f t="shared" ca="1" si="4"/>
        <v>=$B$11</v>
      </c>
      <c r="E41" s="187">
        <f t="shared" si="11"/>
        <v>0</v>
      </c>
      <c r="F41" s="188">
        <f t="shared" si="5"/>
        <v>2432.8587521706345</v>
      </c>
      <c r="G41" s="19" t="str">
        <f t="shared" ca="1" si="17"/>
        <v>=MIN(PV($B$5/$B$14,B41,,-C41), 0)</v>
      </c>
      <c r="H41" s="19" t="str">
        <f t="shared" ca="1" si="18"/>
        <v>=MAX(FV($B$6/$B$14,$B$140-B41,,-C41), 0)</v>
      </c>
      <c r="J41" s="1" t="s">
        <v>105</v>
      </c>
      <c r="K41" s="4"/>
      <c r="U41" s="16" t="s">
        <v>24</v>
      </c>
      <c r="V41" s="100">
        <f t="shared" si="14"/>
        <v>21</v>
      </c>
      <c r="W41" s="191">
        <f t="shared" si="12"/>
        <v>1750</v>
      </c>
      <c r="X41" s="192">
        <f t="shared" si="15"/>
        <v>1656.9844802623647</v>
      </c>
      <c r="Y41" s="18" t="str">
        <f t="shared" ca="1" si="8"/>
        <v>=PV($B$5/$B$14,V41,,-W41)</v>
      </c>
      <c r="Z41" s="195">
        <v>0</v>
      </c>
      <c r="AA41" s="31"/>
      <c r="AB41" s="18"/>
      <c r="AC41" s="184">
        <v>0</v>
      </c>
      <c r="AD41" s="34">
        <f t="shared" si="16"/>
        <v>0</v>
      </c>
      <c r="AE41" s="18" t="str">
        <f t="shared" ca="1" si="9"/>
        <v>=PV($B$5/$B$14,V41,,-AC41)</v>
      </c>
      <c r="AG41" s="175"/>
    </row>
    <row r="42" spans="1:33" ht="20.5" x14ac:dyDescent="0.45">
      <c r="A42" s="16" t="s">
        <v>26</v>
      </c>
      <c r="B42" s="100">
        <f t="shared" si="10"/>
        <v>23</v>
      </c>
      <c r="C42" s="184">
        <f t="shared" si="19"/>
        <v>1750</v>
      </c>
      <c r="D42" s="22" t="str">
        <f t="shared" ca="1" si="4"/>
        <v>=$B$11</v>
      </c>
      <c r="E42" s="187">
        <f t="shared" si="11"/>
        <v>0</v>
      </c>
      <c r="F42" s="188">
        <f t="shared" si="5"/>
        <v>2424.7761649541198</v>
      </c>
      <c r="G42" s="19" t="str">
        <f t="shared" ca="1" si="17"/>
        <v>=MIN(PV($B$5/$B$14,B42,,-C42), 0)</v>
      </c>
      <c r="H42" s="19" t="str">
        <f t="shared" ca="1" si="18"/>
        <v>=MAX(FV($B$6/$B$14,$B$140-B42,,-C42), 0)</v>
      </c>
      <c r="K42" s="143">
        <f>G9</f>
        <v>6.8764926574468754E-2</v>
      </c>
      <c r="U42" s="15" t="s">
        <v>25</v>
      </c>
      <c r="V42" s="100">
        <f t="shared" si="14"/>
        <v>22</v>
      </c>
      <c r="W42" s="191">
        <f t="shared" si="12"/>
        <v>1750</v>
      </c>
      <c r="X42" s="192">
        <f t="shared" si="15"/>
        <v>1652.6806244694753</v>
      </c>
      <c r="Y42" s="18" t="str">
        <f t="shared" ca="1" si="8"/>
        <v>=PV($B$5/$B$14,V42,,-W42)</v>
      </c>
      <c r="Z42" s="195">
        <v>0</v>
      </c>
      <c r="AA42" s="31"/>
      <c r="AB42" s="18"/>
      <c r="AC42" s="184">
        <v>0</v>
      </c>
      <c r="AD42" s="34">
        <f t="shared" si="16"/>
        <v>0</v>
      </c>
      <c r="AE42" s="18" t="str">
        <f t="shared" ca="1" si="9"/>
        <v>=PV($B$5/$B$14,V42,,-AC42)</v>
      </c>
      <c r="AG42" s="175"/>
    </row>
    <row r="43" spans="1:33" ht="20.5" x14ac:dyDescent="0.45">
      <c r="A43" s="15" t="s">
        <v>15</v>
      </c>
      <c r="B43" s="100">
        <f t="shared" si="10"/>
        <v>24</v>
      </c>
      <c r="C43" s="184">
        <f t="shared" si="19"/>
        <v>1750</v>
      </c>
      <c r="D43" s="22" t="str">
        <f t="shared" ca="1" si="4"/>
        <v>=$B$11</v>
      </c>
      <c r="E43" s="187">
        <f t="shared" si="11"/>
        <v>0</v>
      </c>
      <c r="F43" s="188">
        <f t="shared" si="5"/>
        <v>2416.7204301868305</v>
      </c>
      <c r="G43" s="19" t="str">
        <f t="shared" ca="1" si="17"/>
        <v>=MIN(PV($B$5/$B$14,B43,,-C43), 0)</v>
      </c>
      <c r="H43" s="19" t="str">
        <f t="shared" ca="1" si="18"/>
        <v>=MAX(FV($B$6/$B$14,$B$140-B43,,-C43), 0)</v>
      </c>
      <c r="J43" s="28">
        <v>0.01</v>
      </c>
      <c r="K43" s="45">
        <f t="dataTable" ref="K43:K55" dt2D="0" dtr="0" r1="B6" ca="1"/>
        <v>6.1316403623807192E-2</v>
      </c>
      <c r="U43" s="16" t="s">
        <v>26</v>
      </c>
      <c r="V43" s="100">
        <f t="shared" si="14"/>
        <v>23</v>
      </c>
      <c r="W43" s="191">
        <f t="shared" si="12"/>
        <v>1750</v>
      </c>
      <c r="X43" s="192">
        <f t="shared" si="15"/>
        <v>1648.3879475228014</v>
      </c>
      <c r="Y43" s="18" t="str">
        <f t="shared" ca="1" si="8"/>
        <v>=PV($B$5/$B$14,V43,,-W43)</v>
      </c>
      <c r="Z43" s="195">
        <v>0</v>
      </c>
      <c r="AA43" s="31"/>
      <c r="AB43" s="18"/>
      <c r="AC43" s="184">
        <v>0</v>
      </c>
      <c r="AD43" s="34">
        <f t="shared" si="16"/>
        <v>0</v>
      </c>
      <c r="AE43" s="18" t="str">
        <f t="shared" ca="1" si="9"/>
        <v>=PV($B$5/$B$14,V43,,-AC43)</v>
      </c>
      <c r="AG43" s="175"/>
    </row>
    <row r="44" spans="1:33" ht="20.5" x14ac:dyDescent="0.45">
      <c r="A44" s="16" t="s">
        <v>16</v>
      </c>
      <c r="B44" s="100">
        <f t="shared" si="10"/>
        <v>25</v>
      </c>
      <c r="C44" s="184">
        <f>$B$11+$B$12</f>
        <v>-750</v>
      </c>
      <c r="D44" s="22" t="str">
        <f t="shared" ca="1" si="4"/>
        <v>=$B$11+$B$12</v>
      </c>
      <c r="E44" s="187">
        <f t="shared" si="11"/>
        <v>-702.7868631855689</v>
      </c>
      <c r="F44" s="188">
        <f t="shared" si="5"/>
        <v>0</v>
      </c>
      <c r="G44" s="19" t="str">
        <f t="shared" ca="1" si="17"/>
        <v>=MIN(PV($B$5/$B$14,B44,,-C44), 0)</v>
      </c>
      <c r="H44" s="19" t="str">
        <f t="shared" ca="1" si="18"/>
        <v>=MAX(FV($B$6/$B$14,$B$140-B44,,-C44), 0)</v>
      </c>
      <c r="J44" s="28">
        <v>1.4999999999999999E-2</v>
      </c>
      <c r="K44" s="45">
        <v>6.2487556384378751E-2</v>
      </c>
      <c r="U44" s="15" t="s">
        <v>15</v>
      </c>
      <c r="V44" s="100">
        <f t="shared" si="14"/>
        <v>24</v>
      </c>
      <c r="W44" s="191">
        <f t="shared" si="12"/>
        <v>1750</v>
      </c>
      <c r="X44" s="192">
        <f t="shared" si="15"/>
        <v>1644.1064203863784</v>
      </c>
      <c r="Y44" s="18" t="str">
        <f t="shared" ca="1" si="8"/>
        <v>=PV($B$5/$B$14,V44,,-W44)</v>
      </c>
      <c r="Z44" s="195">
        <v>0</v>
      </c>
      <c r="AA44" s="31"/>
      <c r="AB44" s="18"/>
      <c r="AC44" s="184">
        <v>0</v>
      </c>
      <c r="AD44" s="34">
        <f t="shared" si="16"/>
        <v>0</v>
      </c>
      <c r="AE44" s="18" t="str">
        <f t="shared" ca="1" si="9"/>
        <v>=PV($B$5/$B$14,V44,,-AC44)</v>
      </c>
      <c r="AG44" s="175"/>
    </row>
    <row r="45" spans="1:33" ht="20.5" x14ac:dyDescent="0.45">
      <c r="A45" s="15" t="s">
        <v>17</v>
      </c>
      <c r="B45" s="100">
        <f t="shared" si="10"/>
        <v>26</v>
      </c>
      <c r="C45" s="184">
        <f>$B$11</f>
        <v>1750</v>
      </c>
      <c r="D45" s="22" t="str">
        <f t="shared" ca="1" si="4"/>
        <v>=$B$11</v>
      </c>
      <c r="E45" s="187">
        <f t="shared" si="11"/>
        <v>0</v>
      </c>
      <c r="F45" s="188">
        <f t="shared" si="5"/>
        <v>2400.689161453126</v>
      </c>
      <c r="G45" s="19" t="str">
        <f t="shared" ca="1" si="17"/>
        <v>=MIN(PV($B$5/$B$14,B45,,-C45), 0)</v>
      </c>
      <c r="H45" s="19" t="str">
        <f t="shared" ca="1" si="18"/>
        <v>=MAX(FV($B$6/$B$14,$B$140-B45,,-C45), 0)</v>
      </c>
      <c r="J45" s="28">
        <v>0.02</v>
      </c>
      <c r="K45" s="45">
        <v>6.3686129934856339E-2</v>
      </c>
      <c r="U45" s="16" t="s">
        <v>16</v>
      </c>
      <c r="V45" s="100">
        <f t="shared" si="14"/>
        <v>25</v>
      </c>
      <c r="W45" s="191">
        <f t="shared" si="12"/>
        <v>1750</v>
      </c>
      <c r="X45" s="192">
        <f t="shared" si="15"/>
        <v>1639.8360140996608</v>
      </c>
      <c r="Y45" s="18" t="str">
        <f t="shared" ca="1" si="8"/>
        <v>=PV($B$5/$B$14,V45,,-W45)</v>
      </c>
      <c r="Z45" s="195">
        <v>0</v>
      </c>
      <c r="AA45" s="31"/>
      <c r="AB45" s="18"/>
      <c r="AC45" s="184">
        <f>AC33</f>
        <v>-2500</v>
      </c>
      <c r="AD45" s="34">
        <f t="shared" si="16"/>
        <v>-2342.6228772852296</v>
      </c>
      <c r="AE45" s="18" t="str">
        <f t="shared" ca="1" si="9"/>
        <v>=PV($B$5/$B$14,V45,,-AC45)</v>
      </c>
      <c r="AG45" s="175"/>
    </row>
    <row r="46" spans="1:33" ht="20.5" x14ac:dyDescent="0.45">
      <c r="A46" s="16" t="s">
        <v>18</v>
      </c>
      <c r="B46" s="100">
        <f t="shared" si="10"/>
        <v>27</v>
      </c>
      <c r="C46" s="184">
        <f t="shared" ref="C46:C55" si="20">$B$11</f>
        <v>1750</v>
      </c>
      <c r="D46" s="22" t="str">
        <f t="shared" ca="1" si="4"/>
        <v>=$B$11</v>
      </c>
      <c r="E46" s="187">
        <f t="shared" si="11"/>
        <v>0</v>
      </c>
      <c r="F46" s="188">
        <f t="shared" si="5"/>
        <v>2392.7134499532813</v>
      </c>
      <c r="G46" s="19" t="str">
        <f t="shared" ca="1" si="17"/>
        <v>=MIN(PV($B$5/$B$14,B46,,-C46), 0)</v>
      </c>
      <c r="H46" s="19" t="str">
        <f t="shared" ca="1" si="18"/>
        <v>=MAX(FV($B$6/$B$14,$B$140-B46,,-C46), 0)</v>
      </c>
      <c r="J46" s="28">
        <v>2.5000000000000001E-2</v>
      </c>
      <c r="K46" s="45">
        <v>6.4912639017024043E-2</v>
      </c>
      <c r="U46" s="15" t="s">
        <v>17</v>
      </c>
      <c r="V46" s="100">
        <f t="shared" si="14"/>
        <v>26</v>
      </c>
      <c r="W46" s="191">
        <f t="shared" si="12"/>
        <v>1750</v>
      </c>
      <c r="X46" s="192">
        <f t="shared" si="15"/>
        <v>1635.5766997773239</v>
      </c>
      <c r="Y46" s="18" t="str">
        <f t="shared" ca="1" si="8"/>
        <v>=PV($B$5/$B$14,V46,,-W46)</v>
      </c>
      <c r="Z46" s="195">
        <v>0</v>
      </c>
      <c r="AA46" s="31"/>
      <c r="AB46" s="18"/>
      <c r="AC46" s="184">
        <v>0</v>
      </c>
      <c r="AD46" s="34">
        <f t="shared" si="16"/>
        <v>0</v>
      </c>
      <c r="AE46" s="18" t="str">
        <f t="shared" ca="1" si="9"/>
        <v>=PV($B$5/$B$14,V46,,-AC46)</v>
      </c>
      <c r="AG46" s="175"/>
    </row>
    <row r="47" spans="1:33" ht="20.5" x14ac:dyDescent="0.45">
      <c r="A47" s="15" t="s">
        <v>19</v>
      </c>
      <c r="B47" s="100">
        <f t="shared" si="10"/>
        <v>28</v>
      </c>
      <c r="C47" s="184">
        <f t="shared" si="20"/>
        <v>1750</v>
      </c>
      <c r="D47" s="22" t="str">
        <f t="shared" ca="1" si="4"/>
        <v>=$B$11</v>
      </c>
      <c r="E47" s="187">
        <f>MIN(PV($B$5/$B$14,B47,,-C47), 0)</f>
        <v>0</v>
      </c>
      <c r="F47" s="188">
        <f t="shared" si="5"/>
        <v>2384.7642358338348</v>
      </c>
      <c r="G47" s="19" t="str">
        <f t="shared" ca="1" si="17"/>
        <v>=MIN(PV($B$5/$B$14,B47,,-C47), 0)</v>
      </c>
      <c r="H47" s="19" t="str">
        <f t="shared" ca="1" si="18"/>
        <v>=MAX(FV($B$6/$B$14,$B$140-B47,,-C47), 0)</v>
      </c>
      <c r="J47" s="28">
        <v>0.03</v>
      </c>
      <c r="K47" s="45">
        <v>6.6167598566456709E-2</v>
      </c>
      <c r="U47" s="16" t="s">
        <v>18</v>
      </c>
      <c r="V47" s="100">
        <f t="shared" si="14"/>
        <v>27</v>
      </c>
      <c r="W47" s="191">
        <f t="shared" si="12"/>
        <v>1750</v>
      </c>
      <c r="X47" s="192">
        <f t="shared" si="15"/>
        <v>1631.3284486090713</v>
      </c>
      <c r="Y47" s="18" t="str">
        <f t="shared" ca="1" si="8"/>
        <v>=PV($B$5/$B$14,V47,,-W47)</v>
      </c>
      <c r="Z47" s="195">
        <v>0</v>
      </c>
      <c r="AA47" s="31"/>
      <c r="AB47" s="18"/>
      <c r="AC47" s="184">
        <v>0</v>
      </c>
      <c r="AD47" s="34">
        <f t="shared" si="16"/>
        <v>0</v>
      </c>
      <c r="AE47" s="18" t="str">
        <f t="shared" ca="1" si="9"/>
        <v>=PV($B$5/$B$14,V47,,-AC47)</v>
      </c>
      <c r="AG47" s="175"/>
    </row>
    <row r="48" spans="1:33" ht="20.5" x14ac:dyDescent="0.45">
      <c r="A48" s="16" t="s">
        <v>20</v>
      </c>
      <c r="B48" s="100">
        <f t="shared" si="10"/>
        <v>29</v>
      </c>
      <c r="C48" s="184">
        <f t="shared" si="20"/>
        <v>1750</v>
      </c>
      <c r="D48" s="22" t="str">
        <f t="shared" ca="1" si="4"/>
        <v>=$B$11</v>
      </c>
      <c r="E48" s="187">
        <f t="shared" si="11"/>
        <v>0</v>
      </c>
      <c r="F48" s="188">
        <f t="shared" si="5"/>
        <v>2376.8414310636231</v>
      </c>
      <c r="G48" s="19" t="str">
        <f t="shared" ca="1" si="17"/>
        <v>=MIN(PV($B$5/$B$14,B48,,-C48), 0)</v>
      </c>
      <c r="H48" s="19" t="str">
        <f t="shared" ca="1" si="18"/>
        <v>=MAX(FV($B$6/$B$14,$B$140-B48,,-C48), 0)</v>
      </c>
      <c r="J48" s="28">
        <v>3.5000000000000003E-2</v>
      </c>
      <c r="K48" s="45">
        <v>6.7451523181127016E-2</v>
      </c>
      <c r="U48" s="15" t="s">
        <v>19</v>
      </c>
      <c r="V48" s="100">
        <f t="shared" si="14"/>
        <v>28</v>
      </c>
      <c r="W48" s="191">
        <f t="shared" si="12"/>
        <v>1750</v>
      </c>
      <c r="X48" s="192">
        <f t="shared" si="15"/>
        <v>1627.0912318594369</v>
      </c>
      <c r="Y48" s="18" t="str">
        <f t="shared" ca="1" si="8"/>
        <v>=PV($B$5/$B$14,V48,,-W48)</v>
      </c>
      <c r="Z48" s="195">
        <v>0</v>
      </c>
      <c r="AA48" s="31"/>
      <c r="AB48" s="18"/>
      <c r="AC48" s="184">
        <v>0</v>
      </c>
      <c r="AD48" s="34">
        <f t="shared" si="16"/>
        <v>0</v>
      </c>
      <c r="AE48" s="18" t="str">
        <f t="shared" ca="1" si="9"/>
        <v>=PV($B$5/$B$14,V48,,-AC48)</v>
      </c>
      <c r="AG48" s="175"/>
    </row>
    <row r="49" spans="1:33" ht="20.5" x14ac:dyDescent="0.45">
      <c r="A49" s="15" t="s">
        <v>21</v>
      </c>
      <c r="B49" s="100">
        <f t="shared" si="10"/>
        <v>30</v>
      </c>
      <c r="C49" s="184">
        <f t="shared" si="20"/>
        <v>1750</v>
      </c>
      <c r="D49" s="22" t="str">
        <f t="shared" ca="1" si="4"/>
        <v>=$B$11</v>
      </c>
      <c r="E49" s="187">
        <f t="shared" si="11"/>
        <v>0</v>
      </c>
      <c r="F49" s="188">
        <f t="shared" si="5"/>
        <v>2368.9449479039431</v>
      </c>
      <c r="G49" s="19" t="str">
        <f t="shared" ca="1" si="17"/>
        <v>=MIN(PV($B$5/$B$14,B49,,-C49), 0)</v>
      </c>
      <c r="H49" s="19" t="str">
        <f t="shared" ca="1" si="18"/>
        <v>=MAX(FV($B$6/$B$14,$B$140-B49,,-C49), 0)</v>
      </c>
      <c r="J49" s="28">
        <v>0.04</v>
      </c>
      <c r="K49" s="45">
        <v>6.8764926574468754E-2</v>
      </c>
      <c r="U49" s="16" t="s">
        <v>20</v>
      </c>
      <c r="V49" s="100">
        <f t="shared" si="14"/>
        <v>29</v>
      </c>
      <c r="W49" s="191">
        <f t="shared" si="12"/>
        <v>1750</v>
      </c>
      <c r="X49" s="192">
        <f t="shared" si="15"/>
        <v>1622.8650208675938</v>
      </c>
      <c r="Y49" s="18" t="str">
        <f t="shared" ca="1" si="8"/>
        <v>=PV($B$5/$B$14,V49,,-W49)</v>
      </c>
      <c r="Z49" s="195">
        <v>0</v>
      </c>
      <c r="AA49" s="31"/>
      <c r="AB49" s="18"/>
      <c r="AC49" s="184">
        <v>0</v>
      </c>
      <c r="AD49" s="34">
        <f t="shared" si="16"/>
        <v>0</v>
      </c>
      <c r="AE49" s="18" t="str">
        <f t="shared" ca="1" si="9"/>
        <v>=PV($B$5/$B$14,V49,,-AC49)</v>
      </c>
      <c r="AG49" s="175"/>
    </row>
    <row r="50" spans="1:33" ht="20.5" x14ac:dyDescent="0.45">
      <c r="A50" s="16" t="s">
        <v>22</v>
      </c>
      <c r="B50" s="100">
        <f t="shared" si="10"/>
        <v>31</v>
      </c>
      <c r="C50" s="184">
        <f t="shared" si="20"/>
        <v>1750</v>
      </c>
      <c r="D50" s="22" t="str">
        <f t="shared" ca="1" si="4"/>
        <v>=$B$11</v>
      </c>
      <c r="E50" s="187">
        <f t="shared" si="11"/>
        <v>0</v>
      </c>
      <c r="F50" s="188">
        <f t="shared" si="5"/>
        <v>2361.0746989075838</v>
      </c>
      <c r="G50" s="19" t="str">
        <f t="shared" ca="1" si="17"/>
        <v>=MIN(PV($B$5/$B$14,B50,,-C50), 0)</v>
      </c>
      <c r="H50" s="19" t="str">
        <f t="shared" ca="1" si="18"/>
        <v>=MAX(FV($B$6/$B$14,$B$140-B50,,-C50), 0)</v>
      </c>
      <c r="J50" s="28">
        <v>4.4999999999999998E-2</v>
      </c>
      <c r="K50" s="45">
        <v>7.0108321014067165E-2</v>
      </c>
      <c r="U50" s="15" t="s">
        <v>21</v>
      </c>
      <c r="V50" s="100">
        <f t="shared" si="14"/>
        <v>30</v>
      </c>
      <c r="W50" s="191">
        <f t="shared" si="12"/>
        <v>1750</v>
      </c>
      <c r="X50" s="192">
        <f t="shared" si="15"/>
        <v>1618.6497870471587</v>
      </c>
      <c r="Y50" s="18" t="str">
        <f t="shared" ca="1" si="8"/>
        <v>=PV($B$5/$B$14,V50,,-W50)</v>
      </c>
      <c r="Z50" s="195">
        <v>0</v>
      </c>
      <c r="AA50" s="31"/>
      <c r="AB50" s="18"/>
      <c r="AC50" s="184">
        <v>0</v>
      </c>
      <c r="AD50" s="34">
        <f t="shared" si="16"/>
        <v>0</v>
      </c>
      <c r="AE50" s="18" t="str">
        <f t="shared" ca="1" si="9"/>
        <v>=PV($B$5/$B$14,V50,,-AC50)</v>
      </c>
      <c r="AG50" s="175"/>
    </row>
    <row r="51" spans="1:33" ht="20.5" x14ac:dyDescent="0.45">
      <c r="A51" s="15" t="s">
        <v>23</v>
      </c>
      <c r="B51" s="100">
        <f t="shared" si="10"/>
        <v>32</v>
      </c>
      <c r="C51" s="184">
        <f t="shared" si="20"/>
        <v>1750</v>
      </c>
      <c r="D51" s="22" t="str">
        <f t="shared" ca="1" si="4"/>
        <v>=$B$11</v>
      </c>
      <c r="E51" s="187">
        <f t="shared" si="11"/>
        <v>0</v>
      </c>
      <c r="F51" s="188">
        <f t="shared" si="5"/>
        <v>2353.2305969178578</v>
      </c>
      <c r="G51" s="19" t="str">
        <f t="shared" ca="1" si="17"/>
        <v>=MIN(PV($B$5/$B$14,B51,,-C51), 0)</v>
      </c>
      <c r="H51" s="19" t="str">
        <f t="shared" ca="1" si="18"/>
        <v>=MAX(FV($B$6/$B$14,$B$140-B51,,-C51), 0)</v>
      </c>
      <c r="J51" s="28">
        <v>0.05</v>
      </c>
      <c r="K51" s="45">
        <v>7.1482216747239757E-2</v>
      </c>
      <c r="U51" s="16" t="s">
        <v>22</v>
      </c>
      <c r="V51" s="100">
        <f t="shared" si="14"/>
        <v>31</v>
      </c>
      <c r="W51" s="191">
        <f t="shared" si="12"/>
        <v>1750</v>
      </c>
      <c r="X51" s="192">
        <f t="shared" si="15"/>
        <v>1614.4455018859974</v>
      </c>
      <c r="Y51" s="18" t="str">
        <f t="shared" ca="1" si="8"/>
        <v>=PV($B$5/$B$14,V51,,-W51)</v>
      </c>
      <c r="Z51" s="195">
        <v>0</v>
      </c>
      <c r="AA51" s="31"/>
      <c r="AB51" s="18"/>
      <c r="AC51" s="184">
        <v>0</v>
      </c>
      <c r="AD51" s="34">
        <f t="shared" si="16"/>
        <v>0</v>
      </c>
      <c r="AE51" s="18" t="str">
        <f t="shared" ca="1" si="9"/>
        <v>=PV($B$5/$B$14,V51,,-AC51)</v>
      </c>
      <c r="AG51" s="175"/>
    </row>
    <row r="52" spans="1:33" ht="20.5" x14ac:dyDescent="0.45">
      <c r="A52" s="16" t="s">
        <v>24</v>
      </c>
      <c r="B52" s="100">
        <f t="shared" si="10"/>
        <v>33</v>
      </c>
      <c r="C52" s="184">
        <f t="shared" si="20"/>
        <v>1750</v>
      </c>
      <c r="D52" s="22" t="str">
        <f t="shared" ca="1" si="4"/>
        <v>=$B$11</v>
      </c>
      <c r="E52" s="187">
        <f t="shared" si="11"/>
        <v>0</v>
      </c>
      <c r="F52" s="188">
        <f t="shared" si="5"/>
        <v>2345.4125550676322</v>
      </c>
      <c r="G52" s="19" t="str">
        <f t="shared" ca="1" si="17"/>
        <v>=MIN(PV($B$5/$B$14,B52,,-C52), 0)</v>
      </c>
      <c r="H52" s="19" t="str">
        <f t="shared" ca="1" si="18"/>
        <v>=MAX(FV($B$6/$B$14,$B$140-B52,,-C52), 0)</v>
      </c>
      <c r="J52" s="28">
        <v>5.5E-2</v>
      </c>
      <c r="K52" s="45">
        <v>7.2887121414904055E-2</v>
      </c>
      <c r="U52" s="15" t="s">
        <v>23</v>
      </c>
      <c r="V52" s="100">
        <f t="shared" si="14"/>
        <v>32</v>
      </c>
      <c r="W52" s="191">
        <f t="shared" si="12"/>
        <v>1750</v>
      </c>
      <c r="X52" s="192">
        <f t="shared" si="15"/>
        <v>1610.2521369460335</v>
      </c>
      <c r="Y52" s="18" t="str">
        <f t="shared" ca="1" si="8"/>
        <v>=PV($B$5/$B$14,V52,,-W52)</v>
      </c>
      <c r="Z52" s="195">
        <v>0</v>
      </c>
      <c r="AA52" s="31"/>
      <c r="AB52" s="18"/>
      <c r="AC52" s="184">
        <v>0</v>
      </c>
      <c r="AD52" s="34">
        <f t="shared" si="16"/>
        <v>0</v>
      </c>
      <c r="AE52" s="18" t="str">
        <f t="shared" ca="1" si="9"/>
        <v>=PV($B$5/$B$14,V52,,-AC52)</v>
      </c>
      <c r="AG52" s="175"/>
    </row>
    <row r="53" spans="1:33" ht="20.5" x14ac:dyDescent="0.45">
      <c r="A53" s="15" t="s">
        <v>25</v>
      </c>
      <c r="B53" s="100">
        <f t="shared" si="10"/>
        <v>34</v>
      </c>
      <c r="C53" s="184">
        <f t="shared" si="20"/>
        <v>1750</v>
      </c>
      <c r="D53" s="22" t="str">
        <f t="shared" ca="1" si="4"/>
        <v>=$B$11</v>
      </c>
      <c r="E53" s="187">
        <f t="shared" si="11"/>
        <v>0</v>
      </c>
      <c r="F53" s="188">
        <f t="shared" si="5"/>
        <v>2337.6204867783708</v>
      </c>
      <c r="G53" s="19" t="str">
        <f t="shared" ca="1" si="17"/>
        <v>=MIN(PV($B$5/$B$14,B53,,-C53), 0)</v>
      </c>
      <c r="H53" s="19" t="str">
        <f t="shared" ca="1" si="18"/>
        <v>=MAX(FV($B$6/$B$14,$B$140-B53,,-C53), 0)</v>
      </c>
      <c r="J53" s="28">
        <v>0.06</v>
      </c>
      <c r="K53" s="45">
        <v>7.432353945523551E-2</v>
      </c>
      <c r="U53" s="16" t="s">
        <v>24</v>
      </c>
      <c r="V53" s="100">
        <f t="shared" si="14"/>
        <v>33</v>
      </c>
      <c r="W53" s="191">
        <f t="shared" si="12"/>
        <v>1750</v>
      </c>
      <c r="X53" s="192">
        <f t="shared" si="15"/>
        <v>1606.0696638630566</v>
      </c>
      <c r="Y53" s="18" t="str">
        <f t="shared" ca="1" si="8"/>
        <v>=PV($B$5/$B$14,V53,,-W53)</v>
      </c>
      <c r="Z53" s="195">
        <v>0</v>
      </c>
      <c r="AA53" s="31"/>
      <c r="AB53" s="18"/>
      <c r="AC53" s="184">
        <v>0</v>
      </c>
      <c r="AD53" s="34">
        <f t="shared" si="16"/>
        <v>0</v>
      </c>
      <c r="AE53" s="18" t="str">
        <f t="shared" ca="1" si="9"/>
        <v>=PV($B$5/$B$14,V53,,-AC53)</v>
      </c>
      <c r="AG53" s="175"/>
    </row>
    <row r="54" spans="1:33" ht="20.5" x14ac:dyDescent="0.45">
      <c r="A54" s="16" t="s">
        <v>26</v>
      </c>
      <c r="B54" s="100">
        <f t="shared" si="10"/>
        <v>35</v>
      </c>
      <c r="C54" s="184">
        <f t="shared" si="20"/>
        <v>1750</v>
      </c>
      <c r="D54" s="22" t="str">
        <f t="shared" ca="1" si="4"/>
        <v>=$B$11</v>
      </c>
      <c r="E54" s="187">
        <f t="shared" si="11"/>
        <v>0</v>
      </c>
      <c r="F54" s="188">
        <f t="shared" si="5"/>
        <v>2329.8543057591733</v>
      </c>
      <c r="G54" s="19" t="str">
        <f t="shared" ca="1" si="17"/>
        <v>=MIN(PV($B$5/$B$14,B54,,-C54), 0)</v>
      </c>
      <c r="H54" s="19" t="str">
        <f t="shared" ca="1" si="18"/>
        <v>=MAX(FV($B$6/$B$14,$B$140-B54,,-C54), 0)</v>
      </c>
      <c r="J54" s="28">
        <v>6.5000000000000002E-2</v>
      </c>
      <c r="K54" s="45">
        <v>7.5791971498720523E-2</v>
      </c>
      <c r="U54" s="15" t="s">
        <v>25</v>
      </c>
      <c r="V54" s="100">
        <f t="shared" si="14"/>
        <v>34</v>
      </c>
      <c r="W54" s="191">
        <f t="shared" si="12"/>
        <v>1750</v>
      </c>
      <c r="X54" s="192">
        <f t="shared" si="15"/>
        <v>1601.8980543465293</v>
      </c>
      <c r="Y54" s="18" t="str">
        <f t="shared" ca="1" si="8"/>
        <v>=PV($B$5/$B$14,V54,,-W54)</v>
      </c>
      <c r="Z54" s="195">
        <v>0</v>
      </c>
      <c r="AA54" s="31"/>
      <c r="AB54" s="18"/>
      <c r="AC54" s="184">
        <v>0</v>
      </c>
      <c r="AD54" s="34">
        <f t="shared" si="16"/>
        <v>0</v>
      </c>
      <c r="AE54" s="18" t="str">
        <f t="shared" ca="1" si="9"/>
        <v>=PV($B$5/$B$14,V54,,-AC54)</v>
      </c>
      <c r="AG54" s="175"/>
    </row>
    <row r="55" spans="1:33" ht="20.5" x14ac:dyDescent="0.45">
      <c r="A55" s="15" t="s">
        <v>15</v>
      </c>
      <c r="B55" s="100">
        <f t="shared" si="10"/>
        <v>36</v>
      </c>
      <c r="C55" s="184">
        <f t="shared" si="20"/>
        <v>1750</v>
      </c>
      <c r="D55" s="22" t="str">
        <f t="shared" ca="1" si="4"/>
        <v>=$B$11</v>
      </c>
      <c r="E55" s="187">
        <f t="shared" si="11"/>
        <v>0</v>
      </c>
      <c r="F55" s="188">
        <f t="shared" si="5"/>
        <v>2322.1139260058203</v>
      </c>
      <c r="G55" s="19" t="str">
        <f t="shared" ca="1" si="17"/>
        <v>=MIN(PV($B$5/$B$14,B55,,-C55), 0)</v>
      </c>
      <c r="H55" s="19" t="str">
        <f t="shared" ca="1" si="18"/>
        <v>=MAX(FV($B$6/$B$14,$B$140-B55,,-C55), 0)</v>
      </c>
      <c r="J55" s="28">
        <v>7.0000000000000007E-2</v>
      </c>
      <c r="K55" s="45">
        <v>7.7292913756336956E-2</v>
      </c>
      <c r="U55" s="16" t="s">
        <v>26</v>
      </c>
      <c r="V55" s="100">
        <f t="shared" si="14"/>
        <v>35</v>
      </c>
      <c r="W55" s="191">
        <f t="shared" si="12"/>
        <v>1750</v>
      </c>
      <c r="X55" s="192">
        <f t="shared" si="15"/>
        <v>1597.7372801793956</v>
      </c>
      <c r="Y55" s="18" t="str">
        <f t="shared" ca="1" si="8"/>
        <v>=PV($B$5/$B$14,V55,,-W55)</v>
      </c>
      <c r="Z55" s="195">
        <v>0</v>
      </c>
      <c r="AA55" s="31"/>
      <c r="AB55" s="18"/>
      <c r="AC55" s="184">
        <v>0</v>
      </c>
      <c r="AD55" s="34">
        <f t="shared" si="16"/>
        <v>0</v>
      </c>
      <c r="AE55" s="18" t="str">
        <f t="shared" ca="1" si="9"/>
        <v>=PV($B$5/$B$14,V55,,-AC55)</v>
      </c>
      <c r="AG55" s="175"/>
    </row>
    <row r="56" spans="1:33" ht="20.5" x14ac:dyDescent="0.45">
      <c r="A56" s="16" t="s">
        <v>16</v>
      </c>
      <c r="B56" s="100">
        <f t="shared" si="10"/>
        <v>37</v>
      </c>
      <c r="C56" s="184">
        <f>$B$11+$B$12</f>
        <v>-750</v>
      </c>
      <c r="D56" s="22" t="str">
        <f t="shared" ca="1" si="4"/>
        <v>=$B$11+$B$12</v>
      </c>
      <c r="E56" s="187">
        <f t="shared" si="11"/>
        <v>-681.19205373915008</v>
      </c>
      <c r="F56" s="188">
        <f t="shared" si="5"/>
        <v>0</v>
      </c>
      <c r="G56" s="19" t="str">
        <f t="shared" ca="1" si="17"/>
        <v>=MIN(PV($B$5/$B$14,B56,,-C56), 0)</v>
      </c>
      <c r="H56" s="19" t="str">
        <f t="shared" ca="1" si="18"/>
        <v>=MAX(FV($B$6/$B$14,$B$140-B56,,-C56), 0)</v>
      </c>
      <c r="K56" s="4"/>
      <c r="U56" s="15" t="s">
        <v>15</v>
      </c>
      <c r="V56" s="100">
        <f t="shared" si="14"/>
        <v>36</v>
      </c>
      <c r="W56" s="191">
        <f t="shared" si="12"/>
        <v>1750</v>
      </c>
      <c r="X56" s="192">
        <f t="shared" si="15"/>
        <v>1593.5873132178901</v>
      </c>
      <c r="Y56" s="18" t="str">
        <f t="shared" ca="1" si="8"/>
        <v>=PV($B$5/$B$14,V56,,-W56)</v>
      </c>
      <c r="Z56" s="195">
        <v>0</v>
      </c>
      <c r="AA56" s="31"/>
      <c r="AB56" s="18"/>
      <c r="AC56" s="184">
        <v>0</v>
      </c>
      <c r="AD56" s="34">
        <f t="shared" si="16"/>
        <v>0</v>
      </c>
      <c r="AE56" s="18" t="str">
        <f t="shared" ca="1" si="9"/>
        <v>=PV($B$5/$B$14,V56,,-AC56)</v>
      </c>
      <c r="AG56" s="175"/>
    </row>
    <row r="57" spans="1:33" ht="20.5" x14ac:dyDescent="0.45">
      <c r="A57" s="15" t="s">
        <v>17</v>
      </c>
      <c r="B57" s="100">
        <f t="shared" si="10"/>
        <v>38</v>
      </c>
      <c r="C57" s="184">
        <f>$B$11</f>
        <v>1750</v>
      </c>
      <c r="D57" s="22" t="str">
        <f t="shared" ca="1" si="4"/>
        <v>=$B$11</v>
      </c>
      <c r="E57" s="187">
        <f t="shared" si="11"/>
        <v>0</v>
      </c>
      <c r="F57" s="188">
        <f t="shared" si="5"/>
        <v>2306.7102277074628</v>
      </c>
      <c r="G57" s="19" t="str">
        <f t="shared" ca="1" si="17"/>
        <v>=MIN(PV($B$5/$B$14,B57,,-C57), 0)</v>
      </c>
      <c r="H57" s="19" t="str">
        <f t="shared" ca="1" si="18"/>
        <v>=MAX(FV($B$6/$B$14,$B$140-B57,,-C57), 0)</v>
      </c>
      <c r="J57" s="1" t="s">
        <v>107</v>
      </c>
      <c r="K57" s="4"/>
      <c r="U57" s="16" t="s">
        <v>16</v>
      </c>
      <c r="V57" s="100">
        <f t="shared" si="14"/>
        <v>37</v>
      </c>
      <c r="W57" s="191">
        <f t="shared" si="12"/>
        <v>1750</v>
      </c>
      <c r="X57" s="192">
        <f t="shared" si="15"/>
        <v>1589.4481253913502</v>
      </c>
      <c r="Y57" s="18" t="str">
        <f t="shared" ca="1" si="8"/>
        <v>=PV($B$5/$B$14,V57,,-W57)</v>
      </c>
      <c r="Z57" s="195">
        <v>0</v>
      </c>
      <c r="AA57" s="31"/>
      <c r="AB57" s="18"/>
      <c r="AC57" s="184">
        <f>AC45</f>
        <v>-2500</v>
      </c>
      <c r="AD57" s="34">
        <f t="shared" si="16"/>
        <v>-2270.6401791305002</v>
      </c>
      <c r="AE57" s="18" t="str">
        <f t="shared" ca="1" si="9"/>
        <v>=PV($B$5/$B$14,V57,,-AC57)</v>
      </c>
      <c r="AG57" s="175"/>
    </row>
    <row r="58" spans="1:33" ht="20.5" x14ac:dyDescent="0.45">
      <c r="A58" s="16" t="s">
        <v>18</v>
      </c>
      <c r="B58" s="100">
        <f t="shared" si="10"/>
        <v>39</v>
      </c>
      <c r="C58" s="184">
        <f t="shared" ref="C58:C67" si="21">$B$11</f>
        <v>1750</v>
      </c>
      <c r="D58" s="22" t="str">
        <f t="shared" ca="1" si="4"/>
        <v>=$B$11</v>
      </c>
      <c r="E58" s="187">
        <f t="shared" si="11"/>
        <v>0</v>
      </c>
      <c r="F58" s="188">
        <f t="shared" si="5"/>
        <v>2299.0467385788661</v>
      </c>
      <c r="G58" s="19" t="str">
        <f t="shared" ca="1" si="17"/>
        <v>=MIN(PV($B$5/$B$14,B58,,-C58), 0)</v>
      </c>
      <c r="H58" s="19" t="str">
        <f t="shared" ca="1" si="18"/>
        <v>=MAX(FV($B$6/$B$14,$B$140-B58,,-C58), 0)</v>
      </c>
      <c r="K58" s="105" t="s">
        <v>4</v>
      </c>
      <c r="L58" s="105"/>
      <c r="M58" s="105"/>
      <c r="N58" s="105"/>
      <c r="O58" s="105"/>
      <c r="P58" s="105"/>
      <c r="Q58" s="105"/>
      <c r="R58" s="105"/>
      <c r="U58" s="15" t="s">
        <v>17</v>
      </c>
      <c r="V58" s="100">
        <f t="shared" si="14"/>
        <v>38</v>
      </c>
      <c r="W58" s="191">
        <f t="shared" si="12"/>
        <v>1750</v>
      </c>
      <c r="X58" s="192">
        <f t="shared" si="15"/>
        <v>1585.3196887020219</v>
      </c>
      <c r="Y58" s="18" t="str">
        <f t="shared" ca="1" si="8"/>
        <v>=PV($B$5/$B$14,V58,,-W58)</v>
      </c>
      <c r="Z58" s="195">
        <v>0</v>
      </c>
      <c r="AA58" s="31"/>
      <c r="AB58" s="18"/>
      <c r="AC58" s="184">
        <v>0</v>
      </c>
      <c r="AD58" s="34">
        <f t="shared" si="16"/>
        <v>0</v>
      </c>
      <c r="AE58" s="18" t="str">
        <f t="shared" ca="1" si="9"/>
        <v>=PV($B$5/$B$14,V58,,-AC58)</v>
      </c>
      <c r="AG58" s="175"/>
    </row>
    <row r="59" spans="1:33" ht="20.5" x14ac:dyDescent="0.45">
      <c r="A59" s="15" t="s">
        <v>19</v>
      </c>
      <c r="B59" s="100">
        <f t="shared" si="10"/>
        <v>40</v>
      </c>
      <c r="C59" s="184">
        <f t="shared" si="21"/>
        <v>1750</v>
      </c>
      <c r="D59" s="22" t="str">
        <f t="shared" ca="1" si="4"/>
        <v>=$B$11</v>
      </c>
      <c r="E59" s="187">
        <f t="shared" si="11"/>
        <v>0</v>
      </c>
      <c r="F59" s="188">
        <f t="shared" si="5"/>
        <v>2291.4087095470427</v>
      </c>
      <c r="G59" s="19" t="str">
        <f t="shared" ca="1" si="17"/>
        <v>=MIN(PV($B$5/$B$14,B59,,-C59), 0)</v>
      </c>
      <c r="H59" s="19" t="str">
        <f t="shared" ca="1" si="18"/>
        <v>=MAX(FV($B$6/$B$14,$B$140-B59,,-C59), 0)</v>
      </c>
      <c r="J59" s="214">
        <f>C142</f>
        <v>7.9980136631989218E-2</v>
      </c>
      <c r="K59" s="44">
        <v>-1000</v>
      </c>
      <c r="L59" s="44">
        <v>-1250</v>
      </c>
      <c r="M59" s="44">
        <v>-1500</v>
      </c>
      <c r="N59" s="44">
        <v>-1750</v>
      </c>
      <c r="O59" s="44">
        <v>-2000</v>
      </c>
      <c r="P59" s="44">
        <v>-2250</v>
      </c>
      <c r="Q59" s="44">
        <v>-2500</v>
      </c>
      <c r="R59" s="44">
        <v>-2750</v>
      </c>
      <c r="U59" s="16" t="s">
        <v>18</v>
      </c>
      <c r="V59" s="100">
        <f t="shared" si="14"/>
        <v>39</v>
      </c>
      <c r="W59" s="191">
        <f t="shared" si="12"/>
        <v>1750</v>
      </c>
      <c r="X59" s="192">
        <f t="shared" si="15"/>
        <v>1581.2019752248739</v>
      </c>
      <c r="Y59" s="18" t="str">
        <f t="shared" ca="1" si="8"/>
        <v>=PV($B$5/$B$14,V59,,-W59)</v>
      </c>
      <c r="Z59" s="195">
        <v>0</v>
      </c>
      <c r="AA59" s="31"/>
      <c r="AB59" s="18"/>
      <c r="AC59" s="184">
        <v>0</v>
      </c>
      <c r="AD59" s="34">
        <f t="shared" si="16"/>
        <v>0</v>
      </c>
      <c r="AE59" s="18" t="str">
        <f t="shared" ca="1" si="9"/>
        <v>=PV($B$5/$B$14,V59,,-AC59)</v>
      </c>
      <c r="AG59" s="175"/>
    </row>
    <row r="60" spans="1:33" ht="26.25" customHeight="1" x14ac:dyDescent="0.45">
      <c r="A60" s="16" t="s">
        <v>20</v>
      </c>
      <c r="B60" s="100">
        <f t="shared" si="10"/>
        <v>41</v>
      </c>
      <c r="C60" s="184">
        <f t="shared" si="21"/>
        <v>1750</v>
      </c>
      <c r="D60" s="22" t="str">
        <f t="shared" ca="1" si="4"/>
        <v>=$B$11</v>
      </c>
      <c r="E60" s="187">
        <f t="shared" si="11"/>
        <v>0</v>
      </c>
      <c r="F60" s="188">
        <f t="shared" si="5"/>
        <v>2283.7960560269521</v>
      </c>
      <c r="G60" s="19" t="str">
        <f t="shared" ca="1" si="17"/>
        <v>=MIN(PV($B$5/$B$14,B60,,-C60), 0)</v>
      </c>
      <c r="H60" s="19" t="str">
        <f t="shared" ca="1" si="18"/>
        <v>=MAX(FV($B$6/$B$14,$B$140-B60,,-C60), 0)</v>
      </c>
      <c r="I60" s="105"/>
      <c r="J60" s="44">
        <v>1000</v>
      </c>
      <c r="K60" s="215">
        <f t="dataTable" ref="K60:R70" dt2D="1" dtr="1" r1="B12" r2="B11"/>
        <v>4.9341868686933354E-2</v>
      </c>
      <c r="L60" s="215">
        <v>4.8307538566629393E-2</v>
      </c>
      <c r="M60" s="215">
        <v>4.7275230669738599E-2</v>
      </c>
      <c r="N60" s="215">
        <v>4.6244939579964228E-2</v>
      </c>
      <c r="O60" s="215">
        <v>4.5216659897000522E-2</v>
      </c>
      <c r="P60" s="215">
        <v>4.4190386236487633E-2</v>
      </c>
      <c r="Q60" s="215">
        <v>4.3166113229951675E-2</v>
      </c>
      <c r="R60" s="215">
        <v>4.2143835524753648E-2</v>
      </c>
      <c r="U60" s="15" t="s">
        <v>19</v>
      </c>
      <c r="V60" s="100">
        <f t="shared" si="14"/>
        <v>40</v>
      </c>
      <c r="W60" s="191">
        <f t="shared" si="12"/>
        <v>1750</v>
      </c>
      <c r="X60" s="192">
        <f t="shared" si="15"/>
        <v>1577.0949571074068</v>
      </c>
      <c r="Y60" s="18" t="str">
        <f t="shared" ca="1" si="8"/>
        <v>=PV($B$5/$B$14,V60,,-W60)</v>
      </c>
      <c r="Z60" s="195">
        <v>0</v>
      </c>
      <c r="AA60" s="31"/>
      <c r="AB60" s="18"/>
      <c r="AC60" s="184">
        <v>0</v>
      </c>
      <c r="AD60" s="34">
        <f t="shared" si="16"/>
        <v>0</v>
      </c>
      <c r="AE60" s="18" t="str">
        <f t="shared" ca="1" si="9"/>
        <v>=PV($B$5/$B$14,V60,,-AC60)</v>
      </c>
      <c r="AG60" s="175"/>
    </row>
    <row r="61" spans="1:33" ht="20.5" x14ac:dyDescent="0.45">
      <c r="A61" s="15" t="s">
        <v>21</v>
      </c>
      <c r="B61" s="100">
        <f t="shared" si="10"/>
        <v>42</v>
      </c>
      <c r="C61" s="184">
        <f t="shared" si="21"/>
        <v>1750</v>
      </c>
      <c r="D61" s="22" t="str">
        <f t="shared" ca="1" si="4"/>
        <v>=$B$11</v>
      </c>
      <c r="E61" s="187">
        <f t="shared" si="11"/>
        <v>0</v>
      </c>
      <c r="F61" s="188">
        <f t="shared" si="5"/>
        <v>2276.2086937145705</v>
      </c>
      <c r="G61" s="19" t="str">
        <f t="shared" ca="1" si="17"/>
        <v>=MIN(PV($B$5/$B$14,B61,,-C61), 0)</v>
      </c>
      <c r="H61" s="19" t="str">
        <f t="shared" ca="1" si="18"/>
        <v>=MAX(FV($B$6/$B$14,$B$140-B61,,-C61), 0)</v>
      </c>
      <c r="I61" s="105"/>
      <c r="J61" s="44">
        <v>1200</v>
      </c>
      <c r="K61" s="215">
        <v>5.9113676434093154E-2</v>
      </c>
      <c r="L61" s="215">
        <v>5.8064595314343492E-2</v>
      </c>
      <c r="M61" s="215">
        <v>5.7017568973975141E-2</v>
      </c>
      <c r="N61" s="215">
        <v>5.5972591922977877E-2</v>
      </c>
      <c r="O61" s="215">
        <v>5.4929658687552951E-2</v>
      </c>
      <c r="P61" s="215">
        <v>5.3888763810088669E-2</v>
      </c>
      <c r="Q61" s="215">
        <v>5.2849901849057357E-2</v>
      </c>
      <c r="R61" s="215">
        <v>5.1813067379005595E-2</v>
      </c>
      <c r="U61" s="16" t="s">
        <v>20</v>
      </c>
      <c r="V61" s="100">
        <f t="shared" si="14"/>
        <v>41</v>
      </c>
      <c r="W61" s="191">
        <f t="shared" si="12"/>
        <v>1750</v>
      </c>
      <c r="X61" s="192">
        <f t="shared" si="15"/>
        <v>1572.9986065694652</v>
      </c>
      <c r="Y61" s="18" t="str">
        <f t="shared" ca="1" si="8"/>
        <v>=PV($B$5/$B$14,V61,,-W61)</v>
      </c>
      <c r="Z61" s="195">
        <v>0</v>
      </c>
      <c r="AA61" s="31"/>
      <c r="AB61" s="18"/>
      <c r="AC61" s="184">
        <v>0</v>
      </c>
      <c r="AD61" s="34">
        <f t="shared" si="16"/>
        <v>0</v>
      </c>
      <c r="AE61" s="18" t="str">
        <f t="shared" ca="1" si="9"/>
        <v>=PV($B$5/$B$14,V61,,-AC61)</v>
      </c>
      <c r="AG61" s="175"/>
    </row>
    <row r="62" spans="1:33" ht="20.5" x14ac:dyDescent="0.45">
      <c r="A62" s="16" t="s">
        <v>22</v>
      </c>
      <c r="B62" s="100">
        <f t="shared" si="10"/>
        <v>43</v>
      </c>
      <c r="C62" s="184">
        <f t="shared" si="21"/>
        <v>1750</v>
      </c>
      <c r="D62" s="22" t="str">
        <f t="shared" ca="1" si="4"/>
        <v>=$B$11</v>
      </c>
      <c r="E62" s="187">
        <f t="shared" si="11"/>
        <v>0</v>
      </c>
      <c r="F62" s="188">
        <f t="shared" si="5"/>
        <v>2268.6465385859497</v>
      </c>
      <c r="G62" s="19" t="str">
        <f t="shared" ca="1" si="17"/>
        <v>=MIN(PV($B$5/$B$14,B62,,-C62), 0)</v>
      </c>
      <c r="H62" s="19" t="str">
        <f t="shared" ca="1" si="18"/>
        <v>=MAX(FV($B$6/$B$14,$B$140-B62,,-C62), 0)</v>
      </c>
      <c r="I62" s="105"/>
      <c r="J62" s="44">
        <v>1300</v>
      </c>
      <c r="K62" s="215">
        <v>6.4036134909302822E-2</v>
      </c>
      <c r="L62" s="215">
        <v>6.2979615594763505E-2</v>
      </c>
      <c r="M62" s="215">
        <v>6.1925167419485394E-2</v>
      </c>
      <c r="N62" s="215">
        <v>6.0872784856315088E-2</v>
      </c>
      <c r="O62" s="215">
        <v>5.9822462394436116E-2</v>
      </c>
      <c r="P62" s="215">
        <v>5.8774194539322755E-2</v>
      </c>
      <c r="Q62" s="215">
        <v>5.7727975812674526E-2</v>
      </c>
      <c r="R62" s="215">
        <v>5.6683800752356239E-2</v>
      </c>
      <c r="U62" s="15" t="s">
        <v>21</v>
      </c>
      <c r="V62" s="100">
        <f t="shared" si="14"/>
        <v>42</v>
      </c>
      <c r="W62" s="191">
        <f t="shared" si="12"/>
        <v>1750</v>
      </c>
      <c r="X62" s="192">
        <f t="shared" si="15"/>
        <v>1568.9128959030511</v>
      </c>
      <c r="Y62" s="18" t="str">
        <f t="shared" ca="1" si="8"/>
        <v>=PV($B$5/$B$14,V62,,-W62)</v>
      </c>
      <c r="Z62" s="195">
        <v>0</v>
      </c>
      <c r="AA62" s="31"/>
      <c r="AB62" s="18"/>
      <c r="AC62" s="184">
        <v>0</v>
      </c>
      <c r="AD62" s="34">
        <f t="shared" si="16"/>
        <v>0</v>
      </c>
      <c r="AE62" s="18" t="str">
        <f t="shared" ca="1" si="9"/>
        <v>=PV($B$5/$B$14,V62,,-AC62)</v>
      </c>
      <c r="AG62" s="175"/>
    </row>
    <row r="63" spans="1:33" ht="20.5" x14ac:dyDescent="0.45">
      <c r="A63" s="15" t="s">
        <v>23</v>
      </c>
      <c r="B63" s="100">
        <f t="shared" si="10"/>
        <v>44</v>
      </c>
      <c r="C63" s="184">
        <f t="shared" si="21"/>
        <v>1750</v>
      </c>
      <c r="D63" s="22" t="str">
        <f t="shared" ca="1" si="4"/>
        <v>=$B$11</v>
      </c>
      <c r="E63" s="187">
        <f t="shared" si="11"/>
        <v>0</v>
      </c>
      <c r="F63" s="188">
        <f t="shared" si="5"/>
        <v>2261.1095068962954</v>
      </c>
      <c r="G63" s="19" t="str">
        <f t="shared" ca="1" si="17"/>
        <v>=MIN(PV($B$5/$B$14,B63,,-C63), 0)</v>
      </c>
      <c r="H63" s="19" t="str">
        <f t="shared" ca="1" si="18"/>
        <v>=MAX(FV($B$6/$B$14,$B$140-B63,,-C63), 0)</v>
      </c>
      <c r="I63" s="105"/>
      <c r="J63" s="44">
        <v>1400</v>
      </c>
      <c r="K63" s="215">
        <v>6.8983064774421621E-2</v>
      </c>
      <c r="L63" s="215">
        <v>6.7919065546151014E-2</v>
      </c>
      <c r="M63" s="215">
        <v>6.6857153872212693E-2</v>
      </c>
      <c r="N63" s="215">
        <v>6.5797324188090256E-2</v>
      </c>
      <c r="O63" s="215">
        <v>6.4739570945729907E-2</v>
      </c>
      <c r="P63" s="215">
        <v>6.3683888613437212E-2</v>
      </c>
      <c r="Q63" s="215">
        <v>6.2630271676029636E-2</v>
      </c>
      <c r="R63" s="215">
        <v>6.1578714634448861E-2</v>
      </c>
      <c r="U63" s="16" t="s">
        <v>22</v>
      </c>
      <c r="V63" s="100">
        <f t="shared" si="14"/>
        <v>43</v>
      </c>
      <c r="W63" s="191">
        <f t="shared" si="12"/>
        <v>1750</v>
      </c>
      <c r="X63" s="192">
        <f t="shared" si="15"/>
        <v>1564.8377974721341</v>
      </c>
      <c r="Y63" s="18" t="str">
        <f t="shared" ca="1" si="8"/>
        <v>=PV($B$5/$B$14,V63,,-W63)</v>
      </c>
      <c r="Z63" s="195">
        <v>0</v>
      </c>
      <c r="AA63" s="31"/>
      <c r="AB63" s="18"/>
      <c r="AC63" s="184">
        <v>0</v>
      </c>
      <c r="AD63" s="34">
        <f t="shared" si="16"/>
        <v>0</v>
      </c>
      <c r="AE63" s="18" t="str">
        <f t="shared" ca="1" si="9"/>
        <v>=PV($B$5/$B$14,V63,,-AC63)</v>
      </c>
      <c r="AG63" s="175"/>
    </row>
    <row r="64" spans="1:33" ht="20.25" customHeight="1" x14ac:dyDescent="0.45">
      <c r="A64" s="16" t="s">
        <v>24</v>
      </c>
      <c r="B64" s="100">
        <f t="shared" si="10"/>
        <v>45</v>
      </c>
      <c r="C64" s="184">
        <f t="shared" si="21"/>
        <v>1750</v>
      </c>
      <c r="D64" s="22" t="str">
        <f t="shared" ca="1" si="4"/>
        <v>=$B$11</v>
      </c>
      <c r="E64" s="187">
        <f t="shared" si="11"/>
        <v>0</v>
      </c>
      <c r="F64" s="188">
        <f t="shared" si="5"/>
        <v>2253.5975151790317</v>
      </c>
      <c r="G64" s="19" t="str">
        <f t="shared" ca="1" si="17"/>
        <v>=MIN(PV($B$5/$B$14,B64,,-C64), 0)</v>
      </c>
      <c r="H64" s="19" t="str">
        <f t="shared" ca="1" si="18"/>
        <v>=MAX(FV($B$6/$B$14,$B$140-B64,,-C64), 0)</v>
      </c>
      <c r="I64" s="105" t="s">
        <v>189</v>
      </c>
      <c r="J64" s="44">
        <v>1500</v>
      </c>
      <c r="K64" s="215">
        <v>7.3954541173665955E-2</v>
      </c>
      <c r="L64" s="215">
        <v>7.2883020367199514E-2</v>
      </c>
      <c r="M64" s="215">
        <v>7.1813603585903385E-2</v>
      </c>
      <c r="N64" s="215">
        <v>7.0746285227641037E-2</v>
      </c>
      <c r="O64" s="215">
        <v>6.9681059706901083E-2</v>
      </c>
      <c r="P64" s="215">
        <v>6.8617921454679376E-2</v>
      </c>
      <c r="Q64" s="215">
        <v>6.7556864918474568E-2</v>
      </c>
      <c r="R64" s="215">
        <v>6.6497884562185083E-2</v>
      </c>
      <c r="U64" s="15" t="s">
        <v>23</v>
      </c>
      <c r="V64" s="100">
        <f t="shared" si="14"/>
        <v>44</v>
      </c>
      <c r="W64" s="191">
        <f t="shared" si="12"/>
        <v>1750</v>
      </c>
      <c r="X64" s="192">
        <f t="shared" si="15"/>
        <v>1560.7732837124659</v>
      </c>
      <c r="Y64" s="18" t="str">
        <f t="shared" ca="1" si="8"/>
        <v>=PV($B$5/$B$14,V64,,-W64)</v>
      </c>
      <c r="Z64" s="195">
        <v>0</v>
      </c>
      <c r="AA64" s="31"/>
      <c r="AB64" s="18"/>
      <c r="AC64" s="184">
        <v>0</v>
      </c>
      <c r="AD64" s="34">
        <f t="shared" si="16"/>
        <v>0</v>
      </c>
      <c r="AE64" s="18" t="str">
        <f t="shared" ca="1" si="9"/>
        <v>=PV($B$5/$B$14,V64,,-AC64)</v>
      </c>
      <c r="AG64" s="175"/>
    </row>
    <row r="65" spans="1:33" ht="20.25" customHeight="1" x14ac:dyDescent="0.45">
      <c r="A65" s="15" t="s">
        <v>25</v>
      </c>
      <c r="B65" s="100">
        <f t="shared" si="10"/>
        <v>46</v>
      </c>
      <c r="C65" s="184">
        <f t="shared" si="21"/>
        <v>1750</v>
      </c>
      <c r="D65" s="22" t="str">
        <f t="shared" ca="1" si="4"/>
        <v>=$B$11</v>
      </c>
      <c r="E65" s="187">
        <f>MIN(PV($B$5/$B$14,B65,,-C65), 0)</f>
        <v>0</v>
      </c>
      <c r="F65" s="188">
        <f t="shared" si="5"/>
        <v>2246.1104802448822</v>
      </c>
      <c r="G65" s="19" t="str">
        <f t="shared" ca="1" si="17"/>
        <v>=MIN(PV($B$5/$B$14,B65,,-C65), 0)</v>
      </c>
      <c r="H65" s="19" t="str">
        <f t="shared" ca="1" si="18"/>
        <v>=MAX(FV($B$6/$B$14,$B$140-B65,,-C65), 0)</v>
      </c>
      <c r="I65" s="79" t="s">
        <v>190</v>
      </c>
      <c r="J65" s="44">
        <v>1600</v>
      </c>
      <c r="K65" s="215">
        <v>7.8950638404298168E-2</v>
      </c>
      <c r="L65" s="215">
        <v>7.7871554406015342E-2</v>
      </c>
      <c r="M65" s="215">
        <v>7.6794590960175269E-2</v>
      </c>
      <c r="N65" s="215">
        <v>7.5719742426766157E-2</v>
      </c>
      <c r="O65" s="215">
        <v>7.4647003182530591E-2</v>
      </c>
      <c r="P65" s="215">
        <v>7.3576367620876049E-2</v>
      </c>
      <c r="Q65" s="215">
        <v>7.2507830151818276E-2</v>
      </c>
      <c r="R65" s="215">
        <v>7.1441385201935548E-2</v>
      </c>
      <c r="U65" s="16" t="s">
        <v>24</v>
      </c>
      <c r="V65" s="100">
        <f t="shared" si="14"/>
        <v>45</v>
      </c>
      <c r="W65" s="191">
        <f t="shared" si="12"/>
        <v>1750</v>
      </c>
      <c r="X65" s="192">
        <f t="shared" si="15"/>
        <v>1556.7193271313945</v>
      </c>
      <c r="Y65" s="18" t="str">
        <f t="shared" ca="1" si="8"/>
        <v>=PV($B$5/$B$14,V65,,-W65)</v>
      </c>
      <c r="Z65" s="195">
        <v>0</v>
      </c>
      <c r="AA65" s="31"/>
      <c r="AB65" s="18"/>
      <c r="AC65" s="184">
        <v>0</v>
      </c>
      <c r="AD65" s="34">
        <f t="shared" si="16"/>
        <v>0</v>
      </c>
      <c r="AE65" s="18" t="str">
        <f t="shared" ca="1" si="9"/>
        <v>=PV($B$5/$B$14,V65,,-AC65)</v>
      </c>
      <c r="AG65" s="175"/>
    </row>
    <row r="66" spans="1:33" ht="20.5" x14ac:dyDescent="0.45">
      <c r="A66" s="16" t="s">
        <v>26</v>
      </c>
      <c r="B66" s="100">
        <f t="shared" si="10"/>
        <v>47</v>
      </c>
      <c r="C66" s="184">
        <f t="shared" si="21"/>
        <v>1750</v>
      </c>
      <c r="D66" s="22" t="str">
        <f t="shared" ca="1" si="4"/>
        <v>=$B$11</v>
      </c>
      <c r="E66" s="187">
        <f t="shared" si="11"/>
        <v>0</v>
      </c>
      <c r="F66" s="188">
        <f t="shared" si="5"/>
        <v>2238.6483191809457</v>
      </c>
      <c r="G66" s="19" t="str">
        <f t="shared" ca="1" si="17"/>
        <v>=MIN(PV($B$5/$B$14,B66,,-C66), 0)</v>
      </c>
      <c r="H66" s="19" t="str">
        <f t="shared" ca="1" si="18"/>
        <v>=MAX(FV($B$6/$B$14,$B$140-B66,,-C66), 0)</v>
      </c>
      <c r="I66" s="105"/>
      <c r="J66" s="44">
        <v>1750</v>
      </c>
      <c r="K66" s="215">
        <v>8.6491108824502616E-2</v>
      </c>
      <c r="L66" s="215">
        <v>8.5400602114138024E-2</v>
      </c>
      <c r="M66" s="215">
        <v>8.4312240854637954E-2</v>
      </c>
      <c r="N66" s="215">
        <v>8.3226019348649372E-2</v>
      </c>
      <c r="O66" s="215">
        <v>8.2141931915752586E-2</v>
      </c>
      <c r="P66" s="215">
        <v>8.1059972892432386E-2</v>
      </c>
      <c r="Q66" s="215">
        <v>7.9980136631989218E-2</v>
      </c>
      <c r="R66" s="215">
        <v>7.8902417504480793E-2</v>
      </c>
      <c r="U66" s="15" t="s">
        <v>25</v>
      </c>
      <c r="V66" s="100">
        <f t="shared" si="14"/>
        <v>46</v>
      </c>
      <c r="W66" s="191">
        <f t="shared" si="12"/>
        <v>1750</v>
      </c>
      <c r="X66" s="192">
        <f t="shared" si="15"/>
        <v>1552.6759003076766</v>
      </c>
      <c r="Y66" s="18" t="str">
        <f t="shared" ca="1" si="8"/>
        <v>=PV($B$5/$B$14,V66,,-W66)</v>
      </c>
      <c r="Z66" s="195">
        <v>0</v>
      </c>
      <c r="AA66" s="31"/>
      <c r="AB66" s="18"/>
      <c r="AC66" s="184">
        <v>0</v>
      </c>
      <c r="AD66" s="34">
        <f t="shared" si="16"/>
        <v>0</v>
      </c>
      <c r="AE66" s="18" t="str">
        <f t="shared" ca="1" si="9"/>
        <v>=PV($B$5/$B$14,V66,,-AC66)</v>
      </c>
      <c r="AG66" s="175"/>
    </row>
    <row r="67" spans="1:33" ht="20.5" x14ac:dyDescent="0.45">
      <c r="A67" s="15" t="s">
        <v>15</v>
      </c>
      <c r="B67" s="100">
        <f t="shared" si="10"/>
        <v>48</v>
      </c>
      <c r="C67" s="184">
        <f t="shared" si="21"/>
        <v>1750</v>
      </c>
      <c r="D67" s="22" t="str">
        <f t="shared" ca="1" si="4"/>
        <v>=$B$11</v>
      </c>
      <c r="E67" s="187">
        <f t="shared" si="11"/>
        <v>0</v>
      </c>
      <c r="F67" s="188">
        <f t="shared" si="5"/>
        <v>2231.2109493497787</v>
      </c>
      <c r="G67" s="19" t="str">
        <f t="shared" ca="1" si="17"/>
        <v>=MIN(PV($B$5/$B$14,B67,,-C67), 0)</v>
      </c>
      <c r="H67" s="19" t="str">
        <f t="shared" ca="1" si="18"/>
        <v>=MAX(FV($B$6/$B$14,$B$140-B67,,-C67), 0)</v>
      </c>
      <c r="I67" s="105"/>
      <c r="J67" s="44">
        <v>1800</v>
      </c>
      <c r="K67" s="215">
        <v>8.901698847995454E-2</v>
      </c>
      <c r="L67" s="215">
        <v>8.7922653439940435E-2</v>
      </c>
      <c r="M67" s="215">
        <v>8.683047217937645E-2</v>
      </c>
      <c r="N67" s="215">
        <v>8.5740438981634748E-2</v>
      </c>
      <c r="O67" s="215">
        <v>8.4652548147098328E-2</v>
      </c>
      <c r="P67" s="215">
        <v>8.3566793993120836E-2</v>
      </c>
      <c r="Q67" s="215">
        <v>8.248317085394663E-2</v>
      </c>
      <c r="R67" s="215">
        <v>8.1401673080645276E-2</v>
      </c>
      <c r="U67" s="16" t="s">
        <v>26</v>
      </c>
      <c r="V67" s="100">
        <f t="shared" si="14"/>
        <v>47</v>
      </c>
      <c r="W67" s="191">
        <f t="shared" si="12"/>
        <v>1750</v>
      </c>
      <c r="X67" s="192">
        <f t="shared" si="15"/>
        <v>1548.642975891293</v>
      </c>
      <c r="Y67" s="18" t="str">
        <f t="shared" ca="1" si="8"/>
        <v>=PV($B$5/$B$14,V67,,-W67)</v>
      </c>
      <c r="Z67" s="195">
        <v>0</v>
      </c>
      <c r="AA67" s="31"/>
      <c r="AB67" s="18"/>
      <c r="AC67" s="184">
        <v>0</v>
      </c>
      <c r="AD67" s="34">
        <f t="shared" si="16"/>
        <v>0</v>
      </c>
      <c r="AE67" s="18" t="str">
        <f t="shared" ca="1" si="9"/>
        <v>=PV($B$5/$B$14,V67,,-AC67)</v>
      </c>
      <c r="AG67" s="175"/>
    </row>
    <row r="68" spans="1:33" ht="20.5" x14ac:dyDescent="0.45">
      <c r="A68" s="16" t="s">
        <v>16</v>
      </c>
      <c r="B68" s="100">
        <f t="shared" si="10"/>
        <v>49</v>
      </c>
      <c r="C68" s="184">
        <f>$B$11+$B$12</f>
        <v>-750</v>
      </c>
      <c r="D68" s="22" t="str">
        <f t="shared" ca="1" si="4"/>
        <v>=$B$11+$B$12</v>
      </c>
      <c r="E68" s="187">
        <f t="shared" si="11"/>
        <v>-660.26079652948408</v>
      </c>
      <c r="F68" s="188">
        <f t="shared" si="5"/>
        <v>0</v>
      </c>
      <c r="G68" s="19" t="str">
        <f t="shared" ca="1" si="17"/>
        <v>=MIN(PV($B$5/$B$14,B68,,-C68), 0)</v>
      </c>
      <c r="H68" s="19" t="str">
        <f t="shared" ca="1" si="18"/>
        <v>=MAX(FV($B$6/$B$14,$B$140-B68,,-C68), 0)</v>
      </c>
      <c r="I68" s="105"/>
      <c r="J68" s="44">
        <v>1900</v>
      </c>
      <c r="K68" s="215">
        <v>9.4087385940013979E-2</v>
      </c>
      <c r="L68" s="215">
        <v>9.2985363129877818E-2</v>
      </c>
      <c r="M68" s="215">
        <v>9.1885510800783443E-2</v>
      </c>
      <c r="N68" s="215">
        <v>9.078782319728651E-2</v>
      </c>
      <c r="O68" s="215">
        <v>8.9692294581113607E-2</v>
      </c>
      <c r="P68" s="215">
        <v>8.8598919231121398E-2</v>
      </c>
      <c r="Q68" s="215">
        <v>8.7507691443199143E-2</v>
      </c>
      <c r="R68" s="215">
        <v>8.6418605530209636E-2</v>
      </c>
      <c r="U68" s="15" t="s">
        <v>15</v>
      </c>
      <c r="V68" s="100">
        <f t="shared" si="14"/>
        <v>48</v>
      </c>
      <c r="W68" s="191">
        <f t="shared" si="12"/>
        <v>1750</v>
      </c>
      <c r="X68" s="192">
        <f t="shared" si="15"/>
        <v>1544.6205266032634</v>
      </c>
      <c r="Y68" s="18" t="str">
        <f t="shared" ca="1" si="8"/>
        <v>=PV($B$5/$B$14,V68,,-W68)</v>
      </c>
      <c r="Z68" s="195">
        <v>0</v>
      </c>
      <c r="AA68" s="31"/>
      <c r="AB68" s="18"/>
      <c r="AC68" s="184">
        <v>0</v>
      </c>
      <c r="AD68" s="34">
        <f t="shared" si="16"/>
        <v>0</v>
      </c>
      <c r="AE68" s="18" t="str">
        <f t="shared" ca="1" si="9"/>
        <v>=PV($B$5/$B$14,V68,,-AC68)</v>
      </c>
      <c r="AG68" s="175"/>
    </row>
    <row r="69" spans="1:33" ht="20.5" x14ac:dyDescent="0.45">
      <c r="A69" s="15" t="s">
        <v>17</v>
      </c>
      <c r="B69" s="100">
        <f t="shared" si="10"/>
        <v>50</v>
      </c>
      <c r="C69" s="184">
        <f>$B$11</f>
        <v>1750</v>
      </c>
      <c r="D69" s="22" t="str">
        <f t="shared" ca="1" si="4"/>
        <v>=$B$11</v>
      </c>
      <c r="E69" s="187">
        <f t="shared" si="11"/>
        <v>0</v>
      </c>
      <c r="F69" s="188">
        <f t="shared" si="5"/>
        <v>2216.4102542077917</v>
      </c>
      <c r="G69" s="19" t="str">
        <f t="shared" ca="1" si="17"/>
        <v>=MIN(PV($B$5/$B$14,B69,,-C69), 0)</v>
      </c>
      <c r="H69" s="19" t="str">
        <f t="shared" ca="1" si="18"/>
        <v>=MAX(FV($B$6/$B$14,$B$140-B69,,-C69), 0)</v>
      </c>
      <c r="I69" s="105"/>
      <c r="J69" s="44">
        <v>2000</v>
      </c>
      <c r="K69" s="215">
        <v>9.9182693524593857E-2</v>
      </c>
      <c r="L69" s="215">
        <v>9.8072941489538046E-2</v>
      </c>
      <c r="M69" s="215">
        <v>9.696537669720473E-2</v>
      </c>
      <c r="N69" s="215">
        <v>9.5859993352988671E-2</v>
      </c>
      <c r="O69" s="215">
        <v>9.4756785679616096E-2</v>
      </c>
      <c r="P69" s="215">
        <v>9.3655747917084309E-2</v>
      </c>
      <c r="Q69" s="215">
        <v>9.2556874322593297E-2</v>
      </c>
      <c r="R69" s="215">
        <v>9.1460159170471345E-2</v>
      </c>
      <c r="U69" s="16" t="s">
        <v>16</v>
      </c>
      <c r="V69" s="100">
        <f t="shared" si="14"/>
        <v>49</v>
      </c>
      <c r="W69" s="191">
        <f t="shared" si="12"/>
        <v>1750</v>
      </c>
      <c r="X69" s="192">
        <f t="shared" si="15"/>
        <v>1540.6085252354628</v>
      </c>
      <c r="Y69" s="18" t="str">
        <f t="shared" ca="1" si="8"/>
        <v>=PV($B$5/$B$14,V69,,-W69)</v>
      </c>
      <c r="Z69" s="195">
        <v>0</v>
      </c>
      <c r="AA69" s="31"/>
      <c r="AB69" s="18"/>
      <c r="AC69" s="184">
        <f>AC57</f>
        <v>-2500</v>
      </c>
      <c r="AD69" s="34">
        <f t="shared" si="16"/>
        <v>-2200.8693217649466</v>
      </c>
      <c r="AE69" s="18" t="str">
        <f t="shared" ca="1" si="9"/>
        <v>=PV($B$5/$B$14,V69,,-AC69)</v>
      </c>
      <c r="AG69" s="175"/>
    </row>
    <row r="70" spans="1:33" ht="20.5" x14ac:dyDescent="0.45">
      <c r="A70" s="16" t="s">
        <v>18</v>
      </c>
      <c r="B70" s="100">
        <f t="shared" si="10"/>
        <v>51</v>
      </c>
      <c r="C70" s="184">
        <f t="shared" ref="C70:C79" si="22">$B$11</f>
        <v>1750</v>
      </c>
      <c r="D70" s="22" t="str">
        <f t="shared" ca="1" si="4"/>
        <v>=$B$11</v>
      </c>
      <c r="E70" s="187">
        <f t="shared" si="11"/>
        <v>0</v>
      </c>
      <c r="F70" s="188">
        <f t="shared" si="5"/>
        <v>2209.0467649911539</v>
      </c>
      <c r="G70" s="19" t="str">
        <f t="shared" ca="1" si="17"/>
        <v>=MIN(PV($B$5/$B$14,B70,,-C70), 0)</v>
      </c>
      <c r="H70" s="19" t="str">
        <f t="shared" ca="1" si="18"/>
        <v>=MAX(FV($B$6/$B$14,$B$140-B70,,-C70), 0)</v>
      </c>
      <c r="I70" s="105"/>
      <c r="J70" s="44">
        <v>2200</v>
      </c>
      <c r="K70" s="215">
        <v>0.10944832043596042</v>
      </c>
      <c r="L70" s="215">
        <v>0.10832298568695808</v>
      </c>
      <c r="M70" s="215">
        <v>0.10719987188905877</v>
      </c>
      <c r="N70" s="215">
        <v>0.10607897316815129</v>
      </c>
      <c r="O70" s="215">
        <v>0.10496028366781673</v>
      </c>
      <c r="P70" s="215">
        <v>0.1038437975492208</v>
      </c>
      <c r="Q70" s="215">
        <v>0.10272950899106981</v>
      </c>
      <c r="R70" s="215">
        <v>0.10161741218953257</v>
      </c>
      <c r="U70" s="15" t="s">
        <v>17</v>
      </c>
      <c r="V70" s="100">
        <f t="shared" si="14"/>
        <v>50</v>
      </c>
      <c r="W70" s="191">
        <f t="shared" si="12"/>
        <v>1750</v>
      </c>
      <c r="X70" s="192">
        <f t="shared" si="15"/>
        <v>1536.6069446504357</v>
      </c>
      <c r="Y70" s="18" t="str">
        <f t="shared" ca="1" si="8"/>
        <v>=PV($B$5/$B$14,V70,,-W70)</v>
      </c>
      <c r="Z70" s="195">
        <v>0</v>
      </c>
      <c r="AA70" s="31"/>
      <c r="AB70" s="18"/>
      <c r="AC70" s="184">
        <v>0</v>
      </c>
      <c r="AD70" s="34">
        <f t="shared" si="16"/>
        <v>0</v>
      </c>
      <c r="AE70" s="18" t="str">
        <f t="shared" ca="1" si="9"/>
        <v>=PV($B$5/$B$14,V70,,-AC70)</v>
      </c>
      <c r="AG70" s="175"/>
    </row>
    <row r="71" spans="1:33" ht="20.5" x14ac:dyDescent="0.45">
      <c r="A71" s="15" t="s">
        <v>19</v>
      </c>
      <c r="B71" s="100">
        <f t="shared" si="10"/>
        <v>52</v>
      </c>
      <c r="C71" s="184">
        <f t="shared" si="22"/>
        <v>1750</v>
      </c>
      <c r="D71" s="22" t="str">
        <f t="shared" ca="1" si="4"/>
        <v>=$B$11</v>
      </c>
      <c r="E71" s="187">
        <f t="shared" si="11"/>
        <v>0</v>
      </c>
      <c r="F71" s="188">
        <f t="shared" si="5"/>
        <v>2201.7077391938406</v>
      </c>
      <c r="G71" s="19" t="str">
        <f t="shared" ca="1" si="17"/>
        <v>=MIN(PV($B$5/$B$14,B71,,-C71), 0)</v>
      </c>
      <c r="H71" s="19" t="str">
        <f t="shared" ca="1" si="18"/>
        <v>=MAX(FV($B$6/$B$14,$B$140-B71,,-C71), 0)</v>
      </c>
      <c r="U71" s="16" t="s">
        <v>18</v>
      </c>
      <c r="V71" s="100">
        <f t="shared" si="14"/>
        <v>51</v>
      </c>
      <c r="W71" s="191">
        <f t="shared" si="12"/>
        <v>1750</v>
      </c>
      <c r="X71" s="192">
        <f t="shared" si="15"/>
        <v>1532.6157577812137</v>
      </c>
      <c r="Y71" s="18" t="str">
        <f t="shared" ca="1" si="8"/>
        <v>=PV($B$5/$B$14,V71,,-W71)</v>
      </c>
      <c r="Z71" s="195">
        <v>0</v>
      </c>
      <c r="AA71" s="31"/>
      <c r="AB71" s="18"/>
      <c r="AC71" s="184">
        <v>0</v>
      </c>
      <c r="AD71" s="34">
        <f t="shared" si="16"/>
        <v>0</v>
      </c>
      <c r="AE71" s="18" t="str">
        <f t="shared" ca="1" si="9"/>
        <v>=PV($B$5/$B$14,V71,,-AC71)</v>
      </c>
      <c r="AG71" s="175"/>
    </row>
    <row r="72" spans="1:33" ht="20.5" x14ac:dyDescent="0.45">
      <c r="A72" s="16" t="s">
        <v>20</v>
      </c>
      <c r="B72" s="100">
        <f t="shared" si="10"/>
        <v>53</v>
      </c>
      <c r="C72" s="184">
        <f t="shared" si="22"/>
        <v>1750</v>
      </c>
      <c r="D72" s="22" t="str">
        <f t="shared" ca="1" si="4"/>
        <v>=$B$11</v>
      </c>
      <c r="E72" s="187">
        <f t="shared" si="11"/>
        <v>0</v>
      </c>
      <c r="F72" s="188">
        <f t="shared" si="5"/>
        <v>2194.3930955420337</v>
      </c>
      <c r="G72" s="19" t="str">
        <f t="shared" ca="1" si="17"/>
        <v>=MIN(PV($B$5/$B$14,B72,,-C72), 0)</v>
      </c>
      <c r="H72" s="19" t="str">
        <f t="shared" ca="1" si="18"/>
        <v>=MAX(FV($B$6/$B$14,$B$140-B72,,-C72), 0)</v>
      </c>
      <c r="U72" s="15" t="s">
        <v>19</v>
      </c>
      <c r="V72" s="100">
        <f t="shared" si="14"/>
        <v>52</v>
      </c>
      <c r="W72" s="191">
        <f t="shared" si="12"/>
        <v>1750</v>
      </c>
      <c r="X72" s="192">
        <f t="shared" si="15"/>
        <v>1528.6349376311325</v>
      </c>
      <c r="Y72" s="18" t="str">
        <f t="shared" ca="1" si="8"/>
        <v>=PV($B$5/$B$14,V72,,-W72)</v>
      </c>
      <c r="Z72" s="195">
        <v>0</v>
      </c>
      <c r="AA72" s="31"/>
      <c r="AB72" s="18"/>
      <c r="AC72" s="184">
        <v>0</v>
      </c>
      <c r="AD72" s="34">
        <f t="shared" si="16"/>
        <v>0</v>
      </c>
      <c r="AE72" s="18" t="str">
        <f t="shared" ca="1" si="9"/>
        <v>=PV($B$5/$B$14,V72,,-AC72)</v>
      </c>
      <c r="AG72" s="175"/>
    </row>
    <row r="73" spans="1:33" ht="20.5" x14ac:dyDescent="0.45">
      <c r="A73" s="15" t="s">
        <v>21</v>
      </c>
      <c r="B73" s="100">
        <f t="shared" si="10"/>
        <v>54</v>
      </c>
      <c r="C73" s="184">
        <f t="shared" si="22"/>
        <v>1750</v>
      </c>
      <c r="D73" s="22" t="str">
        <f t="shared" ca="1" si="4"/>
        <v>=$B$11</v>
      </c>
      <c r="E73" s="187">
        <f t="shared" si="11"/>
        <v>0</v>
      </c>
      <c r="F73" s="188">
        <f t="shared" si="5"/>
        <v>2187.1027530319279</v>
      </c>
      <c r="G73" s="19" t="str">
        <f t="shared" ca="1" si="17"/>
        <v>=MIN(PV($B$5/$B$14,B73,,-C73), 0)</v>
      </c>
      <c r="H73" s="19" t="str">
        <f t="shared" ca="1" si="18"/>
        <v>=MAX(FV($B$6/$B$14,$B$140-B73,,-C73), 0)</v>
      </c>
      <c r="U73" s="16" t="s">
        <v>20</v>
      </c>
      <c r="V73" s="100">
        <f t="shared" si="14"/>
        <v>53</v>
      </c>
      <c r="W73" s="191">
        <f t="shared" si="12"/>
        <v>1750</v>
      </c>
      <c r="X73" s="192">
        <f t="shared" si="15"/>
        <v>1524.6644572736488</v>
      </c>
      <c r="Y73" s="18" t="str">
        <f t="shared" ca="1" si="8"/>
        <v>=PV($B$5/$B$14,V73,,-W73)</v>
      </c>
      <c r="Z73" s="195">
        <v>0</v>
      </c>
      <c r="AA73" s="31"/>
      <c r="AB73" s="18"/>
      <c r="AC73" s="184">
        <v>0</v>
      </c>
      <c r="AD73" s="34">
        <f t="shared" si="16"/>
        <v>0</v>
      </c>
      <c r="AE73" s="18" t="str">
        <f t="shared" ca="1" si="9"/>
        <v>=PV($B$5/$B$14,V73,,-AC73)</v>
      </c>
      <c r="AG73" s="175"/>
    </row>
    <row r="74" spans="1:33" ht="20.5" x14ac:dyDescent="0.45">
      <c r="A74" s="16" t="s">
        <v>22</v>
      </c>
      <c r="B74" s="100">
        <f t="shared" si="10"/>
        <v>55</v>
      </c>
      <c r="C74" s="184">
        <f t="shared" si="22"/>
        <v>1750</v>
      </c>
      <c r="D74" s="22" t="str">
        <f t="shared" ca="1" si="4"/>
        <v>=$B$11</v>
      </c>
      <c r="E74" s="187">
        <f t="shared" si="11"/>
        <v>0</v>
      </c>
      <c r="F74" s="188">
        <f t="shared" si="5"/>
        <v>2179.8366309288313</v>
      </c>
      <c r="G74" s="19" t="str">
        <f t="shared" ca="1" si="17"/>
        <v>=MIN(PV($B$5/$B$14,B74,,-C74), 0)</v>
      </c>
      <c r="H74" s="19" t="str">
        <f t="shared" ca="1" si="18"/>
        <v>=MAX(FV($B$6/$B$14,$B$140-B74,,-C74), 0)</v>
      </c>
      <c r="U74" s="15" t="s">
        <v>21</v>
      </c>
      <c r="V74" s="100">
        <f t="shared" si="14"/>
        <v>54</v>
      </c>
      <c r="W74" s="191">
        <f t="shared" si="12"/>
        <v>1750</v>
      </c>
      <c r="X74" s="192">
        <f t="shared" si="15"/>
        <v>1520.7042898521586</v>
      </c>
      <c r="Y74" s="18" t="str">
        <f t="shared" ca="1" si="8"/>
        <v>=PV($B$5/$B$14,V74,,-W74)</v>
      </c>
      <c r="Z74" s="195">
        <v>0</v>
      </c>
      <c r="AA74" s="31"/>
      <c r="AB74" s="18"/>
      <c r="AC74" s="184">
        <v>0</v>
      </c>
      <c r="AD74" s="34">
        <f t="shared" si="16"/>
        <v>0</v>
      </c>
      <c r="AE74" s="18" t="str">
        <f t="shared" ca="1" si="9"/>
        <v>=PV($B$5/$B$14,V74,,-AC74)</v>
      </c>
      <c r="AG74" s="175"/>
    </row>
    <row r="75" spans="1:33" ht="20.5" x14ac:dyDescent="0.45">
      <c r="A75" s="15" t="s">
        <v>23</v>
      </c>
      <c r="B75" s="100">
        <f t="shared" si="10"/>
        <v>56</v>
      </c>
      <c r="C75" s="184">
        <f t="shared" si="22"/>
        <v>1750</v>
      </c>
      <c r="D75" s="22" t="str">
        <f t="shared" ca="1" si="4"/>
        <v>=$B$11</v>
      </c>
      <c r="E75" s="187">
        <f t="shared" si="11"/>
        <v>0</v>
      </c>
      <c r="F75" s="188">
        <f t="shared" si="5"/>
        <v>2172.5946487662764</v>
      </c>
      <c r="G75" s="19" t="str">
        <f t="shared" ca="1" si="17"/>
        <v>=MIN(PV($B$5/$B$14,B75,,-C75), 0)</v>
      </c>
      <c r="H75" s="19" t="str">
        <f t="shared" ca="1" si="18"/>
        <v>=MAX(FV($B$6/$B$14,$B$140-B75,,-C75), 0)</v>
      </c>
      <c r="U75" s="16" t="s">
        <v>22</v>
      </c>
      <c r="V75" s="100">
        <f t="shared" si="14"/>
        <v>55</v>
      </c>
      <c r="W75" s="191">
        <f t="shared" si="12"/>
        <v>1750</v>
      </c>
      <c r="X75" s="192">
        <f t="shared" si="15"/>
        <v>1516.7544085798154</v>
      </c>
      <c r="Y75" s="18" t="str">
        <f t="shared" ca="1" si="8"/>
        <v>=PV($B$5/$B$14,V75,,-W75)</v>
      </c>
      <c r="Z75" s="195">
        <v>0</v>
      </c>
      <c r="AA75" s="31"/>
      <c r="AB75" s="18"/>
      <c r="AC75" s="184">
        <v>0</v>
      </c>
      <c r="AD75" s="34">
        <f t="shared" si="16"/>
        <v>0</v>
      </c>
      <c r="AE75" s="18" t="str">
        <f t="shared" ca="1" si="9"/>
        <v>=PV($B$5/$B$14,V75,,-AC75)</v>
      </c>
      <c r="AG75" s="175"/>
    </row>
    <row r="76" spans="1:33" ht="20.5" x14ac:dyDescent="0.45">
      <c r="A76" s="16" t="s">
        <v>24</v>
      </c>
      <c r="B76" s="100">
        <f t="shared" si="10"/>
        <v>57</v>
      </c>
      <c r="C76" s="184">
        <f t="shared" si="22"/>
        <v>1750</v>
      </c>
      <c r="D76" s="22" t="str">
        <f t="shared" ca="1" si="4"/>
        <v>=$B$11</v>
      </c>
      <c r="E76" s="187">
        <f t="shared" si="11"/>
        <v>0</v>
      </c>
      <c r="F76" s="188">
        <f t="shared" si="5"/>
        <v>2165.3767263451259</v>
      </c>
      <c r="G76" s="19" t="str">
        <f t="shared" ca="1" si="17"/>
        <v>=MIN(PV($B$5/$B$14,B76,,-C76), 0)</v>
      </c>
      <c r="H76" s="19" t="str">
        <f t="shared" ca="1" si="18"/>
        <v>=MAX(FV($B$6/$B$14,$B$140-B76,,-C76), 0)</v>
      </c>
      <c r="U76" s="15" t="s">
        <v>23</v>
      </c>
      <c r="V76" s="100">
        <f t="shared" si="14"/>
        <v>56</v>
      </c>
      <c r="W76" s="191">
        <f t="shared" si="12"/>
        <v>1750</v>
      </c>
      <c r="X76" s="192">
        <f t="shared" si="15"/>
        <v>1512.8147867393484</v>
      </c>
      <c r="Y76" s="18" t="str">
        <f t="shared" ca="1" si="8"/>
        <v>=PV($B$5/$B$14,V76,,-W76)</v>
      </c>
      <c r="Z76" s="195">
        <v>0</v>
      </c>
      <c r="AA76" s="31"/>
      <c r="AB76" s="18"/>
      <c r="AC76" s="184">
        <v>0</v>
      </c>
      <c r="AD76" s="34">
        <f t="shared" si="16"/>
        <v>0</v>
      </c>
      <c r="AE76" s="18" t="str">
        <f t="shared" ca="1" si="9"/>
        <v>=PV($B$5/$B$14,V76,,-AC76)</v>
      </c>
      <c r="AG76" s="175"/>
    </row>
    <row r="77" spans="1:33" ht="20.5" x14ac:dyDescent="0.45">
      <c r="A77" s="15" t="s">
        <v>25</v>
      </c>
      <c r="B77" s="100">
        <f t="shared" si="10"/>
        <v>58</v>
      </c>
      <c r="C77" s="184">
        <f t="shared" si="22"/>
        <v>1750</v>
      </c>
      <c r="D77" s="22" t="str">
        <f t="shared" ca="1" si="4"/>
        <v>=$B$11</v>
      </c>
      <c r="E77" s="187">
        <f t="shared" si="11"/>
        <v>0</v>
      </c>
      <c r="F77" s="188">
        <f t="shared" si="5"/>
        <v>2158.1827837326837</v>
      </c>
      <c r="G77" s="19" t="str">
        <f t="shared" ca="1" si="17"/>
        <v>=MIN(PV($B$5/$B$14,B77,,-C77), 0)</v>
      </c>
      <c r="H77" s="19" t="str">
        <f t="shared" ca="1" si="18"/>
        <v>=MAX(FV($B$6/$B$14,$B$140-B77,,-C77), 0)</v>
      </c>
      <c r="U77" s="16" t="s">
        <v>24</v>
      </c>
      <c r="V77" s="100">
        <f t="shared" si="14"/>
        <v>57</v>
      </c>
      <c r="W77" s="191">
        <f t="shared" si="12"/>
        <v>1750</v>
      </c>
      <c r="X77" s="192">
        <f t="shared" si="15"/>
        <v>1508.8853976828827</v>
      </c>
      <c r="Y77" s="18" t="str">
        <f t="shared" ca="1" si="8"/>
        <v>=PV($B$5/$B$14,V77,,-W77)</v>
      </c>
      <c r="Z77" s="195">
        <v>0</v>
      </c>
      <c r="AA77" s="31"/>
      <c r="AB77" s="18"/>
      <c r="AC77" s="184">
        <v>0</v>
      </c>
      <c r="AD77" s="34">
        <f t="shared" si="16"/>
        <v>0</v>
      </c>
      <c r="AE77" s="18" t="str">
        <f t="shared" ca="1" si="9"/>
        <v>=PV($B$5/$B$14,V77,,-AC77)</v>
      </c>
      <c r="AG77" s="175"/>
    </row>
    <row r="78" spans="1:33" ht="20.5" x14ac:dyDescent="0.45">
      <c r="A78" s="16" t="s">
        <v>26</v>
      </c>
      <c r="B78" s="100">
        <f t="shared" si="10"/>
        <v>59</v>
      </c>
      <c r="C78" s="184">
        <f t="shared" si="22"/>
        <v>1750</v>
      </c>
      <c r="D78" s="22" t="str">
        <f t="shared" ca="1" si="4"/>
        <v>=$B$11</v>
      </c>
      <c r="E78" s="187">
        <f t="shared" si="11"/>
        <v>0</v>
      </c>
      <c r="F78" s="188">
        <f t="shared" si="5"/>
        <v>2151.0127412618103</v>
      </c>
      <c r="G78" s="19" t="str">
        <f t="shared" ca="1" si="17"/>
        <v>=MIN(PV($B$5/$B$14,B78,,-C78), 0)</v>
      </c>
      <c r="H78" s="19" t="str">
        <f t="shared" ca="1" si="18"/>
        <v>=MAX(FV($B$6/$B$14,$B$140-B78,,-C78), 0)</v>
      </c>
      <c r="U78" s="15" t="s">
        <v>25</v>
      </c>
      <c r="V78" s="100">
        <f t="shared" si="14"/>
        <v>58</v>
      </c>
      <c r="W78" s="191">
        <f t="shared" si="12"/>
        <v>1750</v>
      </c>
      <c r="X78" s="192">
        <f t="shared" si="15"/>
        <v>1504.9662148317582</v>
      </c>
      <c r="Y78" s="18" t="str">
        <f t="shared" ca="1" si="8"/>
        <v>=PV($B$5/$B$14,V78,,-W78)</v>
      </c>
      <c r="Z78" s="195">
        <v>0</v>
      </c>
      <c r="AA78" s="31"/>
      <c r="AB78" s="18"/>
      <c r="AC78" s="184">
        <v>0</v>
      </c>
      <c r="AD78" s="34">
        <f t="shared" si="16"/>
        <v>0</v>
      </c>
      <c r="AE78" s="18" t="str">
        <f t="shared" ca="1" si="9"/>
        <v>=PV($B$5/$B$14,V78,,-AC78)</v>
      </c>
      <c r="AG78" s="175"/>
    </row>
    <row r="79" spans="1:33" ht="20.5" x14ac:dyDescent="0.45">
      <c r="A79" s="15" t="s">
        <v>15</v>
      </c>
      <c r="B79" s="100">
        <f t="shared" si="10"/>
        <v>60</v>
      </c>
      <c r="C79" s="184">
        <f t="shared" si="22"/>
        <v>1750</v>
      </c>
      <c r="D79" s="22" t="str">
        <f t="shared" ca="1" si="4"/>
        <v>=$B$11</v>
      </c>
      <c r="E79" s="187">
        <f t="shared" si="11"/>
        <v>0</v>
      </c>
      <c r="F79" s="188">
        <f t="shared" si="5"/>
        <v>2143.8665195300432</v>
      </c>
      <c r="G79" s="19" t="str">
        <f t="shared" ca="1" si="17"/>
        <v>=MIN(PV($B$5/$B$14,B79,,-C79), 0)</v>
      </c>
      <c r="H79" s="19" t="str">
        <f t="shared" ca="1" si="18"/>
        <v>=MAX(FV($B$6/$B$14,$B$140-B79,,-C79), 0)</v>
      </c>
      <c r="U79" s="16" t="s">
        <v>26</v>
      </c>
      <c r="V79" s="100">
        <f t="shared" si="14"/>
        <v>59</v>
      </c>
      <c r="W79" s="191">
        <f t="shared" si="12"/>
        <v>1750</v>
      </c>
      <c r="X79" s="192">
        <f t="shared" si="15"/>
        <v>1501.0572116763512</v>
      </c>
      <c r="Y79" s="18" t="str">
        <f t="shared" ca="1" si="8"/>
        <v>=PV($B$5/$B$14,V79,,-W79)</v>
      </c>
      <c r="Z79" s="195">
        <v>0</v>
      </c>
      <c r="AA79" s="31"/>
      <c r="AB79" s="18"/>
      <c r="AC79" s="184">
        <v>0</v>
      </c>
      <c r="AD79" s="34">
        <f t="shared" si="16"/>
        <v>0</v>
      </c>
      <c r="AE79" s="18" t="str">
        <f t="shared" ca="1" si="9"/>
        <v>=PV($B$5/$B$14,V79,,-AC79)</v>
      </c>
      <c r="AG79" s="175"/>
    </row>
    <row r="80" spans="1:33" ht="20.5" x14ac:dyDescent="0.45">
      <c r="A80" s="16" t="s">
        <v>16</v>
      </c>
      <c r="B80" s="100">
        <f t="shared" si="10"/>
        <v>61</v>
      </c>
      <c r="C80" s="184">
        <f>$B$11+$B$12</f>
        <v>-750</v>
      </c>
      <c r="D80" s="22" t="str">
        <f t="shared" ca="1" si="4"/>
        <v>=$B$11+$B$12</v>
      </c>
      <c r="E80" s="187">
        <f t="shared" si="11"/>
        <v>-639.97270232498261</v>
      </c>
      <c r="F80" s="188">
        <f t="shared" si="5"/>
        <v>0</v>
      </c>
      <c r="G80" s="19" t="str">
        <f t="shared" ca="1" si="17"/>
        <v>=MIN(PV($B$5/$B$14,B80,,-C80), 0)</v>
      </c>
      <c r="H80" s="19" t="str">
        <f t="shared" ca="1" si="18"/>
        <v>=MAX(FV($B$6/$B$14,$B$140-B80,,-C80), 0)</v>
      </c>
      <c r="U80" s="15" t="s">
        <v>15</v>
      </c>
      <c r="V80" s="100">
        <f t="shared" si="14"/>
        <v>60</v>
      </c>
      <c r="W80" s="191">
        <f t="shared" si="12"/>
        <v>1750</v>
      </c>
      <c r="X80" s="192">
        <f t="shared" si="15"/>
        <v>1497.1583617758927</v>
      </c>
      <c r="Y80" s="18" t="str">
        <f t="shared" ca="1" si="8"/>
        <v>=PV($B$5/$B$14,V80,,-W80)</v>
      </c>
      <c r="Z80" s="195">
        <v>0</v>
      </c>
      <c r="AA80" s="31"/>
      <c r="AB80" s="18"/>
      <c r="AC80" s="184">
        <v>0</v>
      </c>
      <c r="AD80" s="34">
        <f t="shared" si="16"/>
        <v>0</v>
      </c>
      <c r="AE80" s="18" t="str">
        <f t="shared" ca="1" si="9"/>
        <v>=PV($B$5/$B$14,V80,,-AC80)</v>
      </c>
      <c r="AG80" s="175"/>
    </row>
    <row r="81" spans="1:33" ht="20.5" x14ac:dyDescent="0.45">
      <c r="A81" s="15" t="s">
        <v>17</v>
      </c>
      <c r="B81" s="100">
        <f t="shared" si="10"/>
        <v>62</v>
      </c>
      <c r="C81" s="184">
        <f>$B$11</f>
        <v>1750</v>
      </c>
      <c r="D81" s="22" t="str">
        <f t="shared" ca="1" si="4"/>
        <v>=$B$11</v>
      </c>
      <c r="E81" s="187">
        <f t="shared" si="11"/>
        <v>0</v>
      </c>
      <c r="F81" s="188">
        <f t="shared" si="5"/>
        <v>2129.6452219920739</v>
      </c>
      <c r="G81" s="19" t="str">
        <f t="shared" ca="1" si="17"/>
        <v>=MIN(PV($B$5/$B$14,B81,,-C81), 0)</v>
      </c>
      <c r="H81" s="19" t="str">
        <f t="shared" ca="1" si="18"/>
        <v>=MAX(FV($B$6/$B$14,$B$140-B81,,-C81), 0)</v>
      </c>
      <c r="U81" s="16" t="s">
        <v>16</v>
      </c>
      <c r="V81" s="100">
        <f t="shared" si="14"/>
        <v>61</v>
      </c>
      <c r="W81" s="191">
        <f t="shared" si="12"/>
        <v>1750</v>
      </c>
      <c r="X81" s="192">
        <f t="shared" si="15"/>
        <v>1493.2696387582928</v>
      </c>
      <c r="Y81" s="18" t="str">
        <f t="shared" ca="1" si="8"/>
        <v>=PV($B$5/$B$14,V81,,-W81)</v>
      </c>
      <c r="Z81" s="195">
        <v>0</v>
      </c>
      <c r="AA81" s="31"/>
      <c r="AB81" s="18"/>
      <c r="AC81" s="184">
        <f>AC69</f>
        <v>-2500</v>
      </c>
      <c r="AD81" s="34">
        <f t="shared" si="16"/>
        <v>-2133.2423410832753</v>
      </c>
      <c r="AE81" s="18" t="str">
        <f t="shared" ca="1" si="9"/>
        <v>=PV($B$5/$B$14,V81,,-AC81)</v>
      </c>
      <c r="AG81" s="175"/>
    </row>
    <row r="82" spans="1:33" ht="20.5" x14ac:dyDescent="0.45">
      <c r="A82" s="16" t="s">
        <v>18</v>
      </c>
      <c r="B82" s="100">
        <f t="shared" si="10"/>
        <v>63</v>
      </c>
      <c r="C82" s="184">
        <f t="shared" ref="C82:C91" si="23">$B$11</f>
        <v>1750</v>
      </c>
      <c r="D82" s="22" t="str">
        <f t="shared" ca="1" si="4"/>
        <v>=$B$11</v>
      </c>
      <c r="E82" s="187">
        <f t="shared" si="11"/>
        <v>0</v>
      </c>
      <c r="F82" s="188">
        <f t="shared" si="5"/>
        <v>2122.5699886964189</v>
      </c>
      <c r="G82" s="19" t="str">
        <f t="shared" ca="1" si="17"/>
        <v>=MIN(PV($B$5/$B$14,B82,,-C82), 0)</v>
      </c>
      <c r="H82" s="19" t="str">
        <f t="shared" ca="1" si="18"/>
        <v>=MAX(FV($B$6/$B$14,$B$140-B82,,-C82), 0)</v>
      </c>
      <c r="U82" s="15" t="s">
        <v>17</v>
      </c>
      <c r="V82" s="100">
        <f t="shared" si="14"/>
        <v>62</v>
      </c>
      <c r="W82" s="191">
        <f t="shared" si="12"/>
        <v>1750</v>
      </c>
      <c r="X82" s="192">
        <f t="shared" si="15"/>
        <v>1489.3910163199598</v>
      </c>
      <c r="Y82" s="18" t="str">
        <f t="shared" ca="1" si="8"/>
        <v>=PV($B$5/$B$14,V82,,-W82)</v>
      </c>
      <c r="Z82" s="195">
        <v>0</v>
      </c>
      <c r="AA82" s="31"/>
      <c r="AB82" s="18"/>
      <c r="AC82" s="184">
        <v>0</v>
      </c>
      <c r="AD82" s="34">
        <f t="shared" si="16"/>
        <v>0</v>
      </c>
      <c r="AE82" s="18" t="str">
        <f t="shared" ca="1" si="9"/>
        <v>=PV($B$5/$B$14,V82,,-AC82)</v>
      </c>
      <c r="AG82" s="175"/>
    </row>
    <row r="83" spans="1:33" ht="20.5" x14ac:dyDescent="0.45">
      <c r="A83" s="15" t="s">
        <v>19</v>
      </c>
      <c r="B83" s="100">
        <f t="shared" si="10"/>
        <v>64</v>
      </c>
      <c r="C83" s="184">
        <f t="shared" si="23"/>
        <v>1750</v>
      </c>
      <c r="D83" s="22" t="str">
        <f t="shared" ca="1" si="4"/>
        <v>=$B$11</v>
      </c>
      <c r="E83" s="187">
        <f t="shared" si="11"/>
        <v>0</v>
      </c>
      <c r="F83" s="188">
        <f t="shared" si="5"/>
        <v>2115.5182611592213</v>
      </c>
      <c r="G83" s="19" t="str">
        <f t="shared" ca="1" si="17"/>
        <v>=MIN(PV($B$5/$B$14,B83,,-C83), 0)</v>
      </c>
      <c r="H83" s="19" t="str">
        <f t="shared" ca="1" si="18"/>
        <v>=MAX(FV($B$6/$B$14,$B$140-B83,,-C83), 0)</v>
      </c>
      <c r="U83" s="16" t="s">
        <v>18</v>
      </c>
      <c r="V83" s="100">
        <f t="shared" si="14"/>
        <v>63</v>
      </c>
      <c r="W83" s="191">
        <f t="shared" si="12"/>
        <v>1750</v>
      </c>
      <c r="X83" s="192">
        <f t="shared" si="15"/>
        <v>1485.5224682256221</v>
      </c>
      <c r="Y83" s="18" t="str">
        <f t="shared" ca="1" si="8"/>
        <v>=PV($B$5/$B$14,V83,,-W83)</v>
      </c>
      <c r="Z83" s="195">
        <v>0</v>
      </c>
      <c r="AA83" s="31"/>
      <c r="AB83" s="18"/>
      <c r="AC83" s="184">
        <v>0</v>
      </c>
      <c r="AD83" s="34">
        <f t="shared" si="16"/>
        <v>0</v>
      </c>
      <c r="AE83" s="18" t="str">
        <f t="shared" ca="1" si="9"/>
        <v>=PV($B$5/$B$14,V83,,-AC83)</v>
      </c>
      <c r="AG83" s="175"/>
    </row>
    <row r="84" spans="1:33" ht="20.5" x14ac:dyDescent="0.45">
      <c r="A84" s="16" t="s">
        <v>20</v>
      </c>
      <c r="B84" s="100">
        <f t="shared" si="10"/>
        <v>65</v>
      </c>
      <c r="C84" s="184">
        <f t="shared" si="23"/>
        <v>1750</v>
      </c>
      <c r="D84" s="22" t="str">
        <f t="shared" ref="D84:D139" ca="1" si="24">_xlfn.FORMULATEXT(C84)</f>
        <v>=$B$11</v>
      </c>
      <c r="E84" s="187">
        <f t="shared" si="11"/>
        <v>0</v>
      </c>
      <c r="F84" s="188">
        <f t="shared" ref="F84:F140" si="25">MAX(FV($B$6/$B$14,$B$140-B84,,-C84), 0)</f>
        <v>2108.4899612882605</v>
      </c>
      <c r="G84" s="19" t="str">
        <f t="shared" ca="1" si="17"/>
        <v>=MIN(PV($B$5/$B$14,B84,,-C84), 0)</v>
      </c>
      <c r="H84" s="19" t="str">
        <f t="shared" ca="1" si="18"/>
        <v>=MAX(FV($B$6/$B$14,$B$140-B84,,-C84), 0)</v>
      </c>
      <c r="U84" s="15" t="s">
        <v>19</v>
      </c>
      <c r="V84" s="100">
        <f t="shared" si="14"/>
        <v>64</v>
      </c>
      <c r="W84" s="191">
        <f t="shared" si="12"/>
        <v>1750</v>
      </c>
      <c r="X84" s="192">
        <f t="shared" si="15"/>
        <v>1481.6639683081528</v>
      </c>
      <c r="Y84" s="18" t="str">
        <f t="shared" ref="Y84:Y142" ca="1" si="26">_xlfn.FORMULATEXT(X84)</f>
        <v>=PV($B$5/$B$14,V84,,-W84)</v>
      </c>
      <c r="Z84" s="195">
        <v>0</v>
      </c>
      <c r="AA84" s="31"/>
      <c r="AB84" s="18"/>
      <c r="AC84" s="184">
        <v>0</v>
      </c>
      <c r="AD84" s="34">
        <f t="shared" si="16"/>
        <v>0</v>
      </c>
      <c r="AE84" s="18" t="str">
        <f t="shared" ref="AE84:AE142" ca="1" si="27">_xlfn.FORMULATEXT(AD84)</f>
        <v>=PV($B$5/$B$14,V84,,-AC84)</v>
      </c>
      <c r="AG84" s="175"/>
    </row>
    <row r="85" spans="1:33" ht="20.5" x14ac:dyDescent="0.45">
      <c r="A85" s="15" t="s">
        <v>21</v>
      </c>
      <c r="B85" s="100">
        <f t="shared" ref="B85:B140" si="28">B84+1</f>
        <v>66</v>
      </c>
      <c r="C85" s="184">
        <f t="shared" si="23"/>
        <v>1750</v>
      </c>
      <c r="D85" s="22" t="str">
        <f t="shared" ca="1" si="24"/>
        <v>=$B$11</v>
      </c>
      <c r="E85" s="187">
        <f t="shared" ref="E85" si="29">MIN(PV($B$5/$B$14,B85,,-C85), 0)</f>
        <v>0</v>
      </c>
      <c r="F85" s="188">
        <f t="shared" si="25"/>
        <v>2101.4850112507579</v>
      </c>
      <c r="G85" s="19" t="str">
        <f t="shared" ca="1" si="17"/>
        <v>=MIN(PV($B$5/$B$14,B85,,-C85), 0)</v>
      </c>
      <c r="H85" s="19" t="str">
        <f t="shared" ca="1" si="18"/>
        <v>=MAX(FV($B$6/$B$14,$B$140-B85,,-C85), 0)</v>
      </c>
      <c r="U85" s="16" t="s">
        <v>20</v>
      </c>
      <c r="V85" s="100">
        <f t="shared" si="14"/>
        <v>65</v>
      </c>
      <c r="W85" s="191">
        <f t="shared" ref="W85:W140" si="30">$B$11</f>
        <v>1750</v>
      </c>
      <c r="X85" s="192">
        <f t="shared" si="15"/>
        <v>1477.8154904683911</v>
      </c>
      <c r="Y85" s="18" t="str">
        <f t="shared" ca="1" si="26"/>
        <v>=PV($B$5/$B$14,V85,,-W85)</v>
      </c>
      <c r="Z85" s="195">
        <v>0</v>
      </c>
      <c r="AA85" s="31"/>
      <c r="AB85" s="18"/>
      <c r="AC85" s="184">
        <v>0</v>
      </c>
      <c r="AD85" s="34">
        <f t="shared" si="16"/>
        <v>0</v>
      </c>
      <c r="AE85" s="18" t="str">
        <f t="shared" ca="1" si="27"/>
        <v>=PV($B$5/$B$14,V85,,-AC85)</v>
      </c>
      <c r="AG85" s="175"/>
    </row>
    <row r="86" spans="1:33" ht="20.5" x14ac:dyDescent="0.45">
      <c r="A86" s="16" t="s">
        <v>22</v>
      </c>
      <c r="B86" s="100">
        <f t="shared" si="28"/>
        <v>67</v>
      </c>
      <c r="C86" s="184">
        <f t="shared" si="23"/>
        <v>1750</v>
      </c>
      <c r="D86" s="22" t="str">
        <f t="shared" ca="1" si="24"/>
        <v>=$B$11</v>
      </c>
      <c r="E86" s="187">
        <f>MIN(PV($B$5/$B$14,B86,,-C86), 0)</f>
        <v>0</v>
      </c>
      <c r="F86" s="188">
        <f t="shared" si="25"/>
        <v>2094.5033334725158</v>
      </c>
      <c r="G86" s="19" t="str">
        <f t="shared" ca="1" si="17"/>
        <v>=MIN(PV($B$5/$B$14,B86,,-C86), 0)</v>
      </c>
      <c r="H86" s="19" t="str">
        <f t="shared" ca="1" si="18"/>
        <v>=MAX(FV($B$6/$B$14,$B$140-B86,,-C86), 0)</v>
      </c>
      <c r="U86" s="15" t="s">
        <v>21</v>
      </c>
      <c r="V86" s="100">
        <f t="shared" ref="V86:V141" si="31">V85+1</f>
        <v>66</v>
      </c>
      <c r="W86" s="191">
        <f t="shared" si="30"/>
        <v>1750</v>
      </c>
      <c r="X86" s="192">
        <f t="shared" ref="X86:X141" si="32">PV($B$5/$B$14,V86,,-W86)</f>
        <v>1473.977008674967</v>
      </c>
      <c r="Y86" s="18" t="str">
        <f t="shared" ca="1" si="26"/>
        <v>=PV($B$5/$B$14,V86,,-W86)</v>
      </c>
      <c r="Z86" s="195">
        <v>0</v>
      </c>
      <c r="AA86" s="31"/>
      <c r="AB86" s="18"/>
      <c r="AC86" s="184">
        <v>0</v>
      </c>
      <c r="AD86" s="34">
        <f t="shared" ref="AD86:AD141" si="33">PV($B$5/$B$14,V86,,-AC86)</f>
        <v>0</v>
      </c>
      <c r="AE86" s="18" t="str">
        <f t="shared" ca="1" si="27"/>
        <v>=PV($B$5/$B$14,V86,,-AC86)</v>
      </c>
      <c r="AG86" s="175"/>
    </row>
    <row r="87" spans="1:33" ht="20.5" x14ac:dyDescent="0.45">
      <c r="A87" s="15" t="s">
        <v>23</v>
      </c>
      <c r="B87" s="100">
        <f t="shared" si="28"/>
        <v>68</v>
      </c>
      <c r="C87" s="184">
        <f t="shared" si="23"/>
        <v>1750</v>
      </c>
      <c r="D87" s="22" t="str">
        <f t="shared" ca="1" si="24"/>
        <v>=$B$11</v>
      </c>
      <c r="E87" s="187">
        <f t="shared" ref="E87:E140" si="34">MIN(PV($B$5/$B$14,B87,,-C87), 0)</f>
        <v>0</v>
      </c>
      <c r="F87" s="188">
        <f t="shared" si="25"/>
        <v>2087.5448506370585</v>
      </c>
      <c r="G87" s="19" t="str">
        <f t="shared" ref="G87:G140" ca="1" si="35">_xlfn.FORMULATEXT(E87)</f>
        <v>=MIN(PV($B$5/$B$14,B87,,-C87), 0)</v>
      </c>
      <c r="H87" s="19" t="str">
        <f t="shared" ref="H87:H140" ca="1" si="36">_xlfn.FORMULATEXT(F87)</f>
        <v>=MAX(FV($B$6/$B$14,$B$140-B87,,-C87), 0)</v>
      </c>
      <c r="U87" s="16" t="s">
        <v>22</v>
      </c>
      <c r="V87" s="100">
        <f t="shared" si="31"/>
        <v>67</v>
      </c>
      <c r="W87" s="191">
        <f t="shared" si="30"/>
        <v>1750</v>
      </c>
      <c r="X87" s="192">
        <f t="shared" si="32"/>
        <v>1470.1484969641228</v>
      </c>
      <c r="Y87" s="18" t="str">
        <f t="shared" ca="1" si="26"/>
        <v>=PV($B$5/$B$14,V87,,-W87)</v>
      </c>
      <c r="Z87" s="195">
        <v>0</v>
      </c>
      <c r="AA87" s="31"/>
      <c r="AB87" s="18"/>
      <c r="AC87" s="184">
        <v>0</v>
      </c>
      <c r="AD87" s="34">
        <f t="shared" si="33"/>
        <v>0</v>
      </c>
      <c r="AE87" s="18" t="str">
        <f t="shared" ca="1" si="27"/>
        <v>=PV($B$5/$B$14,V87,,-AC87)</v>
      </c>
      <c r="AG87" s="175"/>
    </row>
    <row r="88" spans="1:33" ht="20.5" x14ac:dyDescent="0.45">
      <c r="A88" s="16" t="s">
        <v>24</v>
      </c>
      <c r="B88" s="100">
        <f t="shared" si="28"/>
        <v>69</v>
      </c>
      <c r="C88" s="184">
        <f t="shared" si="23"/>
        <v>1750</v>
      </c>
      <c r="D88" s="22" t="str">
        <f t="shared" ca="1" si="24"/>
        <v>=$B$11</v>
      </c>
      <c r="E88" s="187">
        <f t="shared" si="34"/>
        <v>0</v>
      </c>
      <c r="F88" s="188">
        <f t="shared" si="25"/>
        <v>2080.6094856847758</v>
      </c>
      <c r="G88" s="19" t="str">
        <f t="shared" ca="1" si="35"/>
        <v>=MIN(PV($B$5/$B$14,B88,,-C88), 0)</v>
      </c>
      <c r="H88" s="19" t="str">
        <f t="shared" ca="1" si="36"/>
        <v>=MAX(FV($B$6/$B$14,$B$140-B88,,-C88), 0)</v>
      </c>
      <c r="U88" s="15" t="s">
        <v>23</v>
      </c>
      <c r="V88" s="100">
        <f t="shared" si="31"/>
        <v>68</v>
      </c>
      <c r="W88" s="191">
        <f t="shared" si="30"/>
        <v>1750</v>
      </c>
      <c r="X88" s="192">
        <f t="shared" si="32"/>
        <v>1466.3299294395406</v>
      </c>
      <c r="Y88" s="18" t="str">
        <f t="shared" ca="1" si="26"/>
        <v>=PV($B$5/$B$14,V88,,-W88)</v>
      </c>
      <c r="Z88" s="195">
        <v>0</v>
      </c>
      <c r="AA88" s="31"/>
      <c r="AB88" s="18"/>
      <c r="AC88" s="184">
        <v>0</v>
      </c>
      <c r="AD88" s="34">
        <f t="shared" si="33"/>
        <v>0</v>
      </c>
      <c r="AE88" s="18" t="str">
        <f t="shared" ca="1" si="27"/>
        <v>=PV($B$5/$B$14,V88,,-AC88)</v>
      </c>
      <c r="AG88" s="175"/>
    </row>
    <row r="89" spans="1:33" ht="20.5" x14ac:dyDescent="0.45">
      <c r="A89" s="15" t="s">
        <v>25</v>
      </c>
      <c r="B89" s="100">
        <f t="shared" si="28"/>
        <v>70</v>
      </c>
      <c r="C89" s="184">
        <f t="shared" si="23"/>
        <v>1750</v>
      </c>
      <c r="D89" s="22" t="str">
        <f t="shared" ca="1" si="24"/>
        <v>=$B$11</v>
      </c>
      <c r="E89" s="187">
        <f t="shared" si="34"/>
        <v>0</v>
      </c>
      <c r="F89" s="188">
        <f t="shared" si="25"/>
        <v>2073.6971618120692</v>
      </c>
      <c r="G89" s="19" t="str">
        <f t="shared" ca="1" si="35"/>
        <v>=MIN(PV($B$5/$B$14,B89,,-C89), 0)</v>
      </c>
      <c r="H89" s="19" t="str">
        <f t="shared" ca="1" si="36"/>
        <v>=MAX(FV($B$6/$B$14,$B$140-B89,,-C89), 0)</v>
      </c>
      <c r="U89" s="16" t="s">
        <v>24</v>
      </c>
      <c r="V89" s="100">
        <f t="shared" si="31"/>
        <v>69</v>
      </c>
      <c r="W89" s="191">
        <f t="shared" si="30"/>
        <v>1750</v>
      </c>
      <c r="X89" s="192">
        <f t="shared" si="32"/>
        <v>1462.5212802721649</v>
      </c>
      <c r="Y89" s="18" t="str">
        <f t="shared" ca="1" si="26"/>
        <v>=PV($B$5/$B$14,V89,,-W89)</v>
      </c>
      <c r="Z89" s="195">
        <v>0</v>
      </c>
      <c r="AA89" s="31"/>
      <c r="AB89" s="18"/>
      <c r="AC89" s="184">
        <v>0</v>
      </c>
      <c r="AD89" s="34">
        <f t="shared" si="33"/>
        <v>0</v>
      </c>
      <c r="AE89" s="18" t="str">
        <f t="shared" ca="1" si="27"/>
        <v>=PV($B$5/$B$14,V89,,-AC89)</v>
      </c>
      <c r="AG89" s="175"/>
    </row>
    <row r="90" spans="1:33" ht="20.5" x14ac:dyDescent="0.45">
      <c r="A90" s="16" t="s">
        <v>26</v>
      </c>
      <c r="B90" s="100">
        <f t="shared" si="28"/>
        <v>71</v>
      </c>
      <c r="C90" s="184">
        <f t="shared" si="23"/>
        <v>1750</v>
      </c>
      <c r="D90" s="22" t="str">
        <f t="shared" ca="1" si="24"/>
        <v>=$B$11</v>
      </c>
      <c r="E90" s="187">
        <f t="shared" si="34"/>
        <v>0</v>
      </c>
      <c r="F90" s="188">
        <f t="shared" si="25"/>
        <v>2066.8078024705005</v>
      </c>
      <c r="G90" s="19" t="str">
        <f t="shared" ca="1" si="35"/>
        <v>=MIN(PV($B$5/$B$14,B90,,-C90), 0)</v>
      </c>
      <c r="H90" s="19" t="str">
        <f t="shared" ca="1" si="36"/>
        <v>=MAX(FV($B$6/$B$14,$B$140-B90,,-C90), 0)</v>
      </c>
      <c r="U90" s="15" t="s">
        <v>25</v>
      </c>
      <c r="V90" s="100">
        <f t="shared" si="31"/>
        <v>70</v>
      </c>
      <c r="W90" s="191">
        <f t="shared" si="30"/>
        <v>1750</v>
      </c>
      <c r="X90" s="192">
        <f t="shared" si="32"/>
        <v>1458.7225237000293</v>
      </c>
      <c r="Y90" s="18" t="str">
        <f t="shared" ca="1" si="26"/>
        <v>=PV($B$5/$B$14,V90,,-W90)</v>
      </c>
      <c r="Z90" s="195">
        <v>0</v>
      </c>
      <c r="AA90" s="31"/>
      <c r="AB90" s="18"/>
      <c r="AC90" s="184">
        <v>0</v>
      </c>
      <c r="AD90" s="34">
        <f t="shared" si="33"/>
        <v>0</v>
      </c>
      <c r="AE90" s="18" t="str">
        <f t="shared" ca="1" si="27"/>
        <v>=PV($B$5/$B$14,V90,,-AC90)</v>
      </c>
      <c r="AG90" s="175"/>
    </row>
    <row r="91" spans="1:33" ht="20.5" x14ac:dyDescent="0.45">
      <c r="A91" s="15" t="s">
        <v>15</v>
      </c>
      <c r="B91" s="100">
        <f t="shared" si="28"/>
        <v>72</v>
      </c>
      <c r="C91" s="184">
        <f t="shared" si="23"/>
        <v>1750</v>
      </c>
      <c r="D91" s="22" t="str">
        <f t="shared" ca="1" si="24"/>
        <v>=$B$11</v>
      </c>
      <c r="E91" s="187">
        <f t="shared" si="34"/>
        <v>0</v>
      </c>
      <c r="F91" s="188">
        <f t="shared" si="25"/>
        <v>2059.941331365947</v>
      </c>
      <c r="G91" s="19" t="str">
        <f t="shared" ca="1" si="35"/>
        <v>=MIN(PV($B$5/$B$14,B91,,-C91), 0)</v>
      </c>
      <c r="H91" s="19" t="str">
        <f t="shared" ca="1" si="36"/>
        <v>=MAX(FV($B$6/$B$14,$B$140-B91,,-C91), 0)</v>
      </c>
      <c r="U91" s="16" t="s">
        <v>26</v>
      </c>
      <c r="V91" s="100">
        <f t="shared" si="31"/>
        <v>71</v>
      </c>
      <c r="W91" s="191">
        <f t="shared" si="30"/>
        <v>1750</v>
      </c>
      <c r="X91" s="192">
        <f t="shared" si="32"/>
        <v>1454.9336340280813</v>
      </c>
      <c r="Y91" s="18" t="str">
        <f t="shared" ca="1" si="26"/>
        <v>=PV($B$5/$B$14,V91,,-W91)</v>
      </c>
      <c r="Z91" s="195">
        <v>0</v>
      </c>
      <c r="AA91" s="31"/>
      <c r="AB91" s="18"/>
      <c r="AC91" s="184">
        <v>0</v>
      </c>
      <c r="AD91" s="34">
        <f t="shared" si="33"/>
        <v>0</v>
      </c>
      <c r="AE91" s="18" t="str">
        <f t="shared" ca="1" si="27"/>
        <v>=PV($B$5/$B$14,V91,,-AC91)</v>
      </c>
      <c r="AG91" s="175"/>
    </row>
    <row r="92" spans="1:33" ht="20.5" x14ac:dyDescent="0.45">
      <c r="A92" s="16" t="s">
        <v>16</v>
      </c>
      <c r="B92" s="100">
        <f t="shared" si="28"/>
        <v>73</v>
      </c>
      <c r="C92" s="184">
        <f>$B$11+$B$12</f>
        <v>-750</v>
      </c>
      <c r="D92" s="22" t="str">
        <f t="shared" ca="1" si="24"/>
        <v>=$B$11+$B$12</v>
      </c>
      <c r="E92" s="187">
        <f t="shared" si="34"/>
        <v>-620.30800840202812</v>
      </c>
      <c r="F92" s="188">
        <f t="shared" si="25"/>
        <v>0</v>
      </c>
      <c r="G92" s="19" t="str">
        <f t="shared" ca="1" si="35"/>
        <v>=MIN(PV($B$5/$B$14,B92,,-C92), 0)</v>
      </c>
      <c r="H92" s="19" t="str">
        <f t="shared" ca="1" si="36"/>
        <v>=MAX(FV($B$6/$B$14,$B$140-B92,,-C92), 0)</v>
      </c>
      <c r="U92" s="15" t="s">
        <v>15</v>
      </c>
      <c r="V92" s="100">
        <f t="shared" si="31"/>
        <v>72</v>
      </c>
      <c r="W92" s="191">
        <f t="shared" si="30"/>
        <v>1750</v>
      </c>
      <c r="X92" s="192">
        <f t="shared" si="32"/>
        <v>1451.1545856280084</v>
      </c>
      <c r="Y92" s="18" t="str">
        <f t="shared" ca="1" si="26"/>
        <v>=PV($B$5/$B$14,V92,,-W92)</v>
      </c>
      <c r="Z92" s="195">
        <v>0</v>
      </c>
      <c r="AA92" s="31"/>
      <c r="AB92" s="18"/>
      <c r="AC92" s="184">
        <v>0</v>
      </c>
      <c r="AD92" s="34">
        <f t="shared" si="33"/>
        <v>0</v>
      </c>
      <c r="AE92" s="18" t="str">
        <f t="shared" ca="1" si="27"/>
        <v>=PV($B$5/$B$14,V92,,-AC92)</v>
      </c>
      <c r="AG92" s="175"/>
    </row>
    <row r="93" spans="1:33" ht="20.5" x14ac:dyDescent="0.45">
      <c r="A93" s="15" t="s">
        <v>17</v>
      </c>
      <c r="B93" s="100">
        <f t="shared" si="28"/>
        <v>74</v>
      </c>
      <c r="C93" s="184">
        <f>$B$11</f>
        <v>1750</v>
      </c>
      <c r="D93" s="22" t="str">
        <f t="shared" ca="1" si="24"/>
        <v>=$B$11</v>
      </c>
      <c r="E93" s="187">
        <f t="shared" si="34"/>
        <v>0</v>
      </c>
      <c r="F93" s="188">
        <f t="shared" si="25"/>
        <v>2046.2767499578947</v>
      </c>
      <c r="G93" s="19" t="str">
        <f t="shared" ca="1" si="35"/>
        <v>=MIN(PV($B$5/$B$14,B93,,-C93), 0)</v>
      </c>
      <c r="H93" s="19" t="str">
        <f t="shared" ca="1" si="36"/>
        <v>=MAX(FV($B$6/$B$14,$B$140-B93,,-C93), 0)</v>
      </c>
      <c r="U93" s="16" t="s">
        <v>16</v>
      </c>
      <c r="V93" s="100">
        <f t="shared" si="31"/>
        <v>73</v>
      </c>
      <c r="W93" s="191">
        <f t="shared" si="30"/>
        <v>1750</v>
      </c>
      <c r="X93" s="192">
        <f t="shared" si="32"/>
        <v>1447.3853529380656</v>
      </c>
      <c r="Y93" s="18" t="str">
        <f t="shared" ca="1" si="26"/>
        <v>=PV($B$5/$B$14,V93,,-W93)</v>
      </c>
      <c r="Z93" s="195">
        <v>0</v>
      </c>
      <c r="AA93" s="31"/>
      <c r="AB93" s="18"/>
      <c r="AC93" s="184">
        <f>AC81</f>
        <v>-2500</v>
      </c>
      <c r="AD93" s="34">
        <f t="shared" si="33"/>
        <v>-2067.6933613400934</v>
      </c>
      <c r="AE93" s="18" t="str">
        <f t="shared" ca="1" si="27"/>
        <v>=PV($B$5/$B$14,V93,,-AC93)</v>
      </c>
      <c r="AG93" s="175"/>
    </row>
    <row r="94" spans="1:33" ht="20.5" x14ac:dyDescent="0.45">
      <c r="A94" s="16" t="s">
        <v>18</v>
      </c>
      <c r="B94" s="100">
        <f t="shared" si="28"/>
        <v>75</v>
      </c>
      <c r="C94" s="184">
        <f t="shared" ref="C94:C103" si="37">$B$11</f>
        <v>1750</v>
      </c>
      <c r="D94" s="22" t="str">
        <f t="shared" ca="1" si="24"/>
        <v>=$B$11</v>
      </c>
      <c r="E94" s="187">
        <f t="shared" si="34"/>
        <v>0</v>
      </c>
      <c r="F94" s="188">
        <f t="shared" si="25"/>
        <v>2039.4784883301272</v>
      </c>
      <c r="G94" s="19" t="str">
        <f t="shared" ca="1" si="35"/>
        <v>=MIN(PV($B$5/$B$14,B94,,-C94), 0)</v>
      </c>
      <c r="H94" s="19" t="str">
        <f t="shared" ca="1" si="36"/>
        <v>=MAX(FV($B$6/$B$14,$B$140-B94,,-C94), 0)</v>
      </c>
      <c r="U94" s="15" t="s">
        <v>17</v>
      </c>
      <c r="V94" s="100">
        <f t="shared" si="31"/>
        <v>74</v>
      </c>
      <c r="W94" s="191">
        <f t="shared" si="30"/>
        <v>1750</v>
      </c>
      <c r="X94" s="192">
        <f t="shared" si="32"/>
        <v>1443.6259104629016</v>
      </c>
      <c r="Y94" s="18" t="str">
        <f t="shared" ca="1" si="26"/>
        <v>=PV($B$5/$B$14,V94,,-W94)</v>
      </c>
      <c r="Z94" s="195">
        <v>0</v>
      </c>
      <c r="AA94" s="31"/>
      <c r="AB94" s="18"/>
      <c r="AC94" s="184">
        <v>0</v>
      </c>
      <c r="AD94" s="34">
        <f t="shared" si="33"/>
        <v>0</v>
      </c>
      <c r="AE94" s="18" t="str">
        <f t="shared" ca="1" si="27"/>
        <v>=PV($B$5/$B$14,V94,,-AC94)</v>
      </c>
      <c r="AG94" s="175"/>
    </row>
    <row r="95" spans="1:33" ht="20.5" x14ac:dyDescent="0.45">
      <c r="A95" s="15" t="s">
        <v>19</v>
      </c>
      <c r="B95" s="100">
        <f t="shared" si="28"/>
        <v>76</v>
      </c>
      <c r="C95" s="184">
        <f t="shared" si="37"/>
        <v>1750</v>
      </c>
      <c r="D95" s="22" t="str">
        <f t="shared" ca="1" si="24"/>
        <v>=$B$11</v>
      </c>
      <c r="E95" s="187">
        <f t="shared" si="34"/>
        <v>0</v>
      </c>
      <c r="F95" s="188">
        <f t="shared" si="25"/>
        <v>2032.7028122891629</v>
      </c>
      <c r="G95" s="19" t="str">
        <f t="shared" ca="1" si="35"/>
        <v>=MIN(PV($B$5/$B$14,B95,,-C95), 0)</v>
      </c>
      <c r="H95" s="19" t="str">
        <f t="shared" ca="1" si="36"/>
        <v>=MAX(FV($B$6/$B$14,$B$140-B95,,-C95), 0)</v>
      </c>
      <c r="U95" s="16" t="s">
        <v>18</v>
      </c>
      <c r="V95" s="100">
        <f t="shared" si="31"/>
        <v>75</v>
      </c>
      <c r="W95" s="191">
        <f t="shared" si="30"/>
        <v>1750</v>
      </c>
      <c r="X95" s="192">
        <f t="shared" si="32"/>
        <v>1439.8762327733878</v>
      </c>
      <c r="Y95" s="18" t="str">
        <f t="shared" ca="1" si="26"/>
        <v>=PV($B$5/$B$14,V95,,-W95)</v>
      </c>
      <c r="Z95" s="195">
        <v>0</v>
      </c>
      <c r="AA95" s="31"/>
      <c r="AB95" s="18"/>
      <c r="AC95" s="184">
        <v>0</v>
      </c>
      <c r="AD95" s="34">
        <f t="shared" si="33"/>
        <v>0</v>
      </c>
      <c r="AE95" s="18" t="str">
        <f t="shared" ca="1" si="27"/>
        <v>=PV($B$5/$B$14,V95,,-AC95)</v>
      </c>
      <c r="AG95" s="175"/>
    </row>
    <row r="96" spans="1:33" ht="20.5" x14ac:dyDescent="0.45">
      <c r="A96" s="16" t="s">
        <v>20</v>
      </c>
      <c r="B96" s="100">
        <f t="shared" si="28"/>
        <v>77</v>
      </c>
      <c r="C96" s="184">
        <f t="shared" si="37"/>
        <v>1750</v>
      </c>
      <c r="D96" s="22" t="str">
        <f t="shared" ca="1" si="24"/>
        <v>=$B$11</v>
      </c>
      <c r="E96" s="187">
        <f t="shared" si="34"/>
        <v>0</v>
      </c>
      <c r="F96" s="188">
        <f t="shared" si="25"/>
        <v>2025.9496467998301</v>
      </c>
      <c r="G96" s="19" t="str">
        <f t="shared" ca="1" si="35"/>
        <v>=MIN(PV($B$5/$B$14,B96,,-C96), 0)</v>
      </c>
      <c r="H96" s="19" t="str">
        <f t="shared" ca="1" si="36"/>
        <v>=MAX(FV($B$6/$B$14,$B$140-B96,,-C96), 0)</v>
      </c>
      <c r="U96" s="15" t="s">
        <v>19</v>
      </c>
      <c r="V96" s="100">
        <f t="shared" si="31"/>
        <v>76</v>
      </c>
      <c r="W96" s="191">
        <f t="shared" si="30"/>
        <v>1750</v>
      </c>
      <c r="X96" s="192">
        <f t="shared" si="32"/>
        <v>1436.1362945064434</v>
      </c>
      <c r="Y96" s="18" t="str">
        <f t="shared" ca="1" si="26"/>
        <v>=PV($B$5/$B$14,V96,,-W96)</v>
      </c>
      <c r="Z96" s="195">
        <v>0</v>
      </c>
      <c r="AA96" s="31"/>
      <c r="AB96" s="18"/>
      <c r="AC96" s="184">
        <v>0</v>
      </c>
      <c r="AD96" s="34">
        <f t="shared" si="33"/>
        <v>0</v>
      </c>
      <c r="AE96" s="18" t="str">
        <f t="shared" ca="1" si="27"/>
        <v>=PV($B$5/$B$14,V96,,-AC96)</v>
      </c>
      <c r="AG96" s="175"/>
    </row>
    <row r="97" spans="1:33" ht="20.5" x14ac:dyDescent="0.45">
      <c r="A97" s="15" t="s">
        <v>21</v>
      </c>
      <c r="B97" s="100">
        <f t="shared" si="28"/>
        <v>78</v>
      </c>
      <c r="C97" s="184">
        <f t="shared" si="37"/>
        <v>1750</v>
      </c>
      <c r="D97" s="22" t="str">
        <f t="shared" ca="1" si="24"/>
        <v>=$B$11</v>
      </c>
      <c r="E97" s="187">
        <f t="shared" si="34"/>
        <v>0</v>
      </c>
      <c r="F97" s="188">
        <f t="shared" si="25"/>
        <v>2019.2189170762429</v>
      </c>
      <c r="G97" s="19" t="str">
        <f t="shared" ca="1" si="35"/>
        <v>=MIN(PV($B$5/$B$14,B97,,-C97), 0)</v>
      </c>
      <c r="H97" s="19" t="str">
        <f t="shared" ca="1" si="36"/>
        <v>=MAX(FV($B$6/$B$14,$B$140-B97,,-C97), 0)</v>
      </c>
      <c r="U97" s="16" t="s">
        <v>20</v>
      </c>
      <c r="V97" s="100">
        <f t="shared" si="31"/>
        <v>77</v>
      </c>
      <c r="W97" s="191">
        <f t="shared" si="30"/>
        <v>1750</v>
      </c>
      <c r="X97" s="192">
        <f t="shared" si="32"/>
        <v>1432.4060703648681</v>
      </c>
      <c r="Y97" s="18" t="str">
        <f t="shared" ca="1" si="26"/>
        <v>=PV($B$5/$B$14,V97,,-W97)</v>
      </c>
      <c r="Z97" s="195">
        <v>0</v>
      </c>
      <c r="AA97" s="31"/>
      <c r="AB97" s="18"/>
      <c r="AC97" s="184">
        <v>0</v>
      </c>
      <c r="AD97" s="34">
        <f t="shared" si="33"/>
        <v>0</v>
      </c>
      <c r="AE97" s="18" t="str">
        <f t="shared" ca="1" si="27"/>
        <v>=PV($B$5/$B$14,V97,,-AC97)</v>
      </c>
      <c r="AG97" s="175"/>
    </row>
    <row r="98" spans="1:33" ht="20.5" x14ac:dyDescent="0.45">
      <c r="A98" s="16" t="s">
        <v>22</v>
      </c>
      <c r="B98" s="100">
        <f t="shared" si="28"/>
        <v>79</v>
      </c>
      <c r="C98" s="184">
        <f t="shared" si="37"/>
        <v>1750</v>
      </c>
      <c r="D98" s="22" t="str">
        <f t="shared" ca="1" si="24"/>
        <v>=$B$11</v>
      </c>
      <c r="E98" s="187">
        <f t="shared" si="34"/>
        <v>0</v>
      </c>
      <c r="F98" s="188">
        <f t="shared" si="25"/>
        <v>2012.5105485809725</v>
      </c>
      <c r="G98" s="19" t="str">
        <f t="shared" ca="1" si="35"/>
        <v>=MIN(PV($B$5/$B$14,B98,,-C98), 0)</v>
      </c>
      <c r="H98" s="19" t="str">
        <f t="shared" ca="1" si="36"/>
        <v>=MAX(FV($B$6/$B$14,$B$140-B98,,-C98), 0)</v>
      </c>
      <c r="U98" s="15" t="s">
        <v>21</v>
      </c>
      <c r="V98" s="100">
        <f t="shared" si="31"/>
        <v>78</v>
      </c>
      <c r="W98" s="191">
        <f t="shared" si="30"/>
        <v>1750</v>
      </c>
      <c r="X98" s="192">
        <f t="shared" si="32"/>
        <v>1428.6855351171671</v>
      </c>
      <c r="Y98" s="18" t="str">
        <f t="shared" ca="1" si="26"/>
        <v>=PV($B$5/$B$14,V98,,-W98)</v>
      </c>
      <c r="Z98" s="195">
        <v>0</v>
      </c>
      <c r="AA98" s="31"/>
      <c r="AB98" s="18"/>
      <c r="AC98" s="184">
        <v>0</v>
      </c>
      <c r="AD98" s="34">
        <f t="shared" si="33"/>
        <v>0</v>
      </c>
      <c r="AE98" s="18" t="str">
        <f t="shared" ca="1" si="27"/>
        <v>=PV($B$5/$B$14,V98,,-AC98)</v>
      </c>
      <c r="AG98" s="175"/>
    </row>
    <row r="99" spans="1:33" ht="20.5" x14ac:dyDescent="0.45">
      <c r="A99" s="15" t="s">
        <v>23</v>
      </c>
      <c r="B99" s="100">
        <f t="shared" si="28"/>
        <v>80</v>
      </c>
      <c r="C99" s="184">
        <f t="shared" si="37"/>
        <v>1750</v>
      </c>
      <c r="D99" s="22" t="str">
        <f t="shared" ca="1" si="24"/>
        <v>=$B$11</v>
      </c>
      <c r="E99" s="187">
        <f t="shared" si="34"/>
        <v>0</v>
      </c>
      <c r="F99" s="188">
        <f t="shared" si="25"/>
        <v>2005.8244670242245</v>
      </c>
      <c r="G99" s="19" t="str">
        <f t="shared" ca="1" si="35"/>
        <v>=MIN(PV($B$5/$B$14,B99,,-C99), 0)</v>
      </c>
      <c r="H99" s="19" t="str">
        <f t="shared" ca="1" si="36"/>
        <v>=MAX(FV($B$6/$B$14,$B$140-B99,,-C99), 0)</v>
      </c>
      <c r="U99" s="16" t="s">
        <v>22</v>
      </c>
      <c r="V99" s="100">
        <f t="shared" si="31"/>
        <v>79</v>
      </c>
      <c r="W99" s="191">
        <f t="shared" si="30"/>
        <v>1750</v>
      </c>
      <c r="X99" s="192">
        <f t="shared" si="32"/>
        <v>1424.9746635973825</v>
      </c>
      <c r="Y99" s="18" t="str">
        <f t="shared" ca="1" si="26"/>
        <v>=PV($B$5/$B$14,V99,,-W99)</v>
      </c>
      <c r="Z99" s="195">
        <v>0</v>
      </c>
      <c r="AA99" s="31"/>
      <c r="AB99" s="18"/>
      <c r="AC99" s="184">
        <v>0</v>
      </c>
      <c r="AD99" s="34">
        <f t="shared" si="33"/>
        <v>0</v>
      </c>
      <c r="AE99" s="18" t="str">
        <f t="shared" ca="1" si="27"/>
        <v>=PV($B$5/$B$14,V99,,-AC99)</v>
      </c>
      <c r="AG99" s="175"/>
    </row>
    <row r="100" spans="1:33" ht="20.5" x14ac:dyDescent="0.45">
      <c r="A100" s="16" t="s">
        <v>24</v>
      </c>
      <c r="B100" s="100">
        <f t="shared" si="28"/>
        <v>81</v>
      </c>
      <c r="C100" s="184">
        <f t="shared" si="37"/>
        <v>1750</v>
      </c>
      <c r="D100" s="22" t="str">
        <f t="shared" ca="1" si="24"/>
        <v>=$B$11</v>
      </c>
      <c r="E100" s="187">
        <f t="shared" si="34"/>
        <v>0</v>
      </c>
      <c r="F100" s="188">
        <f t="shared" si="25"/>
        <v>1999.1605983630145</v>
      </c>
      <c r="G100" s="19" t="str">
        <f t="shared" ca="1" si="35"/>
        <v>=MIN(PV($B$5/$B$14,B100,,-C100), 0)</v>
      </c>
      <c r="H100" s="19" t="str">
        <f t="shared" ca="1" si="36"/>
        <v>=MAX(FV($B$6/$B$14,$B$140-B100,,-C100), 0)</v>
      </c>
      <c r="U100" s="15" t="s">
        <v>23</v>
      </c>
      <c r="V100" s="100">
        <f t="shared" si="31"/>
        <v>80</v>
      </c>
      <c r="W100" s="191">
        <f t="shared" si="30"/>
        <v>1750</v>
      </c>
      <c r="X100" s="192">
        <f t="shared" si="32"/>
        <v>1421.2734307049216</v>
      </c>
      <c r="Y100" s="18" t="str">
        <f t="shared" ca="1" si="26"/>
        <v>=PV($B$5/$B$14,V100,,-W100)</v>
      </c>
      <c r="Z100" s="195">
        <v>0</v>
      </c>
      <c r="AA100" s="31"/>
      <c r="AB100" s="18"/>
      <c r="AC100" s="184">
        <v>0</v>
      </c>
      <c r="AD100" s="34">
        <f t="shared" si="33"/>
        <v>0</v>
      </c>
      <c r="AE100" s="18" t="str">
        <f t="shared" ca="1" si="27"/>
        <v>=PV($B$5/$B$14,V100,,-AC100)</v>
      </c>
      <c r="AG100" s="175"/>
    </row>
    <row r="101" spans="1:33" ht="20.5" x14ac:dyDescent="0.45">
      <c r="A101" s="15" t="s">
        <v>25</v>
      </c>
      <c r="B101" s="100">
        <f t="shared" si="28"/>
        <v>82</v>
      </c>
      <c r="C101" s="184">
        <f t="shared" si="37"/>
        <v>1750</v>
      </c>
      <c r="D101" s="22" t="str">
        <f t="shared" ca="1" si="24"/>
        <v>=$B$11</v>
      </c>
      <c r="E101" s="187">
        <f t="shared" si="34"/>
        <v>0</v>
      </c>
      <c r="F101" s="188">
        <f t="shared" si="25"/>
        <v>1992.518868800347</v>
      </c>
      <c r="G101" s="19" t="str">
        <f t="shared" ca="1" si="35"/>
        <v>=MIN(PV($B$5/$B$14,B101,,-C101), 0)</v>
      </c>
      <c r="H101" s="19" t="str">
        <f t="shared" ca="1" si="36"/>
        <v>=MAX(FV($B$6/$B$14,$B$140-B101,,-C101), 0)</v>
      </c>
      <c r="U101" s="16" t="s">
        <v>24</v>
      </c>
      <c r="V101" s="100">
        <f t="shared" si="31"/>
        <v>81</v>
      </c>
      <c r="W101" s="191">
        <f t="shared" si="30"/>
        <v>1750</v>
      </c>
      <c r="X101" s="192">
        <f t="shared" si="32"/>
        <v>1417.5818114043891</v>
      </c>
      <c r="Y101" s="18" t="str">
        <f t="shared" ca="1" si="26"/>
        <v>=PV($B$5/$B$14,V101,,-W101)</v>
      </c>
      <c r="Z101" s="195">
        <v>0</v>
      </c>
      <c r="AA101" s="31"/>
      <c r="AB101" s="18"/>
      <c r="AC101" s="184">
        <v>0</v>
      </c>
      <c r="AD101" s="34">
        <f t="shared" si="33"/>
        <v>0</v>
      </c>
      <c r="AE101" s="18" t="str">
        <f t="shared" ca="1" si="27"/>
        <v>=PV($B$5/$B$14,V101,,-AC101)</v>
      </c>
      <c r="AG101" s="175"/>
    </row>
    <row r="102" spans="1:33" ht="20.5" x14ac:dyDescent="0.45">
      <c r="A102" s="16" t="s">
        <v>26</v>
      </c>
      <c r="B102" s="100">
        <f t="shared" si="28"/>
        <v>83</v>
      </c>
      <c r="C102" s="184">
        <f t="shared" si="37"/>
        <v>1750</v>
      </c>
      <c r="D102" s="22" t="str">
        <f t="shared" ca="1" si="24"/>
        <v>=$B$11</v>
      </c>
      <c r="E102" s="187">
        <f t="shared" si="34"/>
        <v>0</v>
      </c>
      <c r="F102" s="188">
        <f t="shared" si="25"/>
        <v>1985.8992047843985</v>
      </c>
      <c r="G102" s="19" t="str">
        <f t="shared" ca="1" si="35"/>
        <v>=MIN(PV($B$5/$B$14,B102,,-C102), 0)</v>
      </c>
      <c r="H102" s="19" t="str">
        <f t="shared" ca="1" si="36"/>
        <v>=MAX(FV($B$6/$B$14,$B$140-B102,,-C102), 0)</v>
      </c>
      <c r="U102" s="15" t="s">
        <v>25</v>
      </c>
      <c r="V102" s="100">
        <f t="shared" si="31"/>
        <v>82</v>
      </c>
      <c r="W102" s="191">
        <f t="shared" si="30"/>
        <v>1750</v>
      </c>
      <c r="X102" s="192">
        <f t="shared" si="32"/>
        <v>1413.8997807254168</v>
      </c>
      <c r="Y102" s="18" t="str">
        <f t="shared" ca="1" si="26"/>
        <v>=PV($B$5/$B$14,V102,,-W102)</v>
      </c>
      <c r="Z102" s="195">
        <v>0</v>
      </c>
      <c r="AA102" s="31"/>
      <c r="AB102" s="18"/>
      <c r="AC102" s="184">
        <v>0</v>
      </c>
      <c r="AD102" s="34">
        <f t="shared" si="33"/>
        <v>0</v>
      </c>
      <c r="AE102" s="18" t="str">
        <f t="shared" ca="1" si="27"/>
        <v>=PV($B$5/$B$14,V102,,-AC102)</v>
      </c>
      <c r="AG102" s="175"/>
    </row>
    <row r="103" spans="1:33" ht="20.5" x14ac:dyDescent="0.45">
      <c r="A103" s="15" t="s">
        <v>15</v>
      </c>
      <c r="B103" s="100">
        <f t="shared" si="28"/>
        <v>84</v>
      </c>
      <c r="C103" s="184">
        <f t="shared" si="37"/>
        <v>1750</v>
      </c>
      <c r="D103" s="22" t="str">
        <f t="shared" ca="1" si="24"/>
        <v>=$B$11</v>
      </c>
      <c r="E103" s="187">
        <f t="shared" si="34"/>
        <v>0</v>
      </c>
      <c r="F103" s="188">
        <f t="shared" si="25"/>
        <v>1979.3015330077058</v>
      </c>
      <c r="G103" s="19" t="str">
        <f t="shared" ca="1" si="35"/>
        <v>=MIN(PV($B$5/$B$14,B103,,-C103), 0)</v>
      </c>
      <c r="H103" s="19" t="str">
        <f t="shared" ca="1" si="36"/>
        <v>=MAX(FV($B$6/$B$14,$B$140-B103,,-C103), 0)</v>
      </c>
      <c r="U103" s="16" t="s">
        <v>26</v>
      </c>
      <c r="V103" s="100">
        <f t="shared" si="31"/>
        <v>83</v>
      </c>
      <c r="W103" s="191">
        <f t="shared" si="30"/>
        <v>1750</v>
      </c>
      <c r="X103" s="192">
        <f t="shared" si="32"/>
        <v>1410.2273137624936</v>
      </c>
      <c r="Y103" s="18" t="str">
        <f t="shared" ca="1" si="26"/>
        <v>=PV($B$5/$B$14,V103,,-W103)</v>
      </c>
      <c r="Z103" s="195">
        <v>0</v>
      </c>
      <c r="AA103" s="31"/>
      <c r="AB103" s="18"/>
      <c r="AC103" s="184">
        <v>0</v>
      </c>
      <c r="AD103" s="34">
        <f t="shared" si="33"/>
        <v>0</v>
      </c>
      <c r="AE103" s="18" t="str">
        <f t="shared" ca="1" si="27"/>
        <v>=PV($B$5/$B$14,V103,,-AC103)</v>
      </c>
      <c r="AG103" s="175"/>
    </row>
    <row r="104" spans="1:33" ht="20.5" x14ac:dyDescent="0.45">
      <c r="A104" s="16" t="s">
        <v>16</v>
      </c>
      <c r="B104" s="100">
        <f t="shared" si="28"/>
        <v>85</v>
      </c>
      <c r="C104" s="184">
        <f>$B$11+$B$12</f>
        <v>-750</v>
      </c>
      <c r="D104" s="22" t="str">
        <f t="shared" ca="1" si="24"/>
        <v>=$B$11+$B$12</v>
      </c>
      <c r="E104" s="187">
        <f t="shared" si="34"/>
        <v>-601.24755929401408</v>
      </c>
      <c r="F104" s="188">
        <f t="shared" si="25"/>
        <v>0</v>
      </c>
      <c r="G104" s="19" t="str">
        <f t="shared" ca="1" si="35"/>
        <v>=MIN(PV($B$5/$B$14,B104,,-C104), 0)</v>
      </c>
      <c r="H104" s="19" t="str">
        <f t="shared" ca="1" si="36"/>
        <v>=MAX(FV($B$6/$B$14,$B$140-B104,,-C104), 0)</v>
      </c>
      <c r="U104" s="15" t="s">
        <v>15</v>
      </c>
      <c r="V104" s="100">
        <f t="shared" si="31"/>
        <v>84</v>
      </c>
      <c r="W104" s="191">
        <f t="shared" si="30"/>
        <v>1750</v>
      </c>
      <c r="X104" s="192">
        <f t="shared" si="32"/>
        <v>1406.5643856747988</v>
      </c>
      <c r="Y104" s="18" t="str">
        <f t="shared" ca="1" si="26"/>
        <v>=PV($B$5/$B$14,V104,,-W104)</v>
      </c>
      <c r="Z104" s="195">
        <v>0</v>
      </c>
      <c r="AA104" s="31"/>
      <c r="AB104" s="18"/>
      <c r="AC104" s="184">
        <v>0</v>
      </c>
      <c r="AD104" s="34">
        <f t="shared" si="33"/>
        <v>0</v>
      </c>
      <c r="AE104" s="18" t="str">
        <f t="shared" ca="1" si="27"/>
        <v>=PV($B$5/$B$14,V104,,-AC104)</v>
      </c>
      <c r="AG104" s="175"/>
    </row>
    <row r="105" spans="1:33" ht="20.5" x14ac:dyDescent="0.45">
      <c r="A105" s="15" t="s">
        <v>17</v>
      </c>
      <c r="B105" s="100">
        <f t="shared" si="28"/>
        <v>86</v>
      </c>
      <c r="C105" s="184">
        <f>$B$11</f>
        <v>1750</v>
      </c>
      <c r="D105" s="22" t="str">
        <f t="shared" ca="1" si="24"/>
        <v>=$B$11</v>
      </c>
      <c r="E105" s="187">
        <f t="shared" si="34"/>
        <v>0</v>
      </c>
      <c r="F105" s="188">
        <f t="shared" si="25"/>
        <v>1966.1718741591542</v>
      </c>
      <c r="G105" s="19" t="str">
        <f t="shared" ca="1" si="35"/>
        <v>=MIN(PV($B$5/$B$14,B105,,-C105), 0)</v>
      </c>
      <c r="H105" s="19" t="str">
        <f t="shared" ca="1" si="36"/>
        <v>=MAX(FV($B$6/$B$14,$B$140-B105,,-C105), 0)</v>
      </c>
      <c r="U105" s="16" t="s">
        <v>16</v>
      </c>
      <c r="V105" s="100">
        <f t="shared" si="31"/>
        <v>85</v>
      </c>
      <c r="W105" s="191">
        <f t="shared" si="30"/>
        <v>1750</v>
      </c>
      <c r="X105" s="192">
        <f t="shared" si="32"/>
        <v>1402.9109716860328</v>
      </c>
      <c r="Y105" s="18" t="str">
        <f t="shared" ca="1" si="26"/>
        <v>=PV($B$5/$B$14,V105,,-W105)</v>
      </c>
      <c r="Z105" s="195">
        <v>0</v>
      </c>
      <c r="AA105" s="31"/>
      <c r="AB105" s="18"/>
      <c r="AC105" s="184">
        <f>AC93</f>
        <v>-2500</v>
      </c>
      <c r="AD105" s="34">
        <f t="shared" si="33"/>
        <v>-2004.1585309800469</v>
      </c>
      <c r="AE105" s="18" t="str">
        <f t="shared" ca="1" si="27"/>
        <v>=PV($B$5/$B$14,V105,,-AC105)</v>
      </c>
      <c r="AG105" s="175"/>
    </row>
    <row r="106" spans="1:33" ht="20.5" x14ac:dyDescent="0.45">
      <c r="A106" s="16" t="s">
        <v>18</v>
      </c>
      <c r="B106" s="100">
        <f t="shared" si="28"/>
        <v>87</v>
      </c>
      <c r="C106" s="184">
        <f t="shared" ref="C106:C115" si="38">$B$11</f>
        <v>1750</v>
      </c>
      <c r="D106" s="22" t="str">
        <f t="shared" ca="1" si="24"/>
        <v>=$B$11</v>
      </c>
      <c r="E106" s="187">
        <f t="shared" si="34"/>
        <v>0</v>
      </c>
      <c r="F106" s="188">
        <f t="shared" si="25"/>
        <v>1959.6397416868642</v>
      </c>
      <c r="G106" s="19" t="str">
        <f t="shared" ca="1" si="35"/>
        <v>=MIN(PV($B$5/$B$14,B106,,-C106), 0)</v>
      </c>
      <c r="H106" s="19" t="str">
        <f t="shared" ca="1" si="36"/>
        <v>=MAX(FV($B$6/$B$14,$B$140-B106,,-C106), 0)</v>
      </c>
      <c r="U106" s="15" t="s">
        <v>17</v>
      </c>
      <c r="V106" s="100">
        <f t="shared" si="31"/>
        <v>86</v>
      </c>
      <c r="W106" s="191">
        <f t="shared" si="30"/>
        <v>1750</v>
      </c>
      <c r="X106" s="192">
        <f t="shared" si="32"/>
        <v>1399.2670470842509</v>
      </c>
      <c r="Y106" s="18" t="str">
        <f t="shared" ca="1" si="26"/>
        <v>=PV($B$5/$B$14,V106,,-W106)</v>
      </c>
      <c r="Z106" s="195">
        <v>0</v>
      </c>
      <c r="AA106" s="31"/>
      <c r="AB106" s="18"/>
      <c r="AC106" s="184">
        <v>0</v>
      </c>
      <c r="AD106" s="34">
        <f t="shared" si="33"/>
        <v>0</v>
      </c>
      <c r="AE106" s="18" t="str">
        <f t="shared" ca="1" si="27"/>
        <v>=PV($B$5/$B$14,V106,,-AC106)</v>
      </c>
      <c r="AG106" s="175"/>
    </row>
    <row r="107" spans="1:33" ht="20.5" x14ac:dyDescent="0.45">
      <c r="A107" s="15" t="s">
        <v>19</v>
      </c>
      <c r="B107" s="100">
        <f t="shared" si="28"/>
        <v>88</v>
      </c>
      <c r="C107" s="184">
        <f t="shared" si="38"/>
        <v>1750</v>
      </c>
      <c r="D107" s="22" t="str">
        <f t="shared" ca="1" si="24"/>
        <v>=$B$11</v>
      </c>
      <c r="E107" s="187">
        <f t="shared" si="34"/>
        <v>0</v>
      </c>
      <c r="F107" s="188">
        <f t="shared" si="25"/>
        <v>1953.1293106513594</v>
      </c>
      <c r="G107" s="19" t="str">
        <f t="shared" ca="1" si="35"/>
        <v>=MIN(PV($B$5/$B$14,B107,,-C107), 0)</v>
      </c>
      <c r="H107" s="19" t="str">
        <f t="shared" ca="1" si="36"/>
        <v>=MAX(FV($B$6/$B$14,$B$140-B107,,-C107), 0)</v>
      </c>
      <c r="U107" s="16" t="s">
        <v>18</v>
      </c>
      <c r="V107" s="100">
        <f t="shared" si="31"/>
        <v>87</v>
      </c>
      <c r="W107" s="191">
        <f t="shared" si="30"/>
        <v>1750</v>
      </c>
      <c r="X107" s="192">
        <f t="shared" si="32"/>
        <v>1395.6325872216944</v>
      </c>
      <c r="Y107" s="18" t="str">
        <f t="shared" ca="1" si="26"/>
        <v>=PV($B$5/$B$14,V107,,-W107)</v>
      </c>
      <c r="Z107" s="195">
        <v>0</v>
      </c>
      <c r="AA107" s="31"/>
      <c r="AB107" s="18"/>
      <c r="AC107" s="184">
        <v>0</v>
      </c>
      <c r="AD107" s="34">
        <f t="shared" si="33"/>
        <v>0</v>
      </c>
      <c r="AE107" s="18" t="str">
        <f t="shared" ca="1" si="27"/>
        <v>=PV($B$5/$B$14,V107,,-AC107)</v>
      </c>
      <c r="AG107" s="175"/>
    </row>
    <row r="108" spans="1:33" ht="20.5" x14ac:dyDescent="0.45">
      <c r="A108" s="16" t="s">
        <v>20</v>
      </c>
      <c r="B108" s="100">
        <f t="shared" si="28"/>
        <v>89</v>
      </c>
      <c r="C108" s="184">
        <f t="shared" si="38"/>
        <v>1750</v>
      </c>
      <c r="D108" s="22" t="str">
        <f t="shared" ca="1" si="24"/>
        <v>=$B$11</v>
      </c>
      <c r="E108" s="187">
        <f t="shared" si="34"/>
        <v>0</v>
      </c>
      <c r="F108" s="188">
        <f t="shared" si="25"/>
        <v>1946.640508954843</v>
      </c>
      <c r="G108" s="19" t="str">
        <f t="shared" ca="1" si="35"/>
        <v>=MIN(PV($B$5/$B$14,B108,,-C108), 0)</v>
      </c>
      <c r="H108" s="19" t="str">
        <f t="shared" ca="1" si="36"/>
        <v>=MAX(FV($B$6/$B$14,$B$140-B108,,-C108), 0)</v>
      </c>
      <c r="U108" s="15" t="s">
        <v>19</v>
      </c>
      <c r="V108" s="100">
        <f t="shared" si="31"/>
        <v>88</v>
      </c>
      <c r="W108" s="191">
        <f t="shared" si="30"/>
        <v>1750</v>
      </c>
      <c r="X108" s="192">
        <f t="shared" si="32"/>
        <v>1392.007567514625</v>
      </c>
      <c r="Y108" s="18" t="str">
        <f t="shared" ca="1" si="26"/>
        <v>=PV($B$5/$B$14,V108,,-W108)</v>
      </c>
      <c r="Z108" s="195">
        <v>0</v>
      </c>
      <c r="AA108" s="31"/>
      <c r="AB108" s="18"/>
      <c r="AC108" s="184">
        <v>0</v>
      </c>
      <c r="AD108" s="34">
        <f t="shared" si="33"/>
        <v>0</v>
      </c>
      <c r="AE108" s="18" t="str">
        <f t="shared" ca="1" si="27"/>
        <v>=PV($B$5/$B$14,V108,,-AC108)</v>
      </c>
      <c r="AG108" s="175"/>
    </row>
    <row r="109" spans="1:33" ht="20.5" x14ac:dyDescent="0.45">
      <c r="A109" s="15" t="s">
        <v>21</v>
      </c>
      <c r="B109" s="100">
        <f t="shared" si="28"/>
        <v>90</v>
      </c>
      <c r="C109" s="184">
        <f t="shared" si="38"/>
        <v>1750</v>
      </c>
      <c r="D109" s="22" t="str">
        <f t="shared" ca="1" si="24"/>
        <v>=$B$11</v>
      </c>
      <c r="E109" s="187">
        <f t="shared" si="34"/>
        <v>0</v>
      </c>
      <c r="F109" s="188">
        <f t="shared" si="25"/>
        <v>1940.1732647390461</v>
      </c>
      <c r="G109" s="19" t="str">
        <f t="shared" ca="1" si="35"/>
        <v>=MIN(PV($B$5/$B$14,B109,,-C109), 0)</v>
      </c>
      <c r="H109" s="19" t="str">
        <f t="shared" ca="1" si="36"/>
        <v>=MAX(FV($B$6/$B$14,$B$140-B109,,-C109), 0)</v>
      </c>
      <c r="U109" s="16" t="s">
        <v>20</v>
      </c>
      <c r="V109" s="100">
        <f t="shared" si="31"/>
        <v>89</v>
      </c>
      <c r="W109" s="191">
        <f t="shared" si="30"/>
        <v>1750</v>
      </c>
      <c r="X109" s="192">
        <f t="shared" si="32"/>
        <v>1388.3919634431584</v>
      </c>
      <c r="Y109" s="18" t="str">
        <f t="shared" ca="1" si="26"/>
        <v>=PV($B$5/$B$14,V109,,-W109)</v>
      </c>
      <c r="Z109" s="195">
        <v>0</v>
      </c>
      <c r="AA109" s="31"/>
      <c r="AB109" s="18"/>
      <c r="AC109" s="184">
        <v>0</v>
      </c>
      <c r="AD109" s="34">
        <f t="shared" si="33"/>
        <v>0</v>
      </c>
      <c r="AE109" s="18" t="str">
        <f t="shared" ca="1" si="27"/>
        <v>=PV($B$5/$B$14,V109,,-AC109)</v>
      </c>
      <c r="AG109" s="175"/>
    </row>
    <row r="110" spans="1:33" ht="20.5" x14ac:dyDescent="0.45">
      <c r="A110" s="16" t="s">
        <v>22</v>
      </c>
      <c r="B110" s="100">
        <f t="shared" si="28"/>
        <v>91</v>
      </c>
      <c r="C110" s="184">
        <f t="shared" si="38"/>
        <v>1750</v>
      </c>
      <c r="D110" s="22" t="str">
        <f t="shared" ca="1" si="24"/>
        <v>=$B$11</v>
      </c>
      <c r="E110" s="187">
        <f t="shared" si="34"/>
        <v>0</v>
      </c>
      <c r="F110" s="188">
        <f t="shared" si="25"/>
        <v>1933.7275063844309</v>
      </c>
      <c r="G110" s="19" t="str">
        <f t="shared" ca="1" si="35"/>
        <v>=MIN(PV($B$5/$B$14,B110,,-C110), 0)</v>
      </c>
      <c r="H110" s="19" t="str">
        <f t="shared" ca="1" si="36"/>
        <v>=MAX(FV($B$6/$B$14,$B$140-B110,,-C110), 0)</v>
      </c>
      <c r="U110" s="15" t="s">
        <v>21</v>
      </c>
      <c r="V110" s="100">
        <f t="shared" si="31"/>
        <v>90</v>
      </c>
      <c r="W110" s="191">
        <f t="shared" si="30"/>
        <v>1750</v>
      </c>
      <c r="X110" s="192">
        <f t="shared" si="32"/>
        <v>1384.7857505510983</v>
      </c>
      <c r="Y110" s="18" t="str">
        <f t="shared" ca="1" si="26"/>
        <v>=PV($B$5/$B$14,V110,,-W110)</v>
      </c>
      <c r="Z110" s="195">
        <v>0</v>
      </c>
      <c r="AA110" s="31"/>
      <c r="AB110" s="18"/>
      <c r="AC110" s="184">
        <v>0</v>
      </c>
      <c r="AD110" s="34">
        <f t="shared" si="33"/>
        <v>0</v>
      </c>
      <c r="AE110" s="18" t="str">
        <f t="shared" ca="1" si="27"/>
        <v>=PV($B$5/$B$14,V110,,-AC110)</v>
      </c>
      <c r="AG110" s="175"/>
    </row>
    <row r="111" spans="1:33" ht="20.5" x14ac:dyDescent="0.45">
      <c r="A111" s="15" t="s">
        <v>23</v>
      </c>
      <c r="B111" s="100">
        <f t="shared" si="28"/>
        <v>92</v>
      </c>
      <c r="C111" s="184">
        <f t="shared" si="38"/>
        <v>1750</v>
      </c>
      <c r="D111" s="22" t="str">
        <f t="shared" ca="1" si="24"/>
        <v>=$B$11</v>
      </c>
      <c r="E111" s="187">
        <f t="shared" si="34"/>
        <v>0</v>
      </c>
      <c r="F111" s="188">
        <f t="shared" si="25"/>
        <v>1927.3031625093993</v>
      </c>
      <c r="G111" s="19" t="str">
        <f t="shared" ca="1" si="35"/>
        <v>=MIN(PV($B$5/$B$14,B111,,-C111), 0)</v>
      </c>
      <c r="H111" s="19" t="str">
        <f t="shared" ca="1" si="36"/>
        <v>=MAX(FV($B$6/$B$14,$B$140-B111,,-C111), 0)</v>
      </c>
      <c r="U111" s="16" t="s">
        <v>22</v>
      </c>
      <c r="V111" s="100">
        <f t="shared" si="31"/>
        <v>91</v>
      </c>
      <c r="W111" s="191">
        <f t="shared" si="30"/>
        <v>1750</v>
      </c>
      <c r="X111" s="192">
        <f t="shared" si="32"/>
        <v>1381.188904445771</v>
      </c>
      <c r="Y111" s="18" t="str">
        <f t="shared" ca="1" si="26"/>
        <v>=PV($B$5/$B$14,V111,,-W111)</v>
      </c>
      <c r="Z111" s="195">
        <v>0</v>
      </c>
      <c r="AA111" s="31"/>
      <c r="AB111" s="18"/>
      <c r="AC111" s="184">
        <v>0</v>
      </c>
      <c r="AD111" s="34">
        <f t="shared" si="33"/>
        <v>0</v>
      </c>
      <c r="AE111" s="18" t="str">
        <f t="shared" ca="1" si="27"/>
        <v>=PV($B$5/$B$14,V111,,-AC111)</v>
      </c>
      <c r="AG111" s="175"/>
    </row>
    <row r="112" spans="1:33" ht="20.5" x14ac:dyDescent="0.45">
      <c r="A112" s="16" t="s">
        <v>24</v>
      </c>
      <c r="B112" s="100">
        <f t="shared" si="28"/>
        <v>93</v>
      </c>
      <c r="C112" s="184">
        <f t="shared" si="38"/>
        <v>1750</v>
      </c>
      <c r="D112" s="22" t="str">
        <f t="shared" ca="1" si="24"/>
        <v>=$B$11</v>
      </c>
      <c r="E112" s="187">
        <f t="shared" si="34"/>
        <v>0</v>
      </c>
      <c r="F112" s="188">
        <f t="shared" si="25"/>
        <v>1920.9001619695011</v>
      </c>
      <c r="G112" s="19" t="str">
        <f t="shared" ca="1" si="35"/>
        <v>=MIN(PV($B$5/$B$14,B112,,-C112), 0)</v>
      </c>
      <c r="H112" s="19" t="str">
        <f t="shared" ca="1" si="36"/>
        <v>=MAX(FV($B$6/$B$14,$B$140-B112,,-C112), 0)</v>
      </c>
      <c r="U112" s="15" t="s">
        <v>23</v>
      </c>
      <c r="V112" s="100">
        <f t="shared" si="31"/>
        <v>92</v>
      </c>
      <c r="W112" s="191">
        <f t="shared" si="30"/>
        <v>1750</v>
      </c>
      <c r="X112" s="192">
        <f t="shared" si="32"/>
        <v>1377.6014007978595</v>
      </c>
      <c r="Y112" s="18" t="str">
        <f t="shared" ca="1" si="26"/>
        <v>=PV($B$5/$B$14,V112,,-W112)</v>
      </c>
      <c r="Z112" s="195">
        <v>0</v>
      </c>
      <c r="AA112" s="31"/>
      <c r="AB112" s="18"/>
      <c r="AC112" s="184">
        <v>0</v>
      </c>
      <c r="AD112" s="34">
        <f t="shared" si="33"/>
        <v>0</v>
      </c>
      <c r="AE112" s="18" t="str">
        <f t="shared" ca="1" si="27"/>
        <v>=PV($B$5/$B$14,V112,,-AC112)</v>
      </c>
      <c r="AG112" s="175"/>
    </row>
    <row r="113" spans="1:33" ht="20.5" x14ac:dyDescent="0.45">
      <c r="A113" s="15" t="s">
        <v>25</v>
      </c>
      <c r="B113" s="100">
        <f t="shared" si="28"/>
        <v>94</v>
      </c>
      <c r="C113" s="184">
        <f t="shared" si="38"/>
        <v>1750</v>
      </c>
      <c r="D113" s="22" t="str">
        <f t="shared" ca="1" si="24"/>
        <v>=$B$11</v>
      </c>
      <c r="E113" s="187">
        <f>MIN(PV($B$5/$B$14,B113,,-C113), 0)</f>
        <v>0</v>
      </c>
      <c r="F113" s="188">
        <f t="shared" si="25"/>
        <v>1914.5184338566455</v>
      </c>
      <c r="G113" s="19" t="str">
        <f t="shared" ca="1" si="35"/>
        <v>=MIN(PV($B$5/$B$14,B113,,-C113), 0)</v>
      </c>
      <c r="H113" s="19" t="str">
        <f t="shared" ca="1" si="36"/>
        <v>=MAX(FV($B$6/$B$14,$B$140-B113,,-C113), 0)</v>
      </c>
      <c r="U113" s="16" t="s">
        <v>24</v>
      </c>
      <c r="V113" s="100">
        <f t="shared" si="31"/>
        <v>93</v>
      </c>
      <c r="W113" s="191">
        <f t="shared" si="30"/>
        <v>1750</v>
      </c>
      <c r="X113" s="192">
        <f t="shared" si="32"/>
        <v>1374.0232153412414</v>
      </c>
      <c r="Y113" s="18" t="str">
        <f t="shared" ca="1" si="26"/>
        <v>=PV($B$5/$B$14,V113,,-W113)</v>
      </c>
      <c r="Z113" s="195">
        <v>0</v>
      </c>
      <c r="AA113" s="31"/>
      <c r="AB113" s="18"/>
      <c r="AC113" s="184">
        <v>0</v>
      </c>
      <c r="AD113" s="34">
        <f t="shared" si="33"/>
        <v>0</v>
      </c>
      <c r="AE113" s="18" t="str">
        <f t="shared" ca="1" si="27"/>
        <v>=PV($B$5/$B$14,V113,,-AC113)</v>
      </c>
      <c r="AG113" s="175"/>
    </row>
    <row r="114" spans="1:33" ht="20.5" x14ac:dyDescent="0.45">
      <c r="A114" s="16" t="s">
        <v>26</v>
      </c>
      <c r="B114" s="100">
        <f t="shared" si="28"/>
        <v>95</v>
      </c>
      <c r="C114" s="184">
        <f t="shared" si="38"/>
        <v>1750</v>
      </c>
      <c r="D114" s="22" t="str">
        <f t="shared" ca="1" si="24"/>
        <v>=$B$11</v>
      </c>
      <c r="E114" s="187">
        <f t="shared" si="34"/>
        <v>0</v>
      </c>
      <c r="F114" s="188">
        <f t="shared" si="25"/>
        <v>1908.1579074983174</v>
      </c>
      <c r="G114" s="19" t="str">
        <f t="shared" ca="1" si="35"/>
        <v>=MIN(PV($B$5/$B$14,B114,,-C114), 0)</v>
      </c>
      <c r="H114" s="19" t="str">
        <f t="shared" ca="1" si="36"/>
        <v>=MAX(FV($B$6/$B$14,$B$140-B114,,-C114), 0)</v>
      </c>
      <c r="U114" s="15" t="s">
        <v>25</v>
      </c>
      <c r="V114" s="100">
        <f t="shared" si="31"/>
        <v>94</v>
      </c>
      <c r="W114" s="191">
        <f t="shared" si="30"/>
        <v>1750</v>
      </c>
      <c r="X114" s="192">
        <f t="shared" si="32"/>
        <v>1370.4543238728229</v>
      </c>
      <c r="Y114" s="18" t="str">
        <f t="shared" ca="1" si="26"/>
        <v>=PV($B$5/$B$14,V114,,-W114)</v>
      </c>
      <c r="Z114" s="195">
        <v>0</v>
      </c>
      <c r="AA114" s="31"/>
      <c r="AB114" s="18"/>
      <c r="AC114" s="184">
        <v>0</v>
      </c>
      <c r="AD114" s="34">
        <f t="shared" si="33"/>
        <v>0</v>
      </c>
      <c r="AE114" s="18" t="str">
        <f t="shared" ca="1" si="27"/>
        <v>=PV($B$5/$B$14,V114,,-AC114)</v>
      </c>
      <c r="AG114" s="175"/>
    </row>
    <row r="115" spans="1:33" ht="20.5" x14ac:dyDescent="0.45">
      <c r="A115" s="15" t="s">
        <v>15</v>
      </c>
      <c r="B115" s="100">
        <f t="shared" si="28"/>
        <v>96</v>
      </c>
      <c r="C115" s="184">
        <f t="shared" si="38"/>
        <v>1750</v>
      </c>
      <c r="D115" s="22" t="str">
        <f t="shared" ca="1" si="24"/>
        <v>=$B$11</v>
      </c>
      <c r="E115" s="187">
        <f t="shared" si="34"/>
        <v>0</v>
      </c>
      <c r="F115" s="188">
        <f t="shared" si="25"/>
        <v>1901.8185124567947</v>
      </c>
      <c r="G115" s="19" t="str">
        <f t="shared" ca="1" si="35"/>
        <v>=MIN(PV($B$5/$B$14,B115,,-C115), 0)</v>
      </c>
      <c r="H115" s="19" t="str">
        <f t="shared" ca="1" si="36"/>
        <v>=MAX(FV($B$6/$B$14,$B$140-B115,,-C115), 0)</v>
      </c>
      <c r="U115" s="16" t="s">
        <v>26</v>
      </c>
      <c r="V115" s="100">
        <f t="shared" si="31"/>
        <v>95</v>
      </c>
      <c r="W115" s="191">
        <f t="shared" si="30"/>
        <v>1750</v>
      </c>
      <c r="X115" s="192">
        <f t="shared" si="32"/>
        <v>1366.8947022523739</v>
      </c>
      <c r="Y115" s="18" t="str">
        <f t="shared" ca="1" si="26"/>
        <v>=PV($B$5/$B$14,V115,,-W115)</v>
      </c>
      <c r="Z115" s="195">
        <v>0</v>
      </c>
      <c r="AA115" s="31"/>
      <c r="AB115" s="18"/>
      <c r="AC115" s="184">
        <v>0</v>
      </c>
      <c r="AD115" s="34">
        <f t="shared" si="33"/>
        <v>0</v>
      </c>
      <c r="AE115" s="18" t="str">
        <f t="shared" ca="1" si="27"/>
        <v>=PV($B$5/$B$14,V115,,-AC115)</v>
      </c>
      <c r="AG115" s="175"/>
    </row>
    <row r="116" spans="1:33" ht="20.5" x14ac:dyDescent="0.45">
      <c r="A116" s="16" t="s">
        <v>16</v>
      </c>
      <c r="B116" s="100">
        <f t="shared" si="28"/>
        <v>97</v>
      </c>
      <c r="C116" s="184">
        <f>$B$11+$B$12</f>
        <v>-750</v>
      </c>
      <c r="D116" s="22" t="str">
        <f t="shared" ca="1" si="24"/>
        <v>=$B$11+$B$12</v>
      </c>
      <c r="E116" s="187">
        <f t="shared" si="34"/>
        <v>-582.77278813192106</v>
      </c>
      <c r="F116" s="188">
        <f t="shared" si="25"/>
        <v>0</v>
      </c>
      <c r="G116" s="19" t="str">
        <f t="shared" ca="1" si="35"/>
        <v>=MIN(PV($B$5/$B$14,B116,,-C116), 0)</v>
      </c>
      <c r="H116" s="19" t="str">
        <f t="shared" ca="1" si="36"/>
        <v>=MAX(FV($B$6/$B$14,$B$140-B116,,-C116), 0)</v>
      </c>
      <c r="U116" s="15" t="s">
        <v>15</v>
      </c>
      <c r="V116" s="100">
        <f t="shared" si="31"/>
        <v>96</v>
      </c>
      <c r="W116" s="191">
        <f t="shared" si="30"/>
        <v>1750</v>
      </c>
      <c r="X116" s="192">
        <f t="shared" si="32"/>
        <v>1363.3443264023676</v>
      </c>
      <c r="Y116" s="18" t="str">
        <f t="shared" ca="1" si="26"/>
        <v>=PV($B$5/$B$14,V116,,-W116)</v>
      </c>
      <c r="Z116" s="195">
        <v>0</v>
      </c>
      <c r="AA116" s="31"/>
      <c r="AB116" s="18"/>
      <c r="AC116" s="184">
        <v>0</v>
      </c>
      <c r="AD116" s="34">
        <f t="shared" si="33"/>
        <v>0</v>
      </c>
      <c r="AE116" s="18" t="str">
        <f t="shared" ca="1" si="27"/>
        <v>=PV($B$5/$B$14,V116,,-AC116)</v>
      </c>
      <c r="AG116" s="175"/>
    </row>
    <row r="117" spans="1:33" ht="20.5" x14ac:dyDescent="0.45">
      <c r="A117" s="15" t="s">
        <v>17</v>
      </c>
      <c r="B117" s="100">
        <f t="shared" si="28"/>
        <v>98</v>
      </c>
      <c r="C117" s="184">
        <f>$B$11</f>
        <v>1750</v>
      </c>
      <c r="D117" s="22" t="str">
        <f t="shared" ca="1" si="24"/>
        <v>=$B$11</v>
      </c>
      <c r="E117" s="187">
        <f t="shared" si="34"/>
        <v>0</v>
      </c>
      <c r="F117" s="188">
        <f t="shared" si="25"/>
        <v>1889.2028357425581</v>
      </c>
      <c r="G117" s="19" t="str">
        <f t="shared" ca="1" si="35"/>
        <v>=MIN(PV($B$5/$B$14,B117,,-C117), 0)</v>
      </c>
      <c r="H117" s="19" t="str">
        <f t="shared" ca="1" si="36"/>
        <v>=MAX(FV($B$6/$B$14,$B$140-B117,,-C117), 0)</v>
      </c>
      <c r="U117" s="16" t="s">
        <v>16</v>
      </c>
      <c r="V117" s="100">
        <f t="shared" si="31"/>
        <v>97</v>
      </c>
      <c r="W117" s="191">
        <f t="shared" si="30"/>
        <v>1750</v>
      </c>
      <c r="X117" s="192">
        <f t="shared" si="32"/>
        <v>1359.8031723078159</v>
      </c>
      <c r="Y117" s="18" t="str">
        <f t="shared" ca="1" si="26"/>
        <v>=PV($B$5/$B$14,V117,,-W117)</v>
      </c>
      <c r="Z117" s="195">
        <v>0</v>
      </c>
      <c r="AA117" s="31"/>
      <c r="AB117" s="18"/>
      <c r="AC117" s="184">
        <f>AC105</f>
        <v>-2500</v>
      </c>
      <c r="AD117" s="34">
        <f t="shared" si="33"/>
        <v>-1942.5759604397369</v>
      </c>
      <c r="AE117" s="18" t="str">
        <f t="shared" ca="1" si="27"/>
        <v>=PV($B$5/$B$14,V117,,-AC117)</v>
      </c>
      <c r="AG117" s="175"/>
    </row>
    <row r="118" spans="1:33" ht="20.5" x14ac:dyDescent="0.45">
      <c r="A118" s="16" t="s">
        <v>18</v>
      </c>
      <c r="B118" s="100">
        <f t="shared" si="28"/>
        <v>99</v>
      </c>
      <c r="C118" s="184">
        <f t="shared" ref="C118:C127" si="39">$B$11</f>
        <v>1750</v>
      </c>
      <c r="D118" s="22" t="str">
        <f t="shared" ca="1" si="24"/>
        <v>=$B$11</v>
      </c>
      <c r="E118" s="187">
        <f t="shared" si="34"/>
        <v>0</v>
      </c>
      <c r="F118" s="188">
        <f t="shared" si="25"/>
        <v>1882.9264143613534</v>
      </c>
      <c r="G118" s="19" t="str">
        <f t="shared" ca="1" si="35"/>
        <v>=MIN(PV($B$5/$B$14,B118,,-C118), 0)</v>
      </c>
      <c r="H118" s="19" t="str">
        <f t="shared" ca="1" si="36"/>
        <v>=MAX(FV($B$6/$B$14,$B$140-B118,,-C118), 0)</v>
      </c>
      <c r="U118" s="15" t="s">
        <v>17</v>
      </c>
      <c r="V118" s="100">
        <f t="shared" si="31"/>
        <v>98</v>
      </c>
      <c r="W118" s="191">
        <f t="shared" si="30"/>
        <v>1750</v>
      </c>
      <c r="X118" s="192">
        <f t="shared" si="32"/>
        <v>1356.2712160161075</v>
      </c>
      <c r="Y118" s="18" t="str">
        <f t="shared" ca="1" si="26"/>
        <v>=PV($B$5/$B$14,V118,,-W118)</v>
      </c>
      <c r="Z118" s="195">
        <v>0</v>
      </c>
      <c r="AA118" s="31"/>
      <c r="AB118" s="18"/>
      <c r="AC118" s="184">
        <v>0</v>
      </c>
      <c r="AD118" s="34">
        <f t="shared" si="33"/>
        <v>0</v>
      </c>
      <c r="AE118" s="18" t="str">
        <f t="shared" ca="1" si="27"/>
        <v>=PV($B$5/$B$14,V118,,-AC118)</v>
      </c>
      <c r="AG118" s="175"/>
    </row>
    <row r="119" spans="1:33" ht="20.5" x14ac:dyDescent="0.45">
      <c r="A119" s="15" t="s">
        <v>19</v>
      </c>
      <c r="B119" s="100">
        <f t="shared" si="28"/>
        <v>100</v>
      </c>
      <c r="C119" s="184">
        <f t="shared" si="39"/>
        <v>1750</v>
      </c>
      <c r="D119" s="22" t="str">
        <f t="shared" ca="1" si="24"/>
        <v>=$B$11</v>
      </c>
      <c r="E119" s="187">
        <f t="shared" si="34"/>
        <v>0</v>
      </c>
      <c r="F119" s="188">
        <f t="shared" si="25"/>
        <v>1876.6708448784248</v>
      </c>
      <c r="G119" s="19" t="str">
        <f t="shared" ca="1" si="35"/>
        <v>=MIN(PV($B$5/$B$14,B119,,-C119), 0)</v>
      </c>
      <c r="H119" s="19" t="str">
        <f t="shared" ca="1" si="36"/>
        <v>=MAX(FV($B$6/$B$14,$B$140-B119,,-C119), 0)</v>
      </c>
      <c r="U119" s="16" t="s">
        <v>18</v>
      </c>
      <c r="V119" s="100">
        <f t="shared" si="31"/>
        <v>99</v>
      </c>
      <c r="W119" s="191">
        <f t="shared" si="30"/>
        <v>1750</v>
      </c>
      <c r="X119" s="192">
        <f t="shared" si="32"/>
        <v>1352.7484336368448</v>
      </c>
      <c r="Y119" s="18" t="str">
        <f t="shared" ca="1" si="26"/>
        <v>=PV($B$5/$B$14,V119,,-W119)</v>
      </c>
      <c r="Z119" s="195">
        <v>0</v>
      </c>
      <c r="AA119" s="31"/>
      <c r="AB119" s="18"/>
      <c r="AC119" s="184">
        <v>0</v>
      </c>
      <c r="AD119" s="34">
        <f t="shared" si="33"/>
        <v>0</v>
      </c>
      <c r="AE119" s="18" t="str">
        <f t="shared" ca="1" si="27"/>
        <v>=PV($B$5/$B$14,V119,,-AC119)</v>
      </c>
      <c r="AG119" s="175"/>
    </row>
    <row r="120" spans="1:33" ht="20.5" x14ac:dyDescent="0.45">
      <c r="A120" s="16" t="s">
        <v>20</v>
      </c>
      <c r="B120" s="100">
        <f t="shared" si="28"/>
        <v>101</v>
      </c>
      <c r="C120" s="184">
        <f t="shared" si="39"/>
        <v>1750</v>
      </c>
      <c r="D120" s="22" t="str">
        <f t="shared" ca="1" si="24"/>
        <v>=$B$11</v>
      </c>
      <c r="E120" s="187">
        <f t="shared" si="34"/>
        <v>0</v>
      </c>
      <c r="F120" s="188">
        <f t="shared" si="25"/>
        <v>1870.4360580183638</v>
      </c>
      <c r="G120" s="19" t="str">
        <f t="shared" ca="1" si="35"/>
        <v>=MIN(PV($B$5/$B$14,B120,,-C120), 0)</v>
      </c>
      <c r="H120" s="19" t="str">
        <f t="shared" ca="1" si="36"/>
        <v>=MAX(FV($B$6/$B$14,$B$140-B120,,-C120), 0)</v>
      </c>
      <c r="U120" s="15" t="s">
        <v>19</v>
      </c>
      <c r="V120" s="100">
        <f t="shared" si="31"/>
        <v>100</v>
      </c>
      <c r="W120" s="191">
        <f t="shared" si="30"/>
        <v>1750</v>
      </c>
      <c r="X120" s="192">
        <f t="shared" si="32"/>
        <v>1349.2348013416836</v>
      </c>
      <c r="Y120" s="18" t="str">
        <f t="shared" ca="1" si="26"/>
        <v>=PV($B$5/$B$14,V120,,-W120)</v>
      </c>
      <c r="Z120" s="195">
        <v>0</v>
      </c>
      <c r="AA120" s="31"/>
      <c r="AB120" s="18"/>
      <c r="AC120" s="184">
        <v>0</v>
      </c>
      <c r="AD120" s="34">
        <f t="shared" si="33"/>
        <v>0</v>
      </c>
      <c r="AE120" s="18" t="str">
        <f t="shared" ca="1" si="27"/>
        <v>=PV($B$5/$B$14,V120,,-AC120)</v>
      </c>
      <c r="AG120" s="175"/>
    </row>
    <row r="121" spans="1:33" ht="20.5" x14ac:dyDescent="0.45">
      <c r="A121" s="15" t="s">
        <v>21</v>
      </c>
      <c r="B121" s="100">
        <f t="shared" si="28"/>
        <v>102</v>
      </c>
      <c r="C121" s="184">
        <f t="shared" si="39"/>
        <v>1750</v>
      </c>
      <c r="D121" s="22" t="str">
        <f t="shared" ca="1" si="24"/>
        <v>=$B$11</v>
      </c>
      <c r="E121" s="187">
        <f t="shared" si="34"/>
        <v>0</v>
      </c>
      <c r="F121" s="188">
        <f t="shared" si="25"/>
        <v>1864.2219847359106</v>
      </c>
      <c r="G121" s="19" t="str">
        <f t="shared" ca="1" si="35"/>
        <v>=MIN(PV($B$5/$B$14,B121,,-C121), 0)</v>
      </c>
      <c r="H121" s="19" t="str">
        <f t="shared" ca="1" si="36"/>
        <v>=MAX(FV($B$6/$B$14,$B$140-B121,,-C121), 0)</v>
      </c>
      <c r="U121" s="16" t="s">
        <v>20</v>
      </c>
      <c r="V121" s="100">
        <f t="shared" si="31"/>
        <v>101</v>
      </c>
      <c r="W121" s="191">
        <f t="shared" si="30"/>
        <v>1750</v>
      </c>
      <c r="X121" s="192">
        <f t="shared" si="32"/>
        <v>1345.7302953641727</v>
      </c>
      <c r="Y121" s="18" t="str">
        <f t="shared" ca="1" si="26"/>
        <v>=PV($B$5/$B$14,V121,,-W121)</v>
      </c>
      <c r="Z121" s="195">
        <v>0</v>
      </c>
      <c r="AA121" s="31"/>
      <c r="AB121" s="18"/>
      <c r="AC121" s="184">
        <v>0</v>
      </c>
      <c r="AD121" s="34">
        <f t="shared" si="33"/>
        <v>0</v>
      </c>
      <c r="AE121" s="18" t="str">
        <f t="shared" ca="1" si="27"/>
        <v>=PV($B$5/$B$14,V121,,-AC121)</v>
      </c>
      <c r="AG121" s="175"/>
    </row>
    <row r="122" spans="1:33" ht="20.5" x14ac:dyDescent="0.45">
      <c r="A122" s="16" t="s">
        <v>22</v>
      </c>
      <c r="B122" s="100">
        <f t="shared" si="28"/>
        <v>103</v>
      </c>
      <c r="C122" s="184">
        <f t="shared" si="39"/>
        <v>1750</v>
      </c>
      <c r="D122" s="22" t="str">
        <f t="shared" ca="1" si="24"/>
        <v>=$B$11</v>
      </c>
      <c r="E122" s="187">
        <f t="shared" si="34"/>
        <v>0</v>
      </c>
      <c r="F122" s="188">
        <f t="shared" si="25"/>
        <v>1858.028556215193</v>
      </c>
      <c r="G122" s="19" t="str">
        <f t="shared" ca="1" si="35"/>
        <v>=MIN(PV($B$5/$B$14,B122,,-C122), 0)</v>
      </c>
      <c r="H122" s="19" t="str">
        <f t="shared" ca="1" si="36"/>
        <v>=MAX(FV($B$6/$B$14,$B$140-B122,,-C122), 0)</v>
      </c>
      <c r="U122" s="15" t="s">
        <v>21</v>
      </c>
      <c r="V122" s="100">
        <f t="shared" si="31"/>
        <v>102</v>
      </c>
      <c r="W122" s="191">
        <f t="shared" si="30"/>
        <v>1750</v>
      </c>
      <c r="X122" s="192">
        <f t="shared" si="32"/>
        <v>1342.2348919995904</v>
      </c>
      <c r="Y122" s="18" t="str">
        <f t="shared" ca="1" si="26"/>
        <v>=PV($B$5/$B$14,V122,,-W122)</v>
      </c>
      <c r="Z122" s="195">
        <v>0</v>
      </c>
      <c r="AA122" s="31"/>
      <c r="AB122" s="18"/>
      <c r="AC122" s="184">
        <v>0</v>
      </c>
      <c r="AD122" s="34">
        <f t="shared" si="33"/>
        <v>0</v>
      </c>
      <c r="AE122" s="18" t="str">
        <f t="shared" ca="1" si="27"/>
        <v>=PV($B$5/$B$14,V122,,-AC122)</v>
      </c>
      <c r="AG122" s="175"/>
    </row>
    <row r="123" spans="1:33" ht="20.5" x14ac:dyDescent="0.45">
      <c r="A123" s="15" t="s">
        <v>23</v>
      </c>
      <c r="B123" s="100">
        <f t="shared" si="28"/>
        <v>104</v>
      </c>
      <c r="C123" s="184">
        <f t="shared" si="39"/>
        <v>1750</v>
      </c>
      <c r="D123" s="22" t="str">
        <f t="shared" ca="1" si="24"/>
        <v>=$B$11</v>
      </c>
      <c r="E123" s="187">
        <f t="shared" si="34"/>
        <v>0</v>
      </c>
      <c r="F123" s="188">
        <f t="shared" si="25"/>
        <v>1851.855703868963</v>
      </c>
      <c r="G123" s="19" t="str">
        <f t="shared" ca="1" si="35"/>
        <v>=MIN(PV($B$5/$B$14,B123,,-C123), 0)</v>
      </c>
      <c r="H123" s="19" t="str">
        <f t="shared" ca="1" si="36"/>
        <v>=MAX(FV($B$6/$B$14,$B$140-B123,,-C123), 0)</v>
      </c>
      <c r="U123" s="16" t="s">
        <v>22</v>
      </c>
      <c r="V123" s="100">
        <f t="shared" si="31"/>
        <v>103</v>
      </c>
      <c r="W123" s="191">
        <f t="shared" si="30"/>
        <v>1750</v>
      </c>
      <c r="X123" s="192">
        <f t="shared" si="32"/>
        <v>1338.7485676047861</v>
      </c>
      <c r="Y123" s="18" t="str">
        <f t="shared" ca="1" si="26"/>
        <v>=PV($B$5/$B$14,V123,,-W123)</v>
      </c>
      <c r="Z123" s="195">
        <v>0</v>
      </c>
      <c r="AA123" s="31"/>
      <c r="AB123" s="18"/>
      <c r="AC123" s="184">
        <v>0</v>
      </c>
      <c r="AD123" s="34">
        <f t="shared" si="33"/>
        <v>0</v>
      </c>
      <c r="AE123" s="18" t="str">
        <f t="shared" ca="1" si="27"/>
        <v>=PV($B$5/$B$14,V123,,-AC123)</v>
      </c>
      <c r="AG123" s="175"/>
    </row>
    <row r="124" spans="1:33" ht="20.5" x14ac:dyDescent="0.45">
      <c r="A124" s="16" t="s">
        <v>24</v>
      </c>
      <c r="B124" s="100">
        <f t="shared" si="28"/>
        <v>105</v>
      </c>
      <c r="C124" s="184">
        <f t="shared" si="39"/>
        <v>1750</v>
      </c>
      <c r="D124" s="22" t="str">
        <f t="shared" ca="1" si="24"/>
        <v>=$B$11</v>
      </c>
      <c r="E124" s="187">
        <f t="shared" si="34"/>
        <v>0</v>
      </c>
      <c r="F124" s="188">
        <f t="shared" si="25"/>
        <v>1845.7033593378367</v>
      </c>
      <c r="G124" s="19" t="str">
        <f t="shared" ca="1" si="35"/>
        <v>=MIN(PV($B$5/$B$14,B124,,-C124), 0)</v>
      </c>
      <c r="H124" s="19" t="str">
        <f t="shared" ca="1" si="36"/>
        <v>=MAX(FV($B$6/$B$14,$B$140-B124,,-C124), 0)</v>
      </c>
      <c r="U124" s="15" t="s">
        <v>23</v>
      </c>
      <c r="V124" s="100">
        <f t="shared" si="31"/>
        <v>104</v>
      </c>
      <c r="W124" s="191">
        <f t="shared" si="30"/>
        <v>1750</v>
      </c>
      <c r="X124" s="192">
        <f t="shared" si="32"/>
        <v>1335.2712985980208</v>
      </c>
      <c r="Y124" s="18" t="str">
        <f t="shared" ca="1" si="26"/>
        <v>=PV($B$5/$B$14,V124,,-W124)</v>
      </c>
      <c r="Z124" s="195">
        <v>0</v>
      </c>
      <c r="AA124" s="31"/>
      <c r="AB124" s="18"/>
      <c r="AC124" s="184">
        <v>0</v>
      </c>
      <c r="AD124" s="34">
        <f t="shared" si="33"/>
        <v>0</v>
      </c>
      <c r="AE124" s="18" t="str">
        <f t="shared" ca="1" si="27"/>
        <v>=PV($B$5/$B$14,V124,,-AC124)</v>
      </c>
      <c r="AG124" s="175"/>
    </row>
    <row r="125" spans="1:33" ht="20.5" x14ac:dyDescent="0.45">
      <c r="A125" s="15" t="s">
        <v>25</v>
      </c>
      <c r="B125" s="100">
        <f t="shared" si="28"/>
        <v>106</v>
      </c>
      <c r="C125" s="184">
        <f t="shared" si="39"/>
        <v>1750</v>
      </c>
      <c r="D125" s="22" t="str">
        <f t="shared" ca="1" si="24"/>
        <v>=$B$11</v>
      </c>
      <c r="E125" s="187">
        <f t="shared" si="34"/>
        <v>0</v>
      </c>
      <c r="F125" s="188">
        <f t="shared" si="25"/>
        <v>1839.5714544895382</v>
      </c>
      <c r="G125" s="19" t="str">
        <f t="shared" ca="1" si="35"/>
        <v>=MIN(PV($B$5/$B$14,B125,,-C125), 0)</v>
      </c>
      <c r="H125" s="19" t="str">
        <f t="shared" ca="1" si="36"/>
        <v>=MAX(FV($B$6/$B$14,$B$140-B125,,-C125), 0)</v>
      </c>
      <c r="U125" s="16" t="s">
        <v>24</v>
      </c>
      <c r="V125" s="100">
        <f t="shared" si="31"/>
        <v>105</v>
      </c>
      <c r="W125" s="191">
        <f t="shared" si="30"/>
        <v>1750</v>
      </c>
      <c r="X125" s="192">
        <f t="shared" si="32"/>
        <v>1331.8030614588049</v>
      </c>
      <c r="Y125" s="18" t="str">
        <f t="shared" ca="1" si="26"/>
        <v>=PV($B$5/$B$14,V125,,-W125)</v>
      </c>
      <c r="Z125" s="195">
        <v>0</v>
      </c>
      <c r="AA125" s="31"/>
      <c r="AB125" s="18"/>
      <c r="AC125" s="184">
        <v>0</v>
      </c>
      <c r="AD125" s="34">
        <f t="shared" si="33"/>
        <v>0</v>
      </c>
      <c r="AE125" s="18" t="str">
        <f t="shared" ca="1" si="27"/>
        <v>=PV($B$5/$B$14,V125,,-AC125)</v>
      </c>
      <c r="AG125" s="175"/>
    </row>
    <row r="126" spans="1:33" ht="20.5" x14ac:dyDescent="0.45">
      <c r="A126" s="16" t="s">
        <v>26</v>
      </c>
      <c r="B126" s="100">
        <f t="shared" si="28"/>
        <v>107</v>
      </c>
      <c r="C126" s="184">
        <f t="shared" si="39"/>
        <v>1750</v>
      </c>
      <c r="D126" s="22" t="str">
        <f t="shared" ca="1" si="24"/>
        <v>=$B$11</v>
      </c>
      <c r="E126" s="187">
        <f t="shared" si="34"/>
        <v>0</v>
      </c>
      <c r="F126" s="188">
        <f t="shared" si="25"/>
        <v>1833.4599214181439</v>
      </c>
      <c r="G126" s="19" t="str">
        <f t="shared" ca="1" si="35"/>
        <v>=MIN(PV($B$5/$B$14,B126,,-C126), 0)</v>
      </c>
      <c r="H126" s="19" t="str">
        <f t="shared" ca="1" si="36"/>
        <v>=MAX(FV($B$6/$B$14,$B$140-B126,,-C126), 0)</v>
      </c>
      <c r="U126" s="15" t="s">
        <v>25</v>
      </c>
      <c r="V126" s="100">
        <f t="shared" si="31"/>
        <v>106</v>
      </c>
      <c r="W126" s="191">
        <f t="shared" si="30"/>
        <v>1750</v>
      </c>
      <c r="X126" s="192">
        <f t="shared" si="32"/>
        <v>1328.3438327277433</v>
      </c>
      <c r="Y126" s="18" t="str">
        <f t="shared" ca="1" si="26"/>
        <v>=PV($B$5/$B$14,V126,,-W126)</v>
      </c>
      <c r="Z126" s="195">
        <v>0</v>
      </c>
      <c r="AA126" s="31"/>
      <c r="AB126" s="18"/>
      <c r="AC126" s="184">
        <v>0</v>
      </c>
      <c r="AD126" s="34">
        <f t="shared" si="33"/>
        <v>0</v>
      </c>
      <c r="AE126" s="18" t="str">
        <f t="shared" ca="1" si="27"/>
        <v>=PV($B$5/$B$14,V126,,-AC126)</v>
      </c>
      <c r="AG126" s="175"/>
    </row>
    <row r="127" spans="1:33" ht="20.5" x14ac:dyDescent="0.45">
      <c r="A127" s="15" t="s">
        <v>15</v>
      </c>
      <c r="B127" s="100">
        <f t="shared" si="28"/>
        <v>108</v>
      </c>
      <c r="C127" s="184">
        <f t="shared" si="39"/>
        <v>1750</v>
      </c>
      <c r="D127" s="22" t="str">
        <f t="shared" ca="1" si="24"/>
        <v>=$B$11</v>
      </c>
      <c r="E127" s="187">
        <f t="shared" si="34"/>
        <v>0</v>
      </c>
      <c r="F127" s="188">
        <f t="shared" si="25"/>
        <v>1827.3686924433325</v>
      </c>
      <c r="G127" s="19" t="str">
        <f t="shared" ca="1" si="35"/>
        <v>=MIN(PV($B$5/$B$14,B127,,-C127), 0)</v>
      </c>
      <c r="H127" s="19" t="str">
        <f t="shared" ca="1" si="36"/>
        <v>=MAX(FV($B$6/$B$14,$B$140-B127,,-C127), 0)</v>
      </c>
      <c r="U127" s="16" t="s">
        <v>26</v>
      </c>
      <c r="V127" s="100">
        <f t="shared" si="31"/>
        <v>107</v>
      </c>
      <c r="W127" s="191">
        <f t="shared" si="30"/>
        <v>1750</v>
      </c>
      <c r="X127" s="192">
        <f t="shared" si="32"/>
        <v>1324.8935890063724</v>
      </c>
      <c r="Y127" s="18" t="str">
        <f t="shared" ca="1" si="26"/>
        <v>=PV($B$5/$B$14,V127,,-W127)</v>
      </c>
      <c r="Z127" s="195">
        <v>0</v>
      </c>
      <c r="AA127" s="31"/>
      <c r="AB127" s="18"/>
      <c r="AC127" s="184">
        <v>0</v>
      </c>
      <c r="AD127" s="34">
        <f t="shared" si="33"/>
        <v>0</v>
      </c>
      <c r="AE127" s="18" t="str">
        <f t="shared" ca="1" si="27"/>
        <v>=PV($B$5/$B$14,V127,,-AC127)</v>
      </c>
      <c r="AG127" s="175"/>
    </row>
    <row r="128" spans="1:33" ht="20.5" x14ac:dyDescent="0.45">
      <c r="A128" s="16" t="s">
        <v>16</v>
      </c>
      <c r="B128" s="100">
        <f t="shared" si="28"/>
        <v>109</v>
      </c>
      <c r="C128" s="184">
        <f>$B$11+$B$12</f>
        <v>-750</v>
      </c>
      <c r="D128" s="22" t="str">
        <f t="shared" ca="1" si="24"/>
        <v>=$B$11+$B$12</v>
      </c>
      <c r="E128" s="187">
        <f t="shared" si="34"/>
        <v>-564.86569855824473</v>
      </c>
      <c r="F128" s="188">
        <f t="shared" si="25"/>
        <v>0</v>
      </c>
      <c r="G128" s="19" t="str">
        <f t="shared" ca="1" si="35"/>
        <v>=MIN(PV($B$5/$B$14,B128,,-C128), 0)</v>
      </c>
      <c r="H128" s="19" t="str">
        <f t="shared" ca="1" si="36"/>
        <v>=MAX(FV($B$6/$B$14,$B$140-B128,,-C128), 0)</v>
      </c>
      <c r="U128" s="15" t="s">
        <v>15</v>
      </c>
      <c r="V128" s="100">
        <f t="shared" si="31"/>
        <v>108</v>
      </c>
      <c r="W128" s="191">
        <f t="shared" si="30"/>
        <v>1750</v>
      </c>
      <c r="X128" s="192">
        <f t="shared" si="32"/>
        <v>1321.4523069570048</v>
      </c>
      <c r="Y128" s="18" t="str">
        <f t="shared" ca="1" si="26"/>
        <v>=PV($B$5/$B$14,V128,,-W128)</v>
      </c>
      <c r="Z128" s="195">
        <v>0</v>
      </c>
      <c r="AA128" s="31"/>
      <c r="AB128" s="18"/>
      <c r="AC128" s="184">
        <v>0</v>
      </c>
      <c r="AD128" s="34">
        <f t="shared" si="33"/>
        <v>0</v>
      </c>
      <c r="AE128" s="18" t="str">
        <f t="shared" ca="1" si="27"/>
        <v>=PV($B$5/$B$14,V128,,-AC128)</v>
      </c>
      <c r="AG128" s="175"/>
    </row>
    <row r="129" spans="1:33" ht="20.5" x14ac:dyDescent="0.45">
      <c r="A129" s="15" t="s">
        <v>17</v>
      </c>
      <c r="B129" s="100">
        <f t="shared" si="28"/>
        <v>110</v>
      </c>
      <c r="C129" s="184">
        <f>$B$11</f>
        <v>1750</v>
      </c>
      <c r="D129" s="22" t="str">
        <f t="shared" ca="1" si="24"/>
        <v>=$B$11</v>
      </c>
      <c r="E129" s="187">
        <f t="shared" si="34"/>
        <v>0</v>
      </c>
      <c r="F129" s="188">
        <f t="shared" si="25"/>
        <v>1815.2468771856816</v>
      </c>
      <c r="G129" s="19" t="str">
        <f t="shared" ca="1" si="35"/>
        <v>=MIN(PV($B$5/$B$14,B129,,-C129), 0)</v>
      </c>
      <c r="H129" s="19" t="str">
        <f t="shared" ca="1" si="36"/>
        <v>=MAX(FV($B$6/$B$14,$B$140-B129,,-C129), 0)</v>
      </c>
      <c r="U129" s="16" t="s">
        <v>16</v>
      </c>
      <c r="V129" s="100">
        <f t="shared" si="31"/>
        <v>109</v>
      </c>
      <c r="W129" s="191">
        <f t="shared" si="30"/>
        <v>1750</v>
      </c>
      <c r="X129" s="192">
        <f t="shared" si="32"/>
        <v>1318.0199633025711</v>
      </c>
      <c r="Y129" s="18" t="str">
        <f t="shared" ca="1" si="26"/>
        <v>=PV($B$5/$B$14,V129,,-W129)</v>
      </c>
      <c r="Z129" s="195">
        <v>0</v>
      </c>
      <c r="AA129" s="31"/>
      <c r="AB129" s="18"/>
      <c r="AC129" s="184">
        <f>AC117</f>
        <v>-2500</v>
      </c>
      <c r="AD129" s="34">
        <f t="shared" si="33"/>
        <v>-1882.8856618608158</v>
      </c>
      <c r="AE129" s="18" t="str">
        <f t="shared" ca="1" si="27"/>
        <v>=PV($B$5/$B$14,V129,,-AC129)</v>
      </c>
      <c r="AG129" s="175"/>
    </row>
    <row r="130" spans="1:33" ht="20.5" x14ac:dyDescent="0.45">
      <c r="A130" s="16" t="s">
        <v>18</v>
      </c>
      <c r="B130" s="100">
        <f t="shared" si="28"/>
        <v>111</v>
      </c>
      <c r="C130" s="184">
        <f t="shared" ref="C130:C139" si="40">$B$11</f>
        <v>1750</v>
      </c>
      <c r="D130" s="22" t="str">
        <f t="shared" ca="1" si="24"/>
        <v>=$B$11</v>
      </c>
      <c r="E130" s="187">
        <f t="shared" si="34"/>
        <v>0</v>
      </c>
      <c r="F130" s="188">
        <f t="shared" si="25"/>
        <v>1809.2161566634697</v>
      </c>
      <c r="G130" s="19" t="str">
        <f t="shared" ca="1" si="35"/>
        <v>=MIN(PV($B$5/$B$14,B130,,-C130), 0)</v>
      </c>
      <c r="H130" s="19" t="str">
        <f t="shared" ca="1" si="36"/>
        <v>=MAX(FV($B$6/$B$14,$B$140-B130,,-C130), 0)</v>
      </c>
      <c r="U130" s="15" t="s">
        <v>17</v>
      </c>
      <c r="V130" s="100">
        <f t="shared" si="31"/>
        <v>110</v>
      </c>
      <c r="W130" s="191">
        <f t="shared" si="30"/>
        <v>1750</v>
      </c>
      <c r="X130" s="192">
        <f t="shared" si="32"/>
        <v>1314.5965348264604</v>
      </c>
      <c r="Y130" s="18" t="str">
        <f t="shared" ca="1" si="26"/>
        <v>=PV($B$5/$B$14,V130,,-W130)</v>
      </c>
      <c r="Z130" s="195">
        <v>0</v>
      </c>
      <c r="AA130" s="31"/>
      <c r="AB130" s="18"/>
      <c r="AC130" s="184">
        <v>0</v>
      </c>
      <c r="AD130" s="34">
        <f t="shared" si="33"/>
        <v>0</v>
      </c>
      <c r="AE130" s="18" t="str">
        <f t="shared" ca="1" si="27"/>
        <v>=PV($B$5/$B$14,V130,,-AC130)</v>
      </c>
      <c r="AG130" s="175"/>
    </row>
    <row r="131" spans="1:33" ht="20.5" x14ac:dyDescent="0.45">
      <c r="A131" s="15" t="s">
        <v>19</v>
      </c>
      <c r="B131" s="100">
        <f t="shared" si="28"/>
        <v>112</v>
      </c>
      <c r="C131" s="184">
        <f t="shared" si="40"/>
        <v>1750</v>
      </c>
      <c r="D131" s="22" t="str">
        <f t="shared" ca="1" si="24"/>
        <v>=$B$11</v>
      </c>
      <c r="E131" s="187">
        <f>MIN(PV($B$5/$B$14,B131,,-C131), 0)</f>
        <v>0</v>
      </c>
      <c r="F131" s="188">
        <f t="shared" si="25"/>
        <v>1803.2054717576107</v>
      </c>
      <c r="G131" s="19" t="str">
        <f t="shared" ca="1" si="35"/>
        <v>=MIN(PV($B$5/$B$14,B131,,-C131), 0)</v>
      </c>
      <c r="H131" s="19" t="str">
        <f t="shared" ca="1" si="36"/>
        <v>=MAX(FV($B$6/$B$14,$B$140-B131,,-C131), 0)</v>
      </c>
      <c r="U131" s="16" t="s">
        <v>18</v>
      </c>
      <c r="V131" s="100">
        <f t="shared" si="31"/>
        <v>111</v>
      </c>
      <c r="W131" s="191">
        <f t="shared" si="30"/>
        <v>1750</v>
      </c>
      <c r="X131" s="192">
        <f t="shared" si="32"/>
        <v>1311.1819983723658</v>
      </c>
      <c r="Y131" s="18" t="str">
        <f t="shared" ca="1" si="26"/>
        <v>=PV($B$5/$B$14,V131,,-W131)</v>
      </c>
      <c r="Z131" s="195">
        <v>0</v>
      </c>
      <c r="AA131" s="31"/>
      <c r="AB131" s="18"/>
      <c r="AC131" s="184">
        <v>0</v>
      </c>
      <c r="AD131" s="34">
        <f t="shared" si="33"/>
        <v>0</v>
      </c>
      <c r="AE131" s="18" t="str">
        <f t="shared" ca="1" si="27"/>
        <v>=PV($B$5/$B$14,V131,,-AC131)</v>
      </c>
      <c r="AG131" s="175"/>
    </row>
    <row r="132" spans="1:33" ht="20.5" x14ac:dyDescent="0.45">
      <c r="A132" s="16" t="s">
        <v>20</v>
      </c>
      <c r="B132" s="100">
        <f t="shared" si="28"/>
        <v>113</v>
      </c>
      <c r="C132" s="184">
        <f t="shared" si="40"/>
        <v>1750</v>
      </c>
      <c r="D132" s="22" t="str">
        <f t="shared" ca="1" si="24"/>
        <v>=$B$11</v>
      </c>
      <c r="E132" s="187">
        <f t="shared" si="34"/>
        <v>0</v>
      </c>
      <c r="F132" s="188">
        <f t="shared" si="25"/>
        <v>1797.2147559045952</v>
      </c>
      <c r="G132" s="19" t="str">
        <f t="shared" ca="1" si="35"/>
        <v>=MIN(PV($B$5/$B$14,B132,,-C132), 0)</v>
      </c>
      <c r="H132" s="19" t="str">
        <f t="shared" ca="1" si="36"/>
        <v>=MAX(FV($B$6/$B$14,$B$140-B132,,-C132), 0)</v>
      </c>
      <c r="U132" s="15" t="s">
        <v>19</v>
      </c>
      <c r="V132" s="100">
        <f t="shared" si="31"/>
        <v>112</v>
      </c>
      <c r="W132" s="191">
        <f t="shared" si="30"/>
        <v>1750</v>
      </c>
      <c r="X132" s="192">
        <f t="shared" si="32"/>
        <v>1307.7763308441258</v>
      </c>
      <c r="Y132" s="18" t="str">
        <f t="shared" ca="1" si="26"/>
        <v>=PV($B$5/$B$14,V132,,-W132)</v>
      </c>
      <c r="Z132" s="195">
        <v>0</v>
      </c>
      <c r="AA132" s="31"/>
      <c r="AB132" s="18"/>
      <c r="AC132" s="184">
        <v>0</v>
      </c>
      <c r="AD132" s="34">
        <f t="shared" si="33"/>
        <v>0</v>
      </c>
      <c r="AE132" s="18" t="str">
        <f t="shared" ca="1" si="27"/>
        <v>=PV($B$5/$B$14,V132,,-AC132)</v>
      </c>
      <c r="AG132" s="175"/>
    </row>
    <row r="133" spans="1:33" ht="20.5" x14ac:dyDescent="0.45">
      <c r="A133" s="15" t="s">
        <v>21</v>
      </c>
      <c r="B133" s="100">
        <f t="shared" si="28"/>
        <v>114</v>
      </c>
      <c r="C133" s="184">
        <f t="shared" si="40"/>
        <v>1750</v>
      </c>
      <c r="D133" s="22" t="str">
        <f t="shared" ca="1" si="24"/>
        <v>=$B$11</v>
      </c>
      <c r="E133" s="187">
        <f t="shared" si="34"/>
        <v>0</v>
      </c>
      <c r="F133" s="188">
        <f t="shared" si="25"/>
        <v>1791.2439427620552</v>
      </c>
      <c r="G133" s="19" t="str">
        <f t="shared" ca="1" si="35"/>
        <v>=MIN(PV($B$5/$B$14,B133,,-C133), 0)</v>
      </c>
      <c r="H133" s="19" t="str">
        <f t="shared" ca="1" si="36"/>
        <v>=MAX(FV($B$6/$B$14,$B$140-B133,,-C133), 0)</v>
      </c>
      <c r="U133" s="16" t="s">
        <v>20</v>
      </c>
      <c r="V133" s="100">
        <f t="shared" si="31"/>
        <v>113</v>
      </c>
      <c r="W133" s="191">
        <f t="shared" si="30"/>
        <v>1750</v>
      </c>
      <c r="X133" s="192">
        <f t="shared" si="32"/>
        <v>1304.3795092055695</v>
      </c>
      <c r="Y133" s="18" t="str">
        <f t="shared" ca="1" si="26"/>
        <v>=PV($B$5/$B$14,V133,,-W133)</v>
      </c>
      <c r="Z133" s="195">
        <v>0</v>
      </c>
      <c r="AA133" s="31"/>
      <c r="AB133" s="18"/>
      <c r="AC133" s="184">
        <v>0</v>
      </c>
      <c r="AD133" s="34">
        <f t="shared" si="33"/>
        <v>0</v>
      </c>
      <c r="AE133" s="18" t="str">
        <f t="shared" ca="1" si="27"/>
        <v>=PV($B$5/$B$14,V133,,-AC133)</v>
      </c>
      <c r="AG133" s="175"/>
    </row>
    <row r="134" spans="1:33" ht="20.5" x14ac:dyDescent="0.45">
      <c r="A134" s="16" t="s">
        <v>22</v>
      </c>
      <c r="B134" s="100">
        <f t="shared" si="28"/>
        <v>115</v>
      </c>
      <c r="C134" s="184">
        <f t="shared" si="40"/>
        <v>1750</v>
      </c>
      <c r="D134" s="22" t="str">
        <f t="shared" ca="1" si="24"/>
        <v>=$B$11</v>
      </c>
      <c r="E134" s="187">
        <f t="shared" si="34"/>
        <v>0</v>
      </c>
      <c r="F134" s="188">
        <f t="shared" si="25"/>
        <v>1785.292966208028</v>
      </c>
      <c r="G134" s="19" t="str">
        <f t="shared" ca="1" si="35"/>
        <v>=MIN(PV($B$5/$B$14,B134,,-C134), 0)</v>
      </c>
      <c r="H134" s="19" t="str">
        <f t="shared" ca="1" si="36"/>
        <v>=MAX(FV($B$6/$B$14,$B$140-B134,,-C134), 0)</v>
      </c>
      <c r="U134" s="15" t="s">
        <v>21</v>
      </c>
      <c r="V134" s="100">
        <f t="shared" si="31"/>
        <v>114</v>
      </c>
      <c r="W134" s="191">
        <f t="shared" si="30"/>
        <v>1750</v>
      </c>
      <c r="X134" s="192">
        <f t="shared" si="32"/>
        <v>1300.9915104803604</v>
      </c>
      <c r="Y134" s="18" t="str">
        <f t="shared" ca="1" si="26"/>
        <v>=PV($B$5/$B$14,V134,,-W134)</v>
      </c>
      <c r="Z134" s="195">
        <v>0</v>
      </c>
      <c r="AA134" s="31"/>
      <c r="AB134" s="18"/>
      <c r="AC134" s="184">
        <v>0</v>
      </c>
      <c r="AD134" s="34">
        <f t="shared" si="33"/>
        <v>0</v>
      </c>
      <c r="AE134" s="18" t="str">
        <f t="shared" ca="1" si="27"/>
        <v>=PV($B$5/$B$14,V134,,-AC134)</v>
      </c>
      <c r="AG134" s="175"/>
    </row>
    <row r="135" spans="1:33" ht="20.5" x14ac:dyDescent="0.45">
      <c r="A135" s="15" t="s">
        <v>23</v>
      </c>
      <c r="B135" s="100">
        <f t="shared" si="28"/>
        <v>116</v>
      </c>
      <c r="C135" s="184">
        <f t="shared" si="40"/>
        <v>1750</v>
      </c>
      <c r="D135" s="22" t="str">
        <f t="shared" ca="1" si="24"/>
        <v>=$B$11</v>
      </c>
      <c r="E135" s="187">
        <f t="shared" si="34"/>
        <v>0</v>
      </c>
      <c r="F135" s="188">
        <f t="shared" si="25"/>
        <v>1779.3617603402272</v>
      </c>
      <c r="G135" s="19" t="str">
        <f t="shared" ca="1" si="35"/>
        <v>=MIN(PV($B$5/$B$14,B135,,-C135), 0)</v>
      </c>
      <c r="H135" s="19" t="str">
        <f t="shared" ca="1" si="36"/>
        <v>=MAX(FV($B$6/$B$14,$B$140-B135,,-C135), 0)</v>
      </c>
      <c r="U135" s="16" t="s">
        <v>22</v>
      </c>
      <c r="V135" s="100">
        <f t="shared" si="31"/>
        <v>115</v>
      </c>
      <c r="W135" s="191">
        <f t="shared" si="30"/>
        <v>1750</v>
      </c>
      <c r="X135" s="192">
        <f t="shared" si="32"/>
        <v>1297.61231175184</v>
      </c>
      <c r="Y135" s="18" t="str">
        <f t="shared" ca="1" si="26"/>
        <v>=PV($B$5/$B$14,V135,,-W135)</v>
      </c>
      <c r="Z135" s="195">
        <v>0</v>
      </c>
      <c r="AA135" s="31"/>
      <c r="AB135" s="18"/>
      <c r="AC135" s="184">
        <v>0</v>
      </c>
      <c r="AD135" s="34">
        <f t="shared" si="33"/>
        <v>0</v>
      </c>
      <c r="AE135" s="18" t="str">
        <f t="shared" ca="1" si="27"/>
        <v>=PV($B$5/$B$14,V135,,-AC135)</v>
      </c>
      <c r="AG135" s="175"/>
    </row>
    <row r="136" spans="1:33" ht="20.5" x14ac:dyDescent="0.45">
      <c r="A136" s="16" t="s">
        <v>24</v>
      </c>
      <c r="B136" s="100">
        <f t="shared" si="28"/>
        <v>117</v>
      </c>
      <c r="C136" s="184">
        <f t="shared" si="40"/>
        <v>1750</v>
      </c>
      <c r="D136" s="22" t="str">
        <f t="shared" ca="1" si="24"/>
        <v>=$B$11</v>
      </c>
      <c r="E136" s="187">
        <f t="shared" si="34"/>
        <v>0</v>
      </c>
      <c r="F136" s="188">
        <f t="shared" si="25"/>
        <v>1773.4502594753092</v>
      </c>
      <c r="G136" s="19" t="str">
        <f t="shared" ca="1" si="35"/>
        <v>=MIN(PV($B$5/$B$14,B136,,-C136), 0)</v>
      </c>
      <c r="H136" s="19" t="str">
        <f t="shared" ca="1" si="36"/>
        <v>=MAX(FV($B$6/$B$14,$B$140-B136,,-C136), 0)</v>
      </c>
      <c r="U136" s="15" t="s">
        <v>23</v>
      </c>
      <c r="V136" s="100">
        <f t="shared" si="31"/>
        <v>116</v>
      </c>
      <c r="W136" s="191">
        <f t="shared" si="30"/>
        <v>1750</v>
      </c>
      <c r="X136" s="192">
        <f t="shared" si="32"/>
        <v>1294.2418901628739</v>
      </c>
      <c r="Y136" s="18" t="str">
        <f t="shared" ca="1" si="26"/>
        <v>=PV($B$5/$B$14,V136,,-W136)</v>
      </c>
      <c r="Z136" s="195">
        <v>0</v>
      </c>
      <c r="AA136" s="31"/>
      <c r="AB136" s="18"/>
      <c r="AC136" s="184">
        <v>0</v>
      </c>
      <c r="AD136" s="34">
        <f t="shared" si="33"/>
        <v>0</v>
      </c>
      <c r="AE136" s="18" t="str">
        <f t="shared" ca="1" si="27"/>
        <v>=PV($B$5/$B$14,V136,,-AC136)</v>
      </c>
      <c r="AG136" s="175"/>
    </row>
    <row r="137" spans="1:33" ht="20.5" x14ac:dyDescent="0.45">
      <c r="A137" s="15" t="s">
        <v>25</v>
      </c>
      <c r="B137" s="100">
        <f t="shared" si="28"/>
        <v>118</v>
      </c>
      <c r="C137" s="184">
        <f t="shared" si="40"/>
        <v>1750</v>
      </c>
      <c r="D137" s="22" t="str">
        <f t="shared" ca="1" si="24"/>
        <v>=$B$11</v>
      </c>
      <c r="E137" s="187">
        <f t="shared" si="34"/>
        <v>0</v>
      </c>
      <c r="F137" s="188">
        <f t="shared" si="25"/>
        <v>1767.5583981481489</v>
      </c>
      <c r="G137" s="19" t="str">
        <f t="shared" ca="1" si="35"/>
        <v>=MIN(PV($B$5/$B$14,B137,,-C137), 0)</v>
      </c>
      <c r="H137" s="19" t="str">
        <f t="shared" ca="1" si="36"/>
        <v>=MAX(FV($B$6/$B$14,$B$140-B137,,-C137), 0)</v>
      </c>
      <c r="U137" s="16" t="s">
        <v>24</v>
      </c>
      <c r="V137" s="100">
        <f t="shared" si="31"/>
        <v>117</v>
      </c>
      <c r="W137" s="191">
        <f t="shared" si="30"/>
        <v>1750</v>
      </c>
      <c r="X137" s="192">
        <f t="shared" si="32"/>
        <v>1290.8802229156977</v>
      </c>
      <c r="Y137" s="18" t="str">
        <f t="shared" ca="1" si="26"/>
        <v>=PV($B$5/$B$14,V137,,-W137)</v>
      </c>
      <c r="Z137" s="195">
        <v>0</v>
      </c>
      <c r="AA137" s="31"/>
      <c r="AB137" s="18"/>
      <c r="AC137" s="184">
        <v>0</v>
      </c>
      <c r="AD137" s="34">
        <f t="shared" si="33"/>
        <v>0</v>
      </c>
      <c r="AE137" s="18" t="str">
        <f t="shared" ca="1" si="27"/>
        <v>=PV($B$5/$B$14,V137,,-AC137)</v>
      </c>
      <c r="AG137" s="175"/>
    </row>
    <row r="138" spans="1:33" ht="20.5" x14ac:dyDescent="0.45">
      <c r="A138" s="16" t="s">
        <v>26</v>
      </c>
      <c r="B138" s="100">
        <f t="shared" si="28"/>
        <v>119</v>
      </c>
      <c r="C138" s="184">
        <f t="shared" si="40"/>
        <v>1750</v>
      </c>
      <c r="D138" s="22" t="str">
        <f t="shared" ca="1" si="24"/>
        <v>=$B$11</v>
      </c>
      <c r="E138" s="187">
        <f t="shared" si="34"/>
        <v>0</v>
      </c>
      <c r="F138" s="188">
        <f t="shared" si="25"/>
        <v>1761.6861111111116</v>
      </c>
      <c r="G138" s="19" t="str">
        <f t="shared" ca="1" si="35"/>
        <v>=MIN(PV($B$5/$B$14,B138,,-C138), 0)</v>
      </c>
      <c r="H138" s="19" t="str">
        <f t="shared" ca="1" si="36"/>
        <v>=MAX(FV($B$6/$B$14,$B$140-B138,,-C138), 0)</v>
      </c>
      <c r="U138" s="15" t="s">
        <v>25</v>
      </c>
      <c r="V138" s="100">
        <f t="shared" si="31"/>
        <v>118</v>
      </c>
      <c r="W138" s="191">
        <f t="shared" si="30"/>
        <v>1750</v>
      </c>
      <c r="X138" s="192">
        <f t="shared" si="32"/>
        <v>1287.5272872717605</v>
      </c>
      <c r="Y138" s="18" t="str">
        <f t="shared" ca="1" si="26"/>
        <v>=PV($B$5/$B$14,V138,,-W138)</v>
      </c>
      <c r="Z138" s="195">
        <v>0</v>
      </c>
      <c r="AA138" s="31"/>
      <c r="AB138" s="18"/>
      <c r="AC138" s="184">
        <v>0</v>
      </c>
      <c r="AD138" s="34">
        <f t="shared" si="33"/>
        <v>0</v>
      </c>
      <c r="AE138" s="18" t="str">
        <f t="shared" ca="1" si="27"/>
        <v>=PV($B$5/$B$14,V138,,-AC138)</v>
      </c>
      <c r="AG138" s="175"/>
    </row>
    <row r="139" spans="1:33" ht="20.5" x14ac:dyDescent="0.45">
      <c r="A139" s="15" t="s">
        <v>15</v>
      </c>
      <c r="B139" s="100">
        <f t="shared" si="28"/>
        <v>120</v>
      </c>
      <c r="C139" s="184">
        <f t="shared" si="40"/>
        <v>1750</v>
      </c>
      <c r="D139" s="22" t="str">
        <f t="shared" ca="1" si="24"/>
        <v>=$B$11</v>
      </c>
      <c r="E139" s="187">
        <f t="shared" si="34"/>
        <v>0</v>
      </c>
      <c r="F139" s="188">
        <f t="shared" si="25"/>
        <v>1755.8333333333335</v>
      </c>
      <c r="G139" s="19" t="str">
        <f t="shared" ca="1" si="35"/>
        <v>=MIN(PV($B$5/$B$14,B139,,-C139), 0)</v>
      </c>
      <c r="H139" s="19" t="str">
        <f t="shared" ca="1" si="36"/>
        <v>=MAX(FV($B$6/$B$14,$B$140-B139,,-C139), 0)</v>
      </c>
      <c r="U139" s="16" t="s">
        <v>26</v>
      </c>
      <c r="V139" s="100">
        <f t="shared" si="31"/>
        <v>119</v>
      </c>
      <c r="W139" s="191">
        <f t="shared" si="30"/>
        <v>1750</v>
      </c>
      <c r="X139" s="192">
        <f t="shared" si="32"/>
        <v>1284.1830605515743</v>
      </c>
      <c r="Y139" s="18" t="str">
        <f t="shared" ca="1" si="26"/>
        <v>=PV($B$5/$B$14,V139,,-W139)</v>
      </c>
      <c r="Z139" s="195">
        <v>0</v>
      </c>
      <c r="AA139" s="31"/>
      <c r="AB139" s="18"/>
      <c r="AC139" s="184">
        <v>0</v>
      </c>
      <c r="AD139" s="34">
        <f t="shared" si="33"/>
        <v>0</v>
      </c>
      <c r="AE139" s="18" t="str">
        <f t="shared" ca="1" si="27"/>
        <v>=PV($B$5/$B$14,V139,,-AC139)</v>
      </c>
      <c r="AG139" s="175"/>
    </row>
    <row r="140" spans="1:33" ht="20.5" x14ac:dyDescent="0.45">
      <c r="A140" s="139" t="s">
        <v>16</v>
      </c>
      <c r="B140" s="101">
        <f t="shared" si="28"/>
        <v>121</v>
      </c>
      <c r="C140" s="184">
        <f>B10</f>
        <v>265000</v>
      </c>
      <c r="D140" s="21" t="str">
        <f ca="1">_xlfn.FORMULATEXT(C140)</f>
        <v>=B10</v>
      </c>
      <c r="E140" s="187">
        <f t="shared" si="34"/>
        <v>0</v>
      </c>
      <c r="F140" s="188">
        <f t="shared" si="25"/>
        <v>265000</v>
      </c>
      <c r="G140" s="19" t="str">
        <f t="shared" ca="1" si="35"/>
        <v>=MIN(PV($B$5/$B$14,B140,,-C140), 0)</v>
      </c>
      <c r="H140" s="19" t="str">
        <f t="shared" ca="1" si="36"/>
        <v>=MAX(FV($B$6/$B$14,$B$140-B140,,-C140), 0)</v>
      </c>
      <c r="U140" s="15" t="s">
        <v>15</v>
      </c>
      <c r="V140" s="100">
        <f t="shared" si="31"/>
        <v>120</v>
      </c>
      <c r="W140" s="191">
        <f t="shared" si="30"/>
        <v>1750</v>
      </c>
      <c r="X140" s="192">
        <f t="shared" si="32"/>
        <v>1280.847520134557</v>
      </c>
      <c r="Y140" s="18" t="str">
        <f t="shared" ca="1" si="26"/>
        <v>=PV($B$5/$B$14,V140,,-W140)</v>
      </c>
      <c r="Z140" s="195">
        <v>0</v>
      </c>
      <c r="AA140" s="31"/>
      <c r="AB140" s="18"/>
      <c r="AC140" s="184">
        <v>0</v>
      </c>
      <c r="AD140" s="34">
        <f t="shared" si="33"/>
        <v>0</v>
      </c>
      <c r="AE140" s="18" t="str">
        <f t="shared" ca="1" si="27"/>
        <v>=PV($B$5/$B$14,V140,,-AC140)</v>
      </c>
      <c r="AG140" s="175"/>
    </row>
    <row r="141" spans="1:33" ht="21" thickBot="1" x14ac:dyDescent="0.5">
      <c r="A141" s="138" t="s">
        <v>27</v>
      </c>
      <c r="B141" s="138"/>
      <c r="C141" s="185">
        <f>IRR(C19:C140)</f>
        <v>6.4324875684880212E-3</v>
      </c>
      <c r="D141" s="140" t="str">
        <f ca="1">_xlfn.FORMULATEXT(C141)</f>
        <v>=IRR(C19:C140)</v>
      </c>
      <c r="E141" s="189">
        <f>SUM(E19:E140)</f>
        <v>-256526.52467868692</v>
      </c>
      <c r="F141" s="189">
        <f>SUM(F19:F140)</f>
        <v>501604.07862473326</v>
      </c>
      <c r="G141" s="20" t="str">
        <f ca="1">_xlfn.FORMULATEXT(E141)</f>
        <v>=SUM(E19:E140)</v>
      </c>
      <c r="H141" s="20" t="str">
        <f ca="1">_xlfn.FORMULATEXT(F141)</f>
        <v>=SUM(F19:F140)</v>
      </c>
      <c r="U141" s="163" t="s">
        <v>16</v>
      </c>
      <c r="V141" s="164">
        <f t="shared" si="31"/>
        <v>121</v>
      </c>
      <c r="W141" s="191"/>
      <c r="X141" s="192">
        <f t="shared" si="32"/>
        <v>0</v>
      </c>
      <c r="Y141" s="54" t="str">
        <f t="shared" ca="1" si="26"/>
        <v>=PV($B$5/$B$14,V141,,-W141)</v>
      </c>
      <c r="Z141" s="196">
        <f>$B$10</f>
        <v>265000</v>
      </c>
      <c r="AA141" s="193">
        <f>PV($B$5/$B$14,V141,,-Z141)</f>
        <v>193453.12600948801</v>
      </c>
      <c r="AB141" s="54" t="str">
        <f t="shared" ref="AB141:AB142" ca="1" si="41">_xlfn.FORMULATEXT(AA141)</f>
        <v>=PV($B$5/$B$14,V141,,-Z141)</v>
      </c>
      <c r="AC141" s="184">
        <f>AB11</f>
        <v>0</v>
      </c>
      <c r="AD141" s="34">
        <f t="shared" si="33"/>
        <v>0</v>
      </c>
      <c r="AE141" s="54" t="str">
        <f t="shared" ca="1" si="27"/>
        <v>=PV($B$5/$B$14,V141,,-AC141)</v>
      </c>
      <c r="AG141" s="175"/>
    </row>
    <row r="142" spans="1:33" ht="21" thickTop="1" x14ac:dyDescent="0.45">
      <c r="A142" s="1" t="s">
        <v>28</v>
      </c>
      <c r="C142" s="186">
        <f>(1+C141)^B14-1</f>
        <v>7.9980136631989218E-2</v>
      </c>
      <c r="D142" s="20" t="str">
        <f ca="1">_xlfn.FORMULATEXT(C142)</f>
        <v>=(1+C141)^B14-1</v>
      </c>
      <c r="E142" s="4"/>
      <c r="F142" s="17"/>
      <c r="G142" s="19"/>
      <c r="H142" s="19"/>
      <c r="V142" s="101"/>
      <c r="W142" s="191"/>
      <c r="X142" s="194">
        <f>SUM(X20:X141)</f>
        <v>180154.55226832733</v>
      </c>
      <c r="Y142" s="18" t="str">
        <f t="shared" ca="1" si="26"/>
        <v>=SUM(X20:X141)</v>
      </c>
      <c r="Z142" s="194"/>
      <c r="AA142" s="194">
        <f>AA141</f>
        <v>193453.12600948801</v>
      </c>
      <c r="AB142" s="18" t="str">
        <f t="shared" ca="1" si="41"/>
        <v>=AA141</v>
      </c>
      <c r="AC142" s="33">
        <f>SUM(AC20:AC141)</f>
        <v>-25000</v>
      </c>
      <c r="AD142" s="33">
        <f>SUM(AD20:AD141)</f>
        <v>-21755.082262289601</v>
      </c>
      <c r="AE142" s="1" t="str">
        <f t="shared" ca="1" si="27"/>
        <v>=SUM(AD20:AD141)</v>
      </c>
      <c r="AG142" s="175"/>
    </row>
    <row r="145" spans="6:7" x14ac:dyDescent="0.4">
      <c r="G145" s="162">
        <f>MAX(FV($B$6/$B$14,$B$140-B139,,-C139), 0)</f>
        <v>1755.8333333333335</v>
      </c>
    </row>
    <row r="147" spans="6:7" x14ac:dyDescent="0.4">
      <c r="F147" s="212"/>
    </row>
  </sheetData>
  <phoneticPr fontId="7" type="noConversion"/>
  <pageMargins left="0.25" right="0.25" top="0.75" bottom="0.75" header="0.3" footer="0.3"/>
  <pageSetup scale="15" fitToHeight="0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Effective and Equivalent Rates</vt:lpstr>
      <vt:lpstr>Future Value (FV)</vt:lpstr>
      <vt:lpstr>Funding (FV, PMT, Data Table)</vt:lpstr>
      <vt:lpstr>PV and Net Present Value (NPV)</vt:lpstr>
      <vt:lpstr>RE Inv (PV, FV, IRR, MIRR)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Cara Spicer</dc:creator>
  <cp:lastModifiedBy>David Corcoran</cp:lastModifiedBy>
  <cp:lastPrinted>2021-01-04T20:11:13Z</cp:lastPrinted>
  <dcterms:created xsi:type="dcterms:W3CDTF">2020-12-28T16:39:39Z</dcterms:created>
  <dcterms:modified xsi:type="dcterms:W3CDTF">2021-09-28T21:29:37Z</dcterms:modified>
</cp:coreProperties>
</file>